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8" windowWidth="16098" windowHeight="9660" activeTab="4"/>
  </bookViews>
  <sheets>
    <sheet name="FCL rates" sheetId="1" r:id="rId1"/>
    <sheet name="LCL rates" sheetId="2" r:id="rId2"/>
    <sheet name="AIR rates" sheetId="3" r:id="rId3"/>
    <sheet name="EU ROAD rates" sheetId="4" r:id="rId4"/>
    <sheet name="US ROAD rates" sheetId="5" r:id="rId5"/>
    <sheet name="Arkusz1" sheetId="6" r:id="rId6"/>
  </sheets>
  <definedNames>
    <definedName name="_xlnm._FilterDatabase" localSheetId="0" hidden="1">'FCL rates'!$A$1:$AW$470</definedName>
    <definedName name="_xlnm._FilterDatabase" localSheetId="4" hidden="1">'US ROAD rates'!$A$1:$AW$1</definedName>
  </definedNames>
  <calcPr calcId="145621"/>
</workbook>
</file>

<file path=xl/calcChain.xml><?xml version="1.0" encoding="utf-8"?>
<calcChain xmlns="http://schemas.openxmlformats.org/spreadsheetml/2006/main">
  <c r="H2" i="6" l="1"/>
  <c r="H5" i="6"/>
  <c r="H7" i="6"/>
  <c r="G2" i="6"/>
  <c r="G3" i="6"/>
  <c r="H3" i="6" s="1"/>
  <c r="G4" i="6"/>
  <c r="H4" i="6" s="1"/>
  <c r="G5" i="6"/>
  <c r="G6" i="6"/>
  <c r="H6" i="6" s="1"/>
  <c r="G7" i="6"/>
  <c r="G1" i="6"/>
  <c r="H1" i="6" s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1" i="6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<sst xmlns="http://schemas.openxmlformats.org/spreadsheetml/2006/main" count="40472" uniqueCount="5293">
  <si>
    <t>Infodis</t>
  </si>
  <si>
    <t>Shipment</t>
  </si>
  <si>
    <t>Booker id</t>
  </si>
  <si>
    <t>Shipment Booker Name</t>
  </si>
  <si>
    <t>Shipper id</t>
  </si>
  <si>
    <t>Consignee id</t>
  </si>
  <si>
    <t>Pickup city</t>
  </si>
  <si>
    <t>Pickup country</t>
  </si>
  <si>
    <t>Port of loading</t>
  </si>
  <si>
    <t>Port of discharge</t>
  </si>
  <si>
    <t>Delivery city</t>
  </si>
  <si>
    <t>Delivery country</t>
  </si>
  <si>
    <t>Del terms</t>
  </si>
  <si>
    <t>Container number</t>
  </si>
  <si>
    <t>Bill of lading</t>
  </si>
  <si>
    <t>Pickup ZIP code</t>
  </si>
  <si>
    <t>HAWB</t>
  </si>
  <si>
    <t>Delivery ZIP code</t>
  </si>
  <si>
    <t>Booking date</t>
  </si>
  <si>
    <t>Leg 1 Pickup Planned</t>
  </si>
  <si>
    <t>Leg 1 Pickup Actual</t>
  </si>
  <si>
    <t>Leg 2 Pickup Planned</t>
  </si>
  <si>
    <t>Leg 2 Pickup Actual</t>
  </si>
  <si>
    <t>Leg 3 Delivery Actual</t>
  </si>
  <si>
    <t>Leg 1 Carrier Name</t>
  </si>
  <si>
    <t>Leg 2 Carrier Name</t>
  </si>
  <si>
    <t>Leg 3 Carrier Name</t>
  </si>
  <si>
    <t>Billable Indicator Leg 1</t>
  </si>
  <si>
    <t>Billable Indicator Leg 2</t>
  </si>
  <si>
    <t>Billable Indicator Leg 3</t>
  </si>
  <si>
    <t>Container type</t>
  </si>
  <si>
    <t>Leg 1 Transport Mode</t>
  </si>
  <si>
    <t>Leg 2 Transport Mode</t>
  </si>
  <si>
    <t>Leg 3 Transport Mode</t>
  </si>
  <si>
    <t>Domain Code</t>
  </si>
  <si>
    <t>Total costs Sales</t>
  </si>
  <si>
    <t>Leg 1, Total costs Purchase</t>
  </si>
  <si>
    <t>Leg 2, Total costs Purchase</t>
  </si>
  <si>
    <t>Leg 3, Total costs Purchase</t>
  </si>
  <si>
    <t>Pallets</t>
  </si>
  <si>
    <t>Weight</t>
  </si>
  <si>
    <t>Volume</t>
  </si>
  <si>
    <t>Action taken</t>
  </si>
  <si>
    <t>Pending/Solved</t>
  </si>
  <si>
    <t>Mail sent to IMS/Key-user</t>
  </si>
  <si>
    <t>Date of email</t>
  </si>
  <si>
    <t>Email subject</t>
  </si>
  <si>
    <t>Delay in answer</t>
  </si>
  <si>
    <t>Comments</t>
  </si>
  <si>
    <t>IGT0101128</t>
  </si>
  <si>
    <t>IGT01</t>
  </si>
  <si>
    <t>Philips Medical Systems NL BV</t>
  </si>
  <si>
    <t>NL9A</t>
  </si>
  <si>
    <t>APAC-KR</t>
  </si>
  <si>
    <t>Son en Breugel</t>
  </si>
  <si>
    <t>NL</t>
  </si>
  <si>
    <t>NLTLB</t>
  </si>
  <si>
    <t>KRPUS</t>
  </si>
  <si>
    <t>Seoul</t>
  </si>
  <si>
    <t>KR</t>
  </si>
  <si>
    <t>CIP</t>
  </si>
  <si>
    <t>PONU7609273</t>
  </si>
  <si>
    <t>MAEU206591768</t>
  </si>
  <si>
    <t>5692 BA</t>
  </si>
  <si>
    <t>04637</t>
  </si>
  <si>
    <t>Maersk S</t>
  </si>
  <si>
    <t>Unknown</t>
  </si>
  <si>
    <t>Yes</t>
  </si>
  <si>
    <t>No</t>
  </si>
  <si>
    <t>1 * 40 ft hc</t>
  </si>
  <si>
    <t>Truck normal TN</t>
  </si>
  <si>
    <t>SEA FCL</t>
  </si>
  <si>
    <t>Truck Inland</t>
  </si>
  <si>
    <t>CL</t>
  </si>
  <si>
    <t>CL61800076</t>
  </si>
  <si>
    <t>CL618</t>
  </si>
  <si>
    <t>Bizlink (FCL)</t>
  </si>
  <si>
    <t>ID11</t>
  </si>
  <si>
    <t>CHANGZHOU</t>
  </si>
  <si>
    <t>CN</t>
  </si>
  <si>
    <t>CNSHA</t>
  </si>
  <si>
    <t>IDBUR</t>
  </si>
  <si>
    <t>Batam</t>
  </si>
  <si>
    <t>ID</t>
  </si>
  <si>
    <t>FCA</t>
  </si>
  <si>
    <t>FSCU5145583</t>
  </si>
  <si>
    <t>213022</t>
  </si>
  <si>
    <t>29433</t>
  </si>
  <si>
    <t>DHL Trucking CN</t>
  </si>
  <si>
    <t>DHL Direct FCL</t>
  </si>
  <si>
    <t>1 * 40 ft</t>
  </si>
  <si>
    <t>HKD082122</t>
  </si>
  <si>
    <t>CL393</t>
  </si>
  <si>
    <t>Zhejiang Yueli (FCL)</t>
  </si>
  <si>
    <t>NL26</t>
  </si>
  <si>
    <t>CO890287</t>
  </si>
  <si>
    <t>Ningbo</t>
  </si>
  <si>
    <t>CNNGB</t>
  </si>
  <si>
    <t>THBMT</t>
  </si>
  <si>
    <t>Bangkok</t>
  </si>
  <si>
    <t>TH</t>
  </si>
  <si>
    <t>MRKU0396220</t>
  </si>
  <si>
    <t>MCCQ240668276</t>
  </si>
  <si>
    <t>315324</t>
  </si>
  <si>
    <t>10310</t>
  </si>
  <si>
    <t>Sealand (Maersk)</t>
  </si>
  <si>
    <t>V-Serve Logistics Ltd.</t>
  </si>
  <si>
    <t>HKD082136</t>
  </si>
  <si>
    <t>CL308</t>
  </si>
  <si>
    <t>GUANG DONG XINBAO (FCL)</t>
  </si>
  <si>
    <t>CO568892</t>
  </si>
  <si>
    <t>FOSHAN</t>
  </si>
  <si>
    <t>CNSHK</t>
  </si>
  <si>
    <t>KRINC</t>
  </si>
  <si>
    <t>Icheon city</t>
  </si>
  <si>
    <t>Master</t>
  </si>
  <si>
    <t>528322</t>
  </si>
  <si>
    <t>46781</t>
  </si>
  <si>
    <t>CNC S</t>
  </si>
  <si>
    <t>2 * 40 ft</t>
  </si>
  <si>
    <t>HKD082138</t>
  </si>
  <si>
    <t>CO233006</t>
  </si>
  <si>
    <t>CNYTN</t>
  </si>
  <si>
    <t>CAPRR</t>
  </si>
  <si>
    <t>Brampton</t>
  </si>
  <si>
    <t>CA</t>
  </si>
  <si>
    <t>L6T 4T2</t>
  </si>
  <si>
    <t>ONE Ocean Network Express</t>
  </si>
  <si>
    <t>HKD082139</t>
  </si>
  <si>
    <t>CO471276</t>
  </si>
  <si>
    <t>INNSA</t>
  </si>
  <si>
    <t>Thane</t>
  </si>
  <si>
    <t>IN</t>
  </si>
  <si>
    <t>CIF</t>
  </si>
  <si>
    <t>421101</t>
  </si>
  <si>
    <t>CMA-CGM S</t>
  </si>
  <si>
    <t>2 * 40 ft hc</t>
  </si>
  <si>
    <t>HKD082150</t>
  </si>
  <si>
    <t>Hyundai Merchant Marine S</t>
  </si>
  <si>
    <t>HKD082212</t>
  </si>
  <si>
    <t>HKD082265</t>
  </si>
  <si>
    <t>CO482009</t>
  </si>
  <si>
    <t>IDJKT</t>
  </si>
  <si>
    <t>Jakarta Selatan</t>
  </si>
  <si>
    <t>12560</t>
  </si>
  <si>
    <t>1 * 40 ft, 2 * 40 ft hc</t>
  </si>
  <si>
    <t>HKD082263</t>
  </si>
  <si>
    <t>HKD082266</t>
  </si>
  <si>
    <t>HKD082273</t>
  </si>
  <si>
    <t>HKD082213</t>
  </si>
  <si>
    <t>HKD082214</t>
  </si>
  <si>
    <t>HKD082219</t>
  </si>
  <si>
    <t>PI0018818</t>
  </si>
  <si>
    <t>BTM02</t>
  </si>
  <si>
    <t>IPSC BATAM FCL</t>
  </si>
  <si>
    <t>100262657</t>
  </si>
  <si>
    <t>IDBTM</t>
  </si>
  <si>
    <t>AUSYD</t>
  </si>
  <si>
    <t>Pemulwuy</t>
  </si>
  <si>
    <t>AU</t>
  </si>
  <si>
    <t>MRKU8770341</t>
  </si>
  <si>
    <t>2145</t>
  </si>
  <si>
    <t>1 * 20 ft</t>
  </si>
  <si>
    <t>PI0018819</t>
  </si>
  <si>
    <t>DTUP004087</t>
  </si>
  <si>
    <t>DT215</t>
  </si>
  <si>
    <t>Avnet Technology Solutions (FCL)</t>
  </si>
  <si>
    <t>IL90</t>
  </si>
  <si>
    <t>Tianjin</t>
  </si>
  <si>
    <t>CNTSN</t>
  </si>
  <si>
    <t>ILMSP</t>
  </si>
  <si>
    <t>Haifa</t>
  </si>
  <si>
    <t>IL</t>
  </si>
  <si>
    <t>300382</t>
  </si>
  <si>
    <t>3100202</t>
  </si>
  <si>
    <t>DHL Israel FCL</t>
  </si>
  <si>
    <t>DTUP004079</t>
  </si>
  <si>
    <t>DT520</t>
  </si>
  <si>
    <t>New Way Air Bearings (FCL)</t>
  </si>
  <si>
    <t>Aston</t>
  </si>
  <si>
    <t>US</t>
  </si>
  <si>
    <t>USPHL</t>
  </si>
  <si>
    <t>ILHFA</t>
  </si>
  <si>
    <t>19014</t>
  </si>
  <si>
    <t>HKD082316</t>
  </si>
  <si>
    <t>HKD082315</t>
  </si>
  <si>
    <t>HKD082317</t>
  </si>
  <si>
    <t>HKD082326</t>
  </si>
  <si>
    <t>CL72000019</t>
  </si>
  <si>
    <t>CL720</t>
  </si>
  <si>
    <t>MACAU CHAN HENG PLASTIC (FCL)</t>
  </si>
  <si>
    <t>US19</t>
  </si>
  <si>
    <t>Jiangmen</t>
  </si>
  <si>
    <t>CNJMN</t>
  </si>
  <si>
    <t>USLAX</t>
  </si>
  <si>
    <t>Rancho Dominguez</t>
  </si>
  <si>
    <t>529000</t>
  </si>
  <si>
    <t>90220</t>
  </si>
  <si>
    <t>C.H. Robinson</t>
  </si>
  <si>
    <t>Cross Dock</t>
  </si>
  <si>
    <t>HKD082431</t>
  </si>
  <si>
    <t>OCN24</t>
  </si>
  <si>
    <t>Simatelex Manufactory Co Ltd (FCL)</t>
  </si>
  <si>
    <t>CO640710</t>
  </si>
  <si>
    <t>SHENZHEN</t>
  </si>
  <si>
    <t>MYPKG</t>
  </si>
  <si>
    <t>Petaling Jaya</t>
  </si>
  <si>
    <t>MY</t>
  </si>
  <si>
    <t>518100</t>
  </si>
  <si>
    <t>46100</t>
  </si>
  <si>
    <t>CFA</t>
  </si>
  <si>
    <t>2224616</t>
  </si>
  <si>
    <t>DAP98</t>
  </si>
  <si>
    <t>Philips Drachten IPC (SAP)</t>
  </si>
  <si>
    <t>NL59</t>
  </si>
  <si>
    <t>168113</t>
  </si>
  <si>
    <t>Drachten</t>
  </si>
  <si>
    <t>NLLEY</t>
  </si>
  <si>
    <t>USEWR</t>
  </si>
  <si>
    <t>Columbus</t>
  </si>
  <si>
    <t>SUDU6544886</t>
  </si>
  <si>
    <t>2558307</t>
  </si>
  <si>
    <t>9200</t>
  </si>
  <si>
    <t>43217</t>
  </si>
  <si>
    <t>PI0018944</t>
  </si>
  <si>
    <t>VAR02</t>
  </si>
  <si>
    <t>Philips do Brasil FCL</t>
  </si>
  <si>
    <t>BR71</t>
  </si>
  <si>
    <t>CO717013</t>
  </si>
  <si>
    <t>Varginha   MG</t>
  </si>
  <si>
    <t>BR</t>
  </si>
  <si>
    <t>BRSSZ</t>
  </si>
  <si>
    <t>AEQWE</t>
  </si>
  <si>
    <t>Jebel Ali free zone</t>
  </si>
  <si>
    <t>AE</t>
  </si>
  <si>
    <t>37866440</t>
  </si>
  <si>
    <t>47814</t>
  </si>
  <si>
    <t>TRANSPARENCY LOGISTICA E TRANSPORTE</t>
  </si>
  <si>
    <t>Hapag Lloyd S</t>
  </si>
  <si>
    <t>SRCUP34246</t>
  </si>
  <si>
    <t>PCTLF</t>
  </si>
  <si>
    <t>PCT Lodz Upstream (FCL)</t>
  </si>
  <si>
    <t>RIUS</t>
  </si>
  <si>
    <t>Herrsching</t>
  </si>
  <si>
    <t>DE</t>
  </si>
  <si>
    <t>DEBRV</t>
  </si>
  <si>
    <t>USLGB</t>
  </si>
  <si>
    <t>CARLSBAD</t>
  </si>
  <si>
    <t>MSKU6746250</t>
  </si>
  <si>
    <t>MAEU206652184</t>
  </si>
  <si>
    <t>82211</t>
  </si>
  <si>
    <t>92009</t>
  </si>
  <si>
    <t>SRC</t>
  </si>
  <si>
    <t>HKD082464</t>
  </si>
  <si>
    <t>OCN77</t>
  </si>
  <si>
    <t>Rompashunxing (Jiangmen) (FCL)</t>
  </si>
  <si>
    <t>784012</t>
  </si>
  <si>
    <t>CNHUA</t>
  </si>
  <si>
    <t>PLGDN</t>
  </si>
  <si>
    <t>Lodz</t>
  </si>
  <si>
    <t>PL</t>
  </si>
  <si>
    <t>FOB</t>
  </si>
  <si>
    <t>92410</t>
  </si>
  <si>
    <t>HKI010256</t>
  </si>
  <si>
    <t>DHGHK</t>
  </si>
  <si>
    <t>DHL CFS HKHKG</t>
  </si>
  <si>
    <t>Hong Kong</t>
  </si>
  <si>
    <t>HK</t>
  </si>
  <si>
    <t>HKHKG</t>
  </si>
  <si>
    <t>MORENO VALLEY</t>
  </si>
  <si>
    <t>COSU6282724164</t>
  </si>
  <si>
    <t>92551</t>
  </si>
  <si>
    <t>DHL Consol Truck HK</t>
  </si>
  <si>
    <t>Cosco S</t>
  </si>
  <si>
    <t>HKI010257</t>
  </si>
  <si>
    <t>COSU6282724160</t>
  </si>
  <si>
    <t>1 * 20 ft, 3 * 40 ft</t>
  </si>
  <si>
    <t>CL41800534</t>
  </si>
  <si>
    <t>CL418</t>
  </si>
  <si>
    <t>Salom Electric  (FCL)</t>
  </si>
  <si>
    <t>849596</t>
  </si>
  <si>
    <t>Xiamen</t>
  </si>
  <si>
    <t>CNXMN</t>
  </si>
  <si>
    <t>SIKOP</t>
  </si>
  <si>
    <t>Kamnik</t>
  </si>
  <si>
    <t>SI</t>
  </si>
  <si>
    <t>361006</t>
  </si>
  <si>
    <t>1241</t>
  </si>
  <si>
    <t>OMY0100564</t>
  </si>
  <si>
    <t>OMY01</t>
  </si>
  <si>
    <t>PNE Electric Sdn Bhd (FCL)</t>
  </si>
  <si>
    <t>RO59</t>
  </si>
  <si>
    <t>Johor Bahru</t>
  </si>
  <si>
    <t>SGSIN</t>
  </si>
  <si>
    <t>ROCND</t>
  </si>
  <si>
    <t>Orastie</t>
  </si>
  <si>
    <t>RO</t>
  </si>
  <si>
    <t>PONU1949424</t>
  </si>
  <si>
    <t>MAEU204947516</t>
  </si>
  <si>
    <t>81100</t>
  </si>
  <si>
    <t>335700</t>
  </si>
  <si>
    <t>DHLCS07437</t>
  </si>
  <si>
    <t>CLBUD</t>
  </si>
  <si>
    <t>FCL Consolidation Budapest</t>
  </si>
  <si>
    <t>NL28</t>
  </si>
  <si>
    <t>CL701</t>
  </si>
  <si>
    <t>Budapest</t>
  </si>
  <si>
    <t>HU</t>
  </si>
  <si>
    <t>Edison</t>
  </si>
  <si>
    <t>DDU</t>
  </si>
  <si>
    <t>MRKU0063358</t>
  </si>
  <si>
    <t>MAEU205035376</t>
  </si>
  <si>
    <t>1185</t>
  </si>
  <si>
    <t>08837</t>
  </si>
  <si>
    <t>OMY0100575</t>
  </si>
  <si>
    <t>TEMU5616355</t>
  </si>
  <si>
    <t>MAEU205194333</t>
  </si>
  <si>
    <t>CL55000228</t>
  </si>
  <si>
    <t>CL550</t>
  </si>
  <si>
    <t>Borouge Pte. Ltd. (FCL)</t>
  </si>
  <si>
    <t>BERINGEN</t>
  </si>
  <si>
    <t>BE</t>
  </si>
  <si>
    <t>BEMEH</t>
  </si>
  <si>
    <t>3583</t>
  </si>
  <si>
    <t>DHLCS07614</t>
  </si>
  <si>
    <t>MRKU0044297</t>
  </si>
  <si>
    <t>MAEU206700678</t>
  </si>
  <si>
    <t>DHLCS07615</t>
  </si>
  <si>
    <t>MRKU0363020</t>
  </si>
  <si>
    <t>DHLCS07616</t>
  </si>
  <si>
    <t>MRKU1014698</t>
  </si>
  <si>
    <t>MAEU206700825</t>
  </si>
  <si>
    <t>DHLCS07617</t>
  </si>
  <si>
    <t>166616</t>
  </si>
  <si>
    <t>USNWK</t>
  </si>
  <si>
    <t>DHLCS07618</t>
  </si>
  <si>
    <t>DHLCS07619</t>
  </si>
  <si>
    <t>DHLCS07622</t>
  </si>
  <si>
    <t>70115</t>
  </si>
  <si>
    <t>GTPRQ</t>
  </si>
  <si>
    <t>GUATEMALA</t>
  </si>
  <si>
    <t>GT</t>
  </si>
  <si>
    <t>GTGUA</t>
  </si>
  <si>
    <t>CL70500098</t>
  </si>
  <si>
    <t>CL705</t>
  </si>
  <si>
    <t>VAPOR TECHNOLOGY（HONGKONG）(FCL)</t>
  </si>
  <si>
    <t>Sushou</t>
  </si>
  <si>
    <t>MCCQ240321343</t>
  </si>
  <si>
    <t>215011</t>
  </si>
  <si>
    <t>1 * 20 ft, 1 * 40 ft</t>
  </si>
  <si>
    <t>HKD079968</t>
  </si>
  <si>
    <t>CL733</t>
  </si>
  <si>
    <t>Dongguan Genesis Union (FCL)</t>
  </si>
  <si>
    <t>CO814201</t>
  </si>
  <si>
    <t>Dongguan</t>
  </si>
  <si>
    <t>RULED</t>
  </si>
  <si>
    <t>Dmitrov</t>
  </si>
  <si>
    <t>RU</t>
  </si>
  <si>
    <t>DAP</t>
  </si>
  <si>
    <t>MAEU205920404</t>
  </si>
  <si>
    <t>523720</t>
  </si>
  <si>
    <t>141825</t>
  </si>
  <si>
    <t>PI0019012</t>
  </si>
  <si>
    <t>471276</t>
  </si>
  <si>
    <t>NYKU4310364</t>
  </si>
  <si>
    <t>ONEYBTMA00807800</t>
  </si>
  <si>
    <t>PI0019008</t>
  </si>
  <si>
    <t>CO151477</t>
  </si>
  <si>
    <t>AUMEL</t>
  </si>
  <si>
    <t>Sydney</t>
  </si>
  <si>
    <t>2113</t>
  </si>
  <si>
    <t>Schenker AU</t>
  </si>
  <si>
    <t>PI0019013</t>
  </si>
  <si>
    <t>FDCU0600432</t>
  </si>
  <si>
    <t>ONEYBTMA00809300</t>
  </si>
  <si>
    <t>DAP3203768</t>
  </si>
  <si>
    <t>OTR02</t>
  </si>
  <si>
    <t>Erna Mas Makine TIC Ve SAN A.S. (FC</t>
  </si>
  <si>
    <t>140372</t>
  </si>
  <si>
    <t>Cankiri</t>
  </si>
  <si>
    <t>TR</t>
  </si>
  <si>
    <t>TRKFZ</t>
  </si>
  <si>
    <t>ARBUE</t>
  </si>
  <si>
    <t>BUENOS AIRES</t>
  </si>
  <si>
    <t>AR</t>
  </si>
  <si>
    <t>CFR</t>
  </si>
  <si>
    <t>TLLU2276822</t>
  </si>
  <si>
    <t>MAEU206364390</t>
  </si>
  <si>
    <t>18650</t>
  </si>
  <si>
    <t>1430</t>
  </si>
  <si>
    <t>DAP9600809</t>
  </si>
  <si>
    <t>DAP96</t>
  </si>
  <si>
    <t>PHILIPS DAP ZHUHAI SEZ LTD</t>
  </si>
  <si>
    <t>CN51</t>
  </si>
  <si>
    <t>ZHUHAI</t>
  </si>
  <si>
    <t>CNGON</t>
  </si>
  <si>
    <t>BEAU5760488</t>
  </si>
  <si>
    <t>COSU6282112960</t>
  </si>
  <si>
    <t>519040</t>
  </si>
  <si>
    <t>Zhuhai Yuanfeng</t>
  </si>
  <si>
    <t>CL44800007</t>
  </si>
  <si>
    <t>CL448</t>
  </si>
  <si>
    <t>Payer Industries Hungary Kft (FCL)</t>
  </si>
  <si>
    <t>CO2560320</t>
  </si>
  <si>
    <t>Ajka</t>
  </si>
  <si>
    <t>HRRJK</t>
  </si>
  <si>
    <t>TLLU5922973</t>
  </si>
  <si>
    <t>MAEU206273753</t>
  </si>
  <si>
    <t>8400</t>
  </si>
  <si>
    <t>HKD081085</t>
  </si>
  <si>
    <t>CL787</t>
  </si>
  <si>
    <t>Zhejiang Biyi Electric Appliance</t>
  </si>
  <si>
    <t>CNNBG</t>
  </si>
  <si>
    <t>MRKU1031463</t>
  </si>
  <si>
    <t>MCCQ240667933</t>
  </si>
  <si>
    <t>315400</t>
  </si>
  <si>
    <t>HKD081868</t>
  </si>
  <si>
    <t>3 * 40 ft hc</t>
  </si>
  <si>
    <t>HKD081867</t>
  </si>
  <si>
    <t>HKD081869</t>
  </si>
  <si>
    <t>HKD081236</t>
  </si>
  <si>
    <t>CL482</t>
  </si>
  <si>
    <t>PRECISON HARVEST(FCL)</t>
  </si>
  <si>
    <t>CO449504</t>
  </si>
  <si>
    <t>Panyu</t>
  </si>
  <si>
    <t>Szazhalombatta</t>
  </si>
  <si>
    <t>MIEU3019261</t>
  </si>
  <si>
    <t>MAEU206458193</t>
  </si>
  <si>
    <t>511450</t>
  </si>
  <si>
    <t>2440</t>
  </si>
  <si>
    <t>HKI009970</t>
  </si>
  <si>
    <t>DHGSH</t>
  </si>
  <si>
    <t>DHL Global Forwarding (China) Co</t>
  </si>
  <si>
    <t>Shanghai</t>
  </si>
  <si>
    <t>CNYSA</t>
  </si>
  <si>
    <t>MAEU206212108</t>
  </si>
  <si>
    <t>201306</t>
  </si>
  <si>
    <t>2 * 45 ft hq</t>
  </si>
  <si>
    <t>IGT0101098</t>
  </si>
  <si>
    <t>DSCRLIMON1</t>
  </si>
  <si>
    <t>Oirschot</t>
  </si>
  <si>
    <t>CRPMN</t>
  </si>
  <si>
    <t>SAN JOSE</t>
  </si>
  <si>
    <t>CR</t>
  </si>
  <si>
    <t>SUDU6609776</t>
  </si>
  <si>
    <t>MAEU206369231</t>
  </si>
  <si>
    <t>5688 HA</t>
  </si>
  <si>
    <t>400</t>
  </si>
  <si>
    <t>HKD082855</t>
  </si>
  <si>
    <t>CO390002</t>
  </si>
  <si>
    <t>CNNBP</t>
  </si>
  <si>
    <t>FRFOS</t>
  </si>
  <si>
    <t>CORBAS</t>
  </si>
  <si>
    <t>FR</t>
  </si>
  <si>
    <t>69960</t>
  </si>
  <si>
    <t>SRCUP33692</t>
  </si>
  <si>
    <t>USF05</t>
  </si>
  <si>
    <t>Flexible Technologies (FCL)</t>
  </si>
  <si>
    <t>RIYW</t>
  </si>
  <si>
    <t>SRCCF</t>
  </si>
  <si>
    <t>Abbeville</t>
  </si>
  <si>
    <t>USCHS</t>
  </si>
  <si>
    <t>Yantian District</t>
  </si>
  <si>
    <t>DFSU1139150</t>
  </si>
  <si>
    <t>HDMUSCWB3823729</t>
  </si>
  <si>
    <t>29620</t>
  </si>
  <si>
    <t>518083</t>
  </si>
  <si>
    <t>Expeditors SMF (FCL)</t>
  </si>
  <si>
    <t>HKD081497</t>
  </si>
  <si>
    <t>MRKU0003066</t>
  </si>
  <si>
    <t>MCCQ240667934</t>
  </si>
  <si>
    <t>HKD081572</t>
  </si>
  <si>
    <t>CNWGQ</t>
  </si>
  <si>
    <t>APZU4899716</t>
  </si>
  <si>
    <t>Puninar</t>
  </si>
  <si>
    <t>HKD081574</t>
  </si>
  <si>
    <t>APZU4699214</t>
  </si>
  <si>
    <t>HKD081594</t>
  </si>
  <si>
    <t>HKI010128</t>
  </si>
  <si>
    <t>DHGYT</t>
  </si>
  <si>
    <t>Yantian</t>
  </si>
  <si>
    <t>Shah Alam, Selangor</t>
  </si>
  <si>
    <t>40300</t>
  </si>
  <si>
    <t>8 * 40 ft</t>
  </si>
  <si>
    <t>HKI010101</t>
  </si>
  <si>
    <t>6 * 40 ft hc</t>
  </si>
  <si>
    <t>HKI010152</t>
  </si>
  <si>
    <t>AEJEA</t>
  </si>
  <si>
    <t>HKD081608</t>
  </si>
  <si>
    <t>CL241</t>
  </si>
  <si>
    <t>NINGBO KAIBO GROUP CO., LTD. (FCL)</t>
  </si>
  <si>
    <t>THLKR</t>
  </si>
  <si>
    <t>MRKU0056359</t>
  </si>
  <si>
    <t>MCCQ240667930</t>
  </si>
  <si>
    <t>HKI010182</t>
  </si>
  <si>
    <t>NLRTM</t>
  </si>
  <si>
    <t>9201 CD</t>
  </si>
  <si>
    <t>HKD081692</t>
  </si>
  <si>
    <t>CL742</t>
  </si>
  <si>
    <t>Ningbo Borine Electr (FCL)</t>
  </si>
  <si>
    <t>MCCQ240667929</t>
  </si>
  <si>
    <t>315800</t>
  </si>
  <si>
    <t>3 * 40 ft</t>
  </si>
  <si>
    <t>HKI010190</t>
  </si>
  <si>
    <t>CL41800533</t>
  </si>
  <si>
    <t>MRKU0854636</t>
  </si>
  <si>
    <t>MAEU206059130</t>
  </si>
  <si>
    <t>HKD081796</t>
  </si>
  <si>
    <t>CAVAN</t>
  </si>
  <si>
    <t>APL S</t>
  </si>
  <si>
    <t>HKI010209</t>
  </si>
  <si>
    <t>AEDXB</t>
  </si>
  <si>
    <t>HDMUQSWB9412169</t>
  </si>
  <si>
    <t>CL61800075</t>
  </si>
  <si>
    <t>SUDU8821660</t>
  </si>
  <si>
    <t>HKD081959</t>
  </si>
  <si>
    <t>RUMOW</t>
  </si>
  <si>
    <t>TCNU7961601</t>
  </si>
  <si>
    <t>MAEU206514588</t>
  </si>
  <si>
    <t>HKD081957</t>
  </si>
  <si>
    <t>CL353</t>
  </si>
  <si>
    <t>GUANGDONG HOMEZEST TECH (FCL)</t>
  </si>
  <si>
    <t>Foshan</t>
  </si>
  <si>
    <t>RUULU</t>
  </si>
  <si>
    <t>MOSCOW</t>
  </si>
  <si>
    <t>528300</t>
  </si>
  <si>
    <t>123022</t>
  </si>
  <si>
    <t>HKI010272</t>
  </si>
  <si>
    <t>CO251022</t>
  </si>
  <si>
    <t>CLSAI</t>
  </si>
  <si>
    <t>Lampa</t>
  </si>
  <si>
    <t>9380000</t>
  </si>
  <si>
    <t>HKD082028</t>
  </si>
  <si>
    <t>HKI010220</t>
  </si>
  <si>
    <t>COSU6282256120</t>
  </si>
  <si>
    <t>HKD082015</t>
  </si>
  <si>
    <t>HKD082016</t>
  </si>
  <si>
    <t>HKD082017</t>
  </si>
  <si>
    <t>HKI010223</t>
  </si>
  <si>
    <t>HKD082054</t>
  </si>
  <si>
    <t>HKD082055</t>
  </si>
  <si>
    <t>HKD082057</t>
  </si>
  <si>
    <t>HKD082625</t>
  </si>
  <si>
    <t>OCN88</t>
  </si>
  <si>
    <t>Kingclean Electric Co.,Ltd FCL</t>
  </si>
  <si>
    <t>CO166617</t>
  </si>
  <si>
    <t>Suzhou</t>
  </si>
  <si>
    <t>USNYC</t>
  </si>
  <si>
    <t>Lockbourne</t>
  </si>
  <si>
    <t>HDMU4756169</t>
  </si>
  <si>
    <t>HDMUQSWB9412161</t>
  </si>
  <si>
    <t>215009</t>
  </si>
  <si>
    <t>43137</t>
  </si>
  <si>
    <t>HKD082624</t>
  </si>
  <si>
    <t>HDMU4751790</t>
  </si>
  <si>
    <t>HDMUQSWB9412159</t>
  </si>
  <si>
    <t>CL41800535</t>
  </si>
  <si>
    <t>MRKU7210255</t>
  </si>
  <si>
    <t>MAEU206059263</t>
  </si>
  <si>
    <t>IGT0200119</t>
  </si>
  <si>
    <t>IGT02</t>
  </si>
  <si>
    <t>Philips Medical systems NL B.V.</t>
  </si>
  <si>
    <t>DX96</t>
  </si>
  <si>
    <t>57652</t>
  </si>
  <si>
    <t>SNDKR</t>
  </si>
  <si>
    <t>DAKAR</t>
  </si>
  <si>
    <t>SN</t>
  </si>
  <si>
    <t>1 * 20 ft, 1 * 40 ft hc</t>
  </si>
  <si>
    <t>DTUP004198</t>
  </si>
  <si>
    <t>DT190</t>
  </si>
  <si>
    <t>EMD TECHNOLOGIES INCORPORATED (FCL)</t>
  </si>
  <si>
    <t>CN9M</t>
  </si>
  <si>
    <t>SAINT-EUSTACHE</t>
  </si>
  <si>
    <t>UACU8451862</t>
  </si>
  <si>
    <t>J7R 0A1</t>
  </si>
  <si>
    <t>215024</t>
  </si>
  <si>
    <t>DSV FCL S</t>
  </si>
  <si>
    <t>HKI010289</t>
  </si>
  <si>
    <t>CO922251</t>
  </si>
  <si>
    <t>TRIZT</t>
  </si>
  <si>
    <t>Gebze/Kocaeli</t>
  </si>
  <si>
    <t>ONEYSH9KN9709900</t>
  </si>
  <si>
    <t>41400</t>
  </si>
  <si>
    <t>CL41800536</t>
  </si>
  <si>
    <t>2224786</t>
  </si>
  <si>
    <t>DAP44</t>
  </si>
  <si>
    <t>PHILIPS DAP ZHUHAI (SAP)</t>
  </si>
  <si>
    <t>CNZUH</t>
  </si>
  <si>
    <t>CL49800211</t>
  </si>
  <si>
    <t>CL498</t>
  </si>
  <si>
    <t>NINGBO SUNNY ELECTRICAL (FCL)</t>
  </si>
  <si>
    <t>Cixi city</t>
  </si>
  <si>
    <t>MSKU1234567</t>
  </si>
  <si>
    <t>315336</t>
  </si>
  <si>
    <t>DHL FCL Ocean S</t>
  </si>
  <si>
    <t>MTU0000538</t>
  </si>
  <si>
    <t>MU266</t>
  </si>
  <si>
    <t>Tontec International Limited (FCL)</t>
  </si>
  <si>
    <t>MU266OS</t>
  </si>
  <si>
    <t>US9A</t>
  </si>
  <si>
    <t>Yau Tong, Kowloon</t>
  </si>
  <si>
    <t>Tewksbury</t>
  </si>
  <si>
    <t>01876</t>
  </si>
  <si>
    <t>Unknown Carrier</t>
  </si>
  <si>
    <t>Expeditors  FCL SMF</t>
  </si>
  <si>
    <t>PHILIPSM1</t>
  </si>
  <si>
    <t>SR0543481</t>
  </si>
  <si>
    <t>SRCMF</t>
  </si>
  <si>
    <t>Philips Respironics RIYW (FCL)</t>
  </si>
  <si>
    <t>145003</t>
  </si>
  <si>
    <t>Mt Pleasant</t>
  </si>
  <si>
    <t>Oostrum</t>
  </si>
  <si>
    <t>TEMU7349129</t>
  </si>
  <si>
    <t>15666</t>
  </si>
  <si>
    <t>617429483</t>
  </si>
  <si>
    <t>5807 GG</t>
  </si>
  <si>
    <t>HKD082849</t>
  </si>
  <si>
    <t>SR0546608</t>
  </si>
  <si>
    <t>Philips Respironics RISZ (FCL)</t>
  </si>
  <si>
    <t>ShenZhen</t>
  </si>
  <si>
    <t>Mount Pleasant</t>
  </si>
  <si>
    <t>HASU4455961</t>
  </si>
  <si>
    <t>MAEU206770671</t>
  </si>
  <si>
    <t>518105</t>
  </si>
  <si>
    <t>SR0546610</t>
  </si>
  <si>
    <t>SR0546615</t>
  </si>
  <si>
    <t>SR0546616</t>
  </si>
  <si>
    <t>SR0546617</t>
  </si>
  <si>
    <t>SR0546618</t>
  </si>
  <si>
    <t>SR0546619</t>
  </si>
  <si>
    <t>SR0546611</t>
  </si>
  <si>
    <t>SR0546612</t>
  </si>
  <si>
    <t>SR0546613</t>
  </si>
  <si>
    <t>SR0546614</t>
  </si>
  <si>
    <t>SR0546620</t>
  </si>
  <si>
    <t>SR0546621</t>
  </si>
  <si>
    <t>SR0546622</t>
  </si>
  <si>
    <t>HKD082850</t>
  </si>
  <si>
    <t>HKD082851</t>
  </si>
  <si>
    <t>CL41800537</t>
  </si>
  <si>
    <t>CL41800538</t>
  </si>
  <si>
    <t>CL41800539</t>
  </si>
  <si>
    <t>CL41800540</t>
  </si>
  <si>
    <t>HKD082735</t>
  </si>
  <si>
    <t>CO372460</t>
  </si>
  <si>
    <t>TWKEL</t>
  </si>
  <si>
    <t>TAIPEI</t>
  </si>
  <si>
    <t>TW</t>
  </si>
  <si>
    <t>115</t>
  </si>
  <si>
    <t>Expeditors (FCL)</t>
  </si>
  <si>
    <t>SR0548373</t>
  </si>
  <si>
    <t>40420159</t>
  </si>
  <si>
    <t>USPIT</t>
  </si>
  <si>
    <t>Erskine Park</t>
  </si>
  <si>
    <t>617429500</t>
  </si>
  <si>
    <t>2759</t>
  </si>
  <si>
    <t>DAP9600818</t>
  </si>
  <si>
    <t>HKD082749</t>
  </si>
  <si>
    <t>Lotte</t>
  </si>
  <si>
    <t>HKD082765</t>
  </si>
  <si>
    <t>TRKOR</t>
  </si>
  <si>
    <t>Tuzla-Istanbul</t>
  </si>
  <si>
    <t>34956</t>
  </si>
  <si>
    <t>2 * 40 ft, 1 * 40 ft hc</t>
  </si>
  <si>
    <t>CL60900097</t>
  </si>
  <si>
    <t>CL609</t>
  </si>
  <si>
    <t>SHENZHEN TOPBAND CO.,LTD (FCL)</t>
  </si>
  <si>
    <t>Shenzhen</t>
  </si>
  <si>
    <t>518108</t>
  </si>
  <si>
    <t>CL60900098</t>
  </si>
  <si>
    <t>CL60900099</t>
  </si>
  <si>
    <t>CL41800541</t>
  </si>
  <si>
    <t>HKD082810</t>
  </si>
  <si>
    <t>WHLU4294183</t>
  </si>
  <si>
    <t>HKD082811</t>
  </si>
  <si>
    <t>WHLU4314973</t>
  </si>
  <si>
    <t>CL68500083</t>
  </si>
  <si>
    <t>CL685</t>
  </si>
  <si>
    <t>TK GROUP INT. (HK) LTD (FCL)</t>
  </si>
  <si>
    <t>518106</t>
  </si>
  <si>
    <t>DAP3203785</t>
  </si>
  <si>
    <t>TRIST</t>
  </si>
  <si>
    <t>IGT0101187</t>
  </si>
  <si>
    <t>149316</t>
  </si>
  <si>
    <t>Norcross</t>
  </si>
  <si>
    <t>30071</t>
  </si>
  <si>
    <t>Expeditors FCL</t>
  </si>
  <si>
    <t>IGT0101188</t>
  </si>
  <si>
    <t>IGT0101189</t>
  </si>
  <si>
    <t>IGT0300107</t>
  </si>
  <si>
    <t>IGT03</t>
  </si>
  <si>
    <t>Philips DI-IGT Best Refurb NL9R</t>
  </si>
  <si>
    <t>NL9R</t>
  </si>
  <si>
    <t>IGT0300108</t>
  </si>
  <si>
    <t>IGT0101190</t>
  </si>
  <si>
    <t>CL61800077</t>
  </si>
  <si>
    <t>PI0019309</t>
  </si>
  <si>
    <t>CO168113</t>
  </si>
  <si>
    <t>1 * 45 ft hq</t>
  </si>
  <si>
    <t>DAP3203787</t>
  </si>
  <si>
    <t>DHLCS07628</t>
  </si>
  <si>
    <t>DHLCS07631</t>
  </si>
  <si>
    <t>DHLCS07629</t>
  </si>
  <si>
    <t>DHLCS07630</t>
  </si>
  <si>
    <t>DHLCS07608</t>
  </si>
  <si>
    <t>70165</t>
  </si>
  <si>
    <t>DEHAM</t>
  </si>
  <si>
    <t>PECLL</t>
  </si>
  <si>
    <t>SAN ISIDRO</t>
  </si>
  <si>
    <t>PE</t>
  </si>
  <si>
    <t>UACU8332138</t>
  </si>
  <si>
    <t>HLCUBUD201102253</t>
  </si>
  <si>
    <t>8331081</t>
  </si>
  <si>
    <t>yes</t>
  </si>
  <si>
    <t>pending</t>
  </si>
  <si>
    <t>missing rates - DHLCS07608 - Peru with Hapag</t>
  </si>
  <si>
    <t>asked Jantsje</t>
  </si>
  <si>
    <t>DHLCS07487</t>
  </si>
  <si>
    <t>MSKU6342834</t>
  </si>
  <si>
    <t>MAEU205504665</t>
  </si>
  <si>
    <t>RITM1878052</t>
  </si>
  <si>
    <t>ticket</t>
  </si>
  <si>
    <t>HKD079694</t>
  </si>
  <si>
    <t>THBKK</t>
  </si>
  <si>
    <t>MRKU0624361</t>
  </si>
  <si>
    <t>RE: File rate with unallocated carrier - wk2043 shipment – APAC_APAC_0267_A - Ex Ningbo to LAT KRABANG, Thailand via Maersk</t>
  </si>
  <si>
    <t>kamil involved by April</t>
  </si>
  <si>
    <t>HKD079693</t>
  </si>
  <si>
    <t>KOCU4388307</t>
  </si>
  <si>
    <t>HDMUNXTH2648206</t>
  </si>
  <si>
    <t>IGT0200084</t>
  </si>
  <si>
    <t>MZ TECHNOLOGIA</t>
  </si>
  <si>
    <t>MZMPM</t>
  </si>
  <si>
    <t>Maputo</t>
  </si>
  <si>
    <t>MZ</t>
  </si>
  <si>
    <t>MSKU2062157</t>
  </si>
  <si>
    <t>5490032252</t>
  </si>
  <si>
    <t>missing rates - IGT0200084 - Maputo with Expeditors</t>
  </si>
  <si>
    <t>asked Paulina;reminder;pending upload</t>
  </si>
  <si>
    <t>CL61800074</t>
  </si>
  <si>
    <t>MRKU0759285</t>
  </si>
  <si>
    <t>missing rates - CL61800074</t>
  </si>
  <si>
    <t>asked batam</t>
  </si>
  <si>
    <t>SRCUP32137</t>
  </si>
  <si>
    <t>CAIU4452042</t>
  </si>
  <si>
    <t>HDMUSCWB3811824</t>
  </si>
  <si>
    <t>518000</t>
  </si>
  <si>
    <t>RE: missing rates - leg 3 with Expeditors</t>
  </si>
  <si>
    <t>Kamil involved Janet</t>
  </si>
  <si>
    <t>HKD079314</t>
  </si>
  <si>
    <t>MRKU0511494</t>
  </si>
  <si>
    <t>DHLCS07516</t>
  </si>
  <si>
    <t>MSKU6094682</t>
  </si>
  <si>
    <t>MAEU205708937</t>
  </si>
  <si>
    <t>RITM1933550</t>
  </si>
  <si>
    <t>DAP3100203</t>
  </si>
  <si>
    <t>DAP31</t>
  </si>
  <si>
    <t>Philips consumer lifestyle (FCL)</t>
  </si>
  <si>
    <t>CL207NEW</t>
  </si>
  <si>
    <t>PLGDY</t>
  </si>
  <si>
    <t>Skierniewice</t>
  </si>
  <si>
    <t>96-100</t>
  </si>
  <si>
    <t>missing rates - Columbus to Skierniewice with CMA</t>
  </si>
  <si>
    <t>asked Mia</t>
  </si>
  <si>
    <t>DAP3100204</t>
  </si>
  <si>
    <t>DAP3100205</t>
  </si>
  <si>
    <t>CMAU0308976</t>
  </si>
  <si>
    <t>CMDUNAM9256350</t>
  </si>
  <si>
    <t>IGT0101154</t>
  </si>
  <si>
    <t>660402</t>
  </si>
  <si>
    <t>MXVER</t>
  </si>
  <si>
    <t>CUAUTITLAN IZCALLI</t>
  </si>
  <si>
    <t>MX</t>
  </si>
  <si>
    <t>MSKU0189857</t>
  </si>
  <si>
    <t>MAEU206684403</t>
  </si>
  <si>
    <t>54716</t>
  </si>
  <si>
    <t>missing rates - NL to Mexico with Maersk</t>
  </si>
  <si>
    <t>asked Martyna</t>
  </si>
  <si>
    <t>HKD079991</t>
  </si>
  <si>
    <t>MRKU7137555</t>
  </si>
  <si>
    <t>MCCQ240667183</t>
  </si>
  <si>
    <t>HKD080077</t>
  </si>
  <si>
    <t>MCCQ240667464</t>
  </si>
  <si>
    <t>missing rates - Ningbo to Thailand with Maersk/Sealand</t>
  </si>
  <si>
    <t>asked Jenny and april</t>
  </si>
  <si>
    <t>CL44800004</t>
  </si>
  <si>
    <t>HUBUD</t>
  </si>
  <si>
    <t>CAMTR</t>
  </si>
  <si>
    <t>CMAU9132506</t>
  </si>
  <si>
    <t>CMDUBUP0156002</t>
  </si>
  <si>
    <t>missing rates - CL44800004</t>
  </si>
  <si>
    <t>asked Mangdalena</t>
  </si>
  <si>
    <t>DHLCS07550</t>
  </si>
  <si>
    <t>MSKU6553204</t>
  </si>
  <si>
    <t>MAEU206040123</t>
  </si>
  <si>
    <t>HKI009642</t>
  </si>
  <si>
    <t>CO806041</t>
  </si>
  <si>
    <t>OOSTRUM</t>
  </si>
  <si>
    <t>CMDUSHZ3039023</t>
  </si>
  <si>
    <t>6 * 45 ft hq</t>
  </si>
  <si>
    <t>4513822,4513891 - no container indicated</t>
  </si>
  <si>
    <t>HKI009631</t>
  </si>
  <si>
    <t>CHNLCMZ0450938</t>
  </si>
  <si>
    <t>2222091</t>
  </si>
  <si>
    <t>CAXU9264121</t>
  </si>
  <si>
    <t>2567786</t>
  </si>
  <si>
    <t>missing rates - 4513762 -  Maersk</t>
  </si>
  <si>
    <t>asked Klaas;reminder</t>
  </si>
  <si>
    <t>SRCUP32965</t>
  </si>
  <si>
    <t>GESU5745433</t>
  </si>
  <si>
    <t>MAEU206036581</t>
  </si>
  <si>
    <t>missing rates - SRCUP32965 - Maersk</t>
  </si>
  <si>
    <t>asked jan</t>
  </si>
  <si>
    <t>DHLCS07552</t>
  </si>
  <si>
    <t>TCKU6542993</t>
  </si>
  <si>
    <t>MAEU206040659</t>
  </si>
  <si>
    <t>RITM1914160</t>
  </si>
  <si>
    <t>DHLCS07553</t>
  </si>
  <si>
    <t>UACU3556691</t>
  </si>
  <si>
    <t>HLCUBUD201004071</t>
  </si>
  <si>
    <t>missing rates - DHLCS07553 - Hapag</t>
  </si>
  <si>
    <t>DTUP003527</t>
  </si>
  <si>
    <t>TTNU1072810</t>
  </si>
  <si>
    <t>missing rates - Maersk CA to NL</t>
  </si>
  <si>
    <t>asked Gustavo</t>
  </si>
  <si>
    <t>DHLCS07591</t>
  </si>
  <si>
    <t>TLLU6841623</t>
  </si>
  <si>
    <t>MAEU206368651</t>
  </si>
  <si>
    <t>RITM1924504</t>
  </si>
  <si>
    <t>HKD079998</t>
  </si>
  <si>
    <t>HDMUNXTH2648207</t>
  </si>
  <si>
    <t>CL72000017</t>
  </si>
  <si>
    <t>MRSU3403074</t>
  </si>
  <si>
    <t>MAEU205885322</t>
  </si>
  <si>
    <t>missing rates from Jiangmen to US with DB Schenker</t>
  </si>
  <si>
    <t>asked Mia;reminder;reminder</t>
  </si>
  <si>
    <t>IGT0101148</t>
  </si>
  <si>
    <t>TCNU7392510</t>
  </si>
  <si>
    <t>MAEU206683837</t>
  </si>
  <si>
    <t>DHLCS07484</t>
  </si>
  <si>
    <t>MRKU0699289</t>
  </si>
  <si>
    <t>MAEU205440538</t>
  </si>
  <si>
    <t>IGT0100601</t>
  </si>
  <si>
    <t>APAC-JP</t>
  </si>
  <si>
    <t>JPTYO</t>
  </si>
  <si>
    <t>TOKYO</t>
  </si>
  <si>
    <t>JP</t>
  </si>
  <si>
    <t>SEGU4924871</t>
  </si>
  <si>
    <t>108-8507</t>
  </si>
  <si>
    <t>missing rates - IGT0100601 - Expeditors;Rates of HS in Infodis</t>
  </si>
  <si>
    <t>asked Piotr</t>
  </si>
  <si>
    <t>CL75000002</t>
  </si>
  <si>
    <t>CL750</t>
  </si>
  <si>
    <t>ftcap GmbH (Air/LCL)</t>
  </si>
  <si>
    <t>Husum</t>
  </si>
  <si>
    <t>HONG KONG</t>
  </si>
  <si>
    <t>25813</t>
  </si>
  <si>
    <t>DB Schenker LCL</t>
  </si>
  <si>
    <t>missing rates DE to CN with DB Schenker LCL (as FCL and cross dock on leg 3)</t>
  </si>
  <si>
    <t>asked CN</t>
  </si>
  <si>
    <t>CL75000003</t>
  </si>
  <si>
    <t>DE7HAM000050755</t>
  </si>
  <si>
    <t>IGT0200044</t>
  </si>
  <si>
    <t>INCHAN</t>
  </si>
  <si>
    <t>CHANDIGARH</t>
  </si>
  <si>
    <t>160012</t>
  </si>
  <si>
    <t>missing rates - IGT0200044 - Expeditors;Rates of HS in Infodis</t>
  </si>
  <si>
    <t>asked DX/DS</t>
  </si>
  <si>
    <t>IGT0200047</t>
  </si>
  <si>
    <t>ZM ASHTROM</t>
  </si>
  <si>
    <t>ZMLUN</t>
  </si>
  <si>
    <t>Lusaka</t>
  </si>
  <si>
    <t>ZM</t>
  </si>
  <si>
    <t>MRKU5127753</t>
  </si>
  <si>
    <t>missing rates - IGT0200047 - Expeditors;Rates of HS in Infodis</t>
  </si>
  <si>
    <t>asked Olga</t>
  </si>
  <si>
    <t>SR0226715</t>
  </si>
  <si>
    <t>SRCTF</t>
  </si>
  <si>
    <t>Philips Respironics RIEW (FCL)</t>
  </si>
  <si>
    <t>40422734</t>
  </si>
  <si>
    <t>Tangmere, Chichester</t>
  </si>
  <si>
    <t>GB</t>
  </si>
  <si>
    <t>GBLGP</t>
  </si>
  <si>
    <t>DZALG</t>
  </si>
  <si>
    <t>Dely Ibrahim</t>
  </si>
  <si>
    <t>DZ</t>
  </si>
  <si>
    <t>CMAU7719161</t>
  </si>
  <si>
    <t>CMDULPL0975122</t>
  </si>
  <si>
    <t>PO20 2FT</t>
  </si>
  <si>
    <t>16000</t>
  </si>
  <si>
    <t>missing rates  - SR0226715 - Expeditors</t>
  </si>
  <si>
    <t>asked Stuart;asked  again;reminder;reminder</t>
  </si>
  <si>
    <t>SRCUP29485</t>
  </si>
  <si>
    <t>USF01</t>
  </si>
  <si>
    <t>VELCRO USA: INC. (FCL)</t>
  </si>
  <si>
    <t>Douglas</t>
  </si>
  <si>
    <t>HLXU6570682</t>
  </si>
  <si>
    <t>HLCUBSC2008BPDT8</t>
  </si>
  <si>
    <t>85607</t>
  </si>
  <si>
    <t>missing rates - SRCUP29485 - Hapag</t>
  </si>
  <si>
    <t>asked Kimberly;reminder for Kamil;reminder for Kamil again</t>
  </si>
  <si>
    <t>DHLCS07417</t>
  </si>
  <si>
    <t>366026</t>
  </si>
  <si>
    <t>UYMVD</t>
  </si>
  <si>
    <t>MONTEVIDEO</t>
  </si>
  <si>
    <t>UY</t>
  </si>
  <si>
    <t>HLXU8574481</t>
  </si>
  <si>
    <t>HLCUBUD200803506</t>
  </si>
  <si>
    <t>11000</t>
  </si>
  <si>
    <t>missing rates from Budapest to CR and UY</t>
  </si>
  <si>
    <t>asked Jantsje;asked Balazs</t>
  </si>
  <si>
    <t>SR0296283</t>
  </si>
  <si>
    <t>SRCZF</t>
  </si>
  <si>
    <t>Philips Carlsbad (FCL)</t>
  </si>
  <si>
    <t>RIVI</t>
  </si>
  <si>
    <t>60600001</t>
  </si>
  <si>
    <t>Fontana</t>
  </si>
  <si>
    <t>GBSOU</t>
  </si>
  <si>
    <t>CHICHESTER</t>
  </si>
  <si>
    <t>SEGU4048362</t>
  </si>
  <si>
    <t>92337</t>
  </si>
  <si>
    <t>missing rates with Expeditors (FCL movements from Carlsbad and Fontana)</t>
  </si>
  <si>
    <t>asked US;reminder (adding booker)</t>
  </si>
  <si>
    <t>SR0296284</t>
  </si>
  <si>
    <t>TCNU7271041</t>
  </si>
  <si>
    <t>SR0296285</t>
  </si>
  <si>
    <t>TGHU9135724</t>
  </si>
  <si>
    <t>IGT0101147</t>
  </si>
  <si>
    <t>SUDU5686459</t>
  </si>
  <si>
    <t>MAEU206683836</t>
  </si>
  <si>
    <t>SR0296334</t>
  </si>
  <si>
    <t>TLLU5473194</t>
  </si>
  <si>
    <t>2221559</t>
  </si>
  <si>
    <t>ORO03</t>
  </si>
  <si>
    <t>PHILIPS ORASTIE SRL (SAP)</t>
  </si>
  <si>
    <t>837012</t>
  </si>
  <si>
    <t>ROARW</t>
  </si>
  <si>
    <t>Singapore</t>
  </si>
  <si>
    <t>SG</t>
  </si>
  <si>
    <t>627540</t>
  </si>
  <si>
    <t>DHL LCL Ocean S (Consolidation)</t>
  </si>
  <si>
    <t>missing rates - Orastie to Singapore with DHL Consol (as FCL)</t>
  </si>
  <si>
    <t>asked Raluca</t>
  </si>
  <si>
    <t>2221590</t>
  </si>
  <si>
    <t>830386</t>
  </si>
  <si>
    <t>SINGAPORE</t>
  </si>
  <si>
    <t>319762</t>
  </si>
  <si>
    <t>2221751</t>
  </si>
  <si>
    <t>MSKU9694335</t>
  </si>
  <si>
    <t>2562526</t>
  </si>
  <si>
    <t>missingi rates - shipments to Mexico and Guatemala</t>
  </si>
  <si>
    <t>asked Klaas;reminder;reminder</t>
  </si>
  <si>
    <t>2221753</t>
  </si>
  <si>
    <t>70012</t>
  </si>
  <si>
    <t>Mexico</t>
  </si>
  <si>
    <t>MSKU3163922</t>
  </si>
  <si>
    <t>2562528</t>
  </si>
  <si>
    <t>05348</t>
  </si>
  <si>
    <t>DHLCS07449</t>
  </si>
  <si>
    <t>CSNU4084967</t>
  </si>
  <si>
    <t>COSU6276139500</t>
  </si>
  <si>
    <t>missing rates - DHLCS07449 - Cosco</t>
  </si>
  <si>
    <t>erwin;reminder</t>
  </si>
  <si>
    <t>CL77700009</t>
  </si>
  <si>
    <t>CL777</t>
  </si>
  <si>
    <t>Topxin Plastic Manufacturing (FCL)</t>
  </si>
  <si>
    <t>523000</t>
  </si>
  <si>
    <t>missing rates - CL79400007 - Maersk</t>
  </si>
  <si>
    <t>asked Klaas</t>
  </si>
  <si>
    <t>DHLCS07469</t>
  </si>
  <si>
    <t>MSKU6228307</t>
  </si>
  <si>
    <t>MAEU205318512</t>
  </si>
  <si>
    <t>DHLCS07470</t>
  </si>
  <si>
    <t>MRKU4686910</t>
  </si>
  <si>
    <t>MAEU205318506</t>
  </si>
  <si>
    <t>SR0344670</t>
  </si>
  <si>
    <t>TCNU5077280</t>
  </si>
  <si>
    <t>HKI009681</t>
  </si>
  <si>
    <t>CNYSN</t>
  </si>
  <si>
    <t>COSU6275898450</t>
  </si>
  <si>
    <t>missing rates - Cosco - HKI009681</t>
  </si>
  <si>
    <t>asked Ionut</t>
  </si>
  <si>
    <t>SR0354525</t>
  </si>
  <si>
    <t>KKFU7572412</t>
  </si>
  <si>
    <t>SR0296314</t>
  </si>
  <si>
    <t>DFSU6012281</t>
  </si>
  <si>
    <t>CL72000018</t>
  </si>
  <si>
    <t>MSKU8502248</t>
  </si>
  <si>
    <t>MAEU205884358</t>
  </si>
  <si>
    <t>HKD079995</t>
  </si>
  <si>
    <t>MSKU6614613</t>
  </si>
  <si>
    <t>MCCQ240667184</t>
  </si>
  <si>
    <t>SRCUP33357</t>
  </si>
  <si>
    <t>PCTMF</t>
  </si>
  <si>
    <t>PCT Manila Upstream (FCL)</t>
  </si>
  <si>
    <t>SAFARJED</t>
  </si>
  <si>
    <t>SAJED</t>
  </si>
  <si>
    <t>Jeddah-Khomara</t>
  </si>
  <si>
    <t>SA</t>
  </si>
  <si>
    <t>6911457333</t>
  </si>
  <si>
    <t>852000</t>
  </si>
  <si>
    <t>23242</t>
  </si>
  <si>
    <t>misssing rates - Expeditors to SA and CN</t>
  </si>
  <si>
    <t>asked Rodje</t>
  </si>
  <si>
    <t>HKI010159</t>
  </si>
  <si>
    <t>Dolgoprudniy</t>
  </si>
  <si>
    <t>141720</t>
  </si>
  <si>
    <t>1 * 40 ft, 4 * 40 ft hc</t>
  </si>
  <si>
    <t>missing rates - To Russia with Cosco (via Germany)</t>
  </si>
  <si>
    <t>asked april</t>
  </si>
  <si>
    <t>DHLCS07568</t>
  </si>
  <si>
    <t>MSKU6691991</t>
  </si>
  <si>
    <t>MAEU206227540</t>
  </si>
  <si>
    <t>RITM1925635</t>
  </si>
  <si>
    <t>DHLCS07567</t>
  </si>
  <si>
    <t>TGHU4064232</t>
  </si>
  <si>
    <t>MAEU206227295</t>
  </si>
  <si>
    <t>RITM1922836</t>
  </si>
  <si>
    <t>CL60900096</t>
  </si>
  <si>
    <t>INBU5100980</t>
  </si>
  <si>
    <t>MCCQ206476887</t>
  </si>
  <si>
    <t>missing rates - Two shipments from China</t>
  </si>
  <si>
    <t>DHLCS07566</t>
  </si>
  <si>
    <t>MSKU6879356</t>
  </si>
  <si>
    <t>MAEU206227296</t>
  </si>
  <si>
    <t>DHLCS07565</t>
  </si>
  <si>
    <t>PONU1614591</t>
  </si>
  <si>
    <t>MAEU206227298</t>
  </si>
  <si>
    <t>HKI009920</t>
  </si>
  <si>
    <t>CO366038</t>
  </si>
  <si>
    <t>Barros Blancos</t>
  </si>
  <si>
    <t>91001</t>
  </si>
  <si>
    <t>missing rates - ONE (from CN to UY)</t>
  </si>
  <si>
    <t>asked April</t>
  </si>
  <si>
    <t>IGT0101083</t>
  </si>
  <si>
    <t>PHIN01</t>
  </si>
  <si>
    <t>INMAA</t>
  </si>
  <si>
    <t>Chennai</t>
  </si>
  <si>
    <t>TGBU5009388</t>
  </si>
  <si>
    <t>COSU6281035470</t>
  </si>
  <si>
    <t>600067</t>
  </si>
  <si>
    <t>missing rates - Chennai with Cosco IGT0101083</t>
  </si>
  <si>
    <t>HKI010171</t>
  </si>
  <si>
    <t>DHLCS07563</t>
  </si>
  <si>
    <t>PONU1872657</t>
  </si>
  <si>
    <t>MAEU206227068</t>
  </si>
  <si>
    <t>DHLCS07561</t>
  </si>
  <si>
    <t>717013</t>
  </si>
  <si>
    <t>2582335 </t>
  </si>
  <si>
    <t>SRCUP33299</t>
  </si>
  <si>
    <t>Staefa</t>
  </si>
  <si>
    <t>CH</t>
  </si>
  <si>
    <t>New Kensington</t>
  </si>
  <si>
    <t>618411468</t>
  </si>
  <si>
    <t>8712</t>
  </si>
  <si>
    <t>15068</t>
  </si>
  <si>
    <t>missing rates - Staefa with Expeditors (FCL)</t>
  </si>
  <si>
    <t>asked Justyna</t>
  </si>
  <si>
    <t>CL61800073</t>
  </si>
  <si>
    <t>missing rates - China to Batam with DHL FCL</t>
  </si>
  <si>
    <t>asked Batam</t>
  </si>
  <si>
    <t>DHLCS07564</t>
  </si>
  <si>
    <t>MRKU0013803</t>
  </si>
  <si>
    <t>MAEU206227308</t>
  </si>
  <si>
    <t>SR0472380</t>
  </si>
  <si>
    <t>SRC3F</t>
  </si>
  <si>
    <t>Philips Respironics RI3P (FCL)</t>
  </si>
  <si>
    <t>RI3P</t>
  </si>
  <si>
    <t>40423276</t>
  </si>
  <si>
    <t>Union City</t>
  </si>
  <si>
    <t>USATL</t>
  </si>
  <si>
    <t>KRSEL</t>
  </si>
  <si>
    <t>30291</t>
  </si>
  <si>
    <t>6090051628</t>
  </si>
  <si>
    <t>06564</t>
  </si>
  <si>
    <t>missing rates to Korea with Expeditors</t>
  </si>
  <si>
    <t>asked Bob</t>
  </si>
  <si>
    <t>2224182</t>
  </si>
  <si>
    <t>CO166616</t>
  </si>
  <si>
    <t>MAGU5241807</t>
  </si>
  <si>
    <t>COSU6281825580</t>
  </si>
  <si>
    <t>CL68500082</t>
  </si>
  <si>
    <t>PONU1907619</t>
  </si>
  <si>
    <t>MCCQ206453076</t>
  </si>
  <si>
    <t>CL70500096</t>
  </si>
  <si>
    <t>MSKU6138040</t>
  </si>
  <si>
    <t>DAP9600807</t>
  </si>
  <si>
    <t>FCIU9993541</t>
  </si>
  <si>
    <t>COSU6281824660</t>
  </si>
  <si>
    <t>HKI010167</t>
  </si>
  <si>
    <t>HKD080491</t>
  </si>
  <si>
    <t>CL577</t>
  </si>
  <si>
    <t>Ningbo Taller Electrical (FCL)</t>
  </si>
  <si>
    <t>KOCU4728053</t>
  </si>
  <si>
    <t>HDMUNXTH2648205</t>
  </si>
  <si>
    <t>315470</t>
  </si>
  <si>
    <t>HKD080519</t>
  </si>
  <si>
    <t>MCCQ240667432</t>
  </si>
  <si>
    <t>HKD081445</t>
  </si>
  <si>
    <t>missing rates  - Maersk to Russia (via RUMOW)</t>
  </si>
  <si>
    <t>HKD081443</t>
  </si>
  <si>
    <t>2224226</t>
  </si>
  <si>
    <t>806041</t>
  </si>
  <si>
    <t>NLMEW</t>
  </si>
  <si>
    <t>solved</t>
  </si>
  <si>
    <t>maersk deal</t>
  </si>
  <si>
    <t>CL63100007</t>
  </si>
  <si>
    <t>CL634</t>
  </si>
  <si>
    <t>STRIX (HONG KONG) LIMITED (FCL)</t>
  </si>
  <si>
    <t>AR10</t>
  </si>
  <si>
    <t>not on pre-bill</t>
  </si>
  <si>
    <t>CL41800502</t>
  </si>
  <si>
    <t>MAEU911050907</t>
  </si>
  <si>
    <t>SR0512946</t>
  </si>
  <si>
    <t>TCKU6158503</t>
  </si>
  <si>
    <t>MAEU206510065</t>
  </si>
  <si>
    <t>SR0512956</t>
  </si>
  <si>
    <t>MRKU2490889</t>
  </si>
  <si>
    <t>MAEU206510310</t>
  </si>
  <si>
    <t>SR0512952</t>
  </si>
  <si>
    <t>HASU4728752</t>
  </si>
  <si>
    <t>MAEU206510305</t>
  </si>
  <si>
    <t>CL41800507</t>
  </si>
  <si>
    <t>MAEU204520345</t>
  </si>
  <si>
    <t>DTUP002623</t>
  </si>
  <si>
    <t>Kibbutz Ein Carmel</t>
  </si>
  <si>
    <t>MSDU8074587</t>
  </si>
  <si>
    <t>177GFNFNXLCN</t>
  </si>
  <si>
    <t>3086000</t>
  </si>
  <si>
    <t>DTUP002623 - Was ist das?</t>
  </si>
  <si>
    <t>asked Jakub;reminder;reminder</t>
  </si>
  <si>
    <t>HKI009516</t>
  </si>
  <si>
    <t>CO366025</t>
  </si>
  <si>
    <t>REPDG</t>
  </si>
  <si>
    <t>LE PORT</t>
  </si>
  <si>
    <t>RE</t>
  </si>
  <si>
    <t>97420</t>
  </si>
  <si>
    <t>Mediterranean Shipping Company S</t>
  </si>
  <si>
    <t>leg 1 rates case</t>
  </si>
  <si>
    <t>DTUP003959</t>
  </si>
  <si>
    <t>dhl for haifa</t>
  </si>
  <si>
    <t>PI0018494</t>
  </si>
  <si>
    <t>568892</t>
  </si>
  <si>
    <t>KRKAN</t>
  </si>
  <si>
    <t>KKTU7866432</t>
  </si>
  <si>
    <t>ONEYBTMA00773300</t>
  </si>
  <si>
    <t>RE: Spot Quote Request : PHILIPS BOOKINGS TO KRKAN &gt;&gt; HMM Blank sailing for ETD Sin WK44</t>
  </si>
  <si>
    <t>pending correction</t>
  </si>
  <si>
    <t>DTUP003906</t>
  </si>
  <si>
    <t>CL62600005</t>
  </si>
  <si>
    <t>CL626</t>
  </si>
  <si>
    <t>Zhuhai YingCheng Electronic (FCL)</t>
  </si>
  <si>
    <t>Wang Guan Min</t>
  </si>
  <si>
    <t>519085</t>
  </si>
  <si>
    <t>CNZSN0000045463</t>
  </si>
  <si>
    <t>1 * 20R0</t>
  </si>
  <si>
    <t>SR0512957</t>
  </si>
  <si>
    <t>HASU4706080</t>
  </si>
  <si>
    <t>MAEU206510303</t>
  </si>
  <si>
    <t>SR0460456</t>
  </si>
  <si>
    <t>RIEW</t>
  </si>
  <si>
    <t>Chichester</t>
  </si>
  <si>
    <t>HASU4051830</t>
  </si>
  <si>
    <t>MAEU206063456</t>
  </si>
  <si>
    <t>CL08101445</t>
  </si>
  <si>
    <t>CL081</t>
  </si>
  <si>
    <t>PI Electronics (HK) Ltd (FCL)</t>
  </si>
  <si>
    <t>TRLU7315563</t>
  </si>
  <si>
    <t>518173</t>
  </si>
  <si>
    <t>SRC055271</t>
  </si>
  <si>
    <t>40424033</t>
  </si>
  <si>
    <t>AEAUH</t>
  </si>
  <si>
    <t>Abu Dhabi</t>
  </si>
  <si>
    <t>missing rates - Expeditors (from Mt Pleasant to different locations)</t>
  </si>
  <si>
    <t>asked Duane and Panama for help;moved to Geertje;no data available</t>
  </si>
  <si>
    <t>HKD056982</t>
  </si>
  <si>
    <t>CL615</t>
  </si>
  <si>
    <t>Huizhou ZhengYu Industrial FCL</t>
  </si>
  <si>
    <t>DIS11</t>
  </si>
  <si>
    <t>Ontario</t>
  </si>
  <si>
    <t>518117</t>
  </si>
  <si>
    <t>91761</t>
  </si>
  <si>
    <t>Expeditors JP</t>
  </si>
  <si>
    <t>missing rates - Shehzhen to Ontario - Expeditors</t>
  </si>
  <si>
    <t>asked Chantal;already picked up in separate conversation  (Chantal working on it)</t>
  </si>
  <si>
    <t>SRC0300044</t>
  </si>
  <si>
    <t>SRC03</t>
  </si>
  <si>
    <t>RIU2</t>
  </si>
  <si>
    <t>VACU5643141</t>
  </si>
  <si>
    <t>missing rates - SRC0300044 - Hapag</t>
  </si>
  <si>
    <t>asked Matthew;forwarded to Rob;asked George on update;simple SRC issue</t>
  </si>
  <si>
    <t>HKD057810</t>
  </si>
  <si>
    <t>CL61300065</t>
  </si>
  <si>
    <t>CL613</t>
  </si>
  <si>
    <t>WACKER CHEMIE AG (FCL)</t>
  </si>
  <si>
    <t>TCNU7713333</t>
  </si>
  <si>
    <t>629701</t>
  </si>
  <si>
    <t>Batamindo LCL</t>
  </si>
  <si>
    <t>shipment from 2019</t>
  </si>
  <si>
    <t>HKD071630</t>
  </si>
  <si>
    <t>CO83038603</t>
  </si>
  <si>
    <t>VNSGN</t>
  </si>
  <si>
    <t>HOCHIMINH CITY</t>
  </si>
  <si>
    <t>VN</t>
  </si>
  <si>
    <t>MSKU6107460</t>
  </si>
  <si>
    <t>MCCQ599543548</t>
  </si>
  <si>
    <t>999</t>
  </si>
  <si>
    <t>missing rates- HKD071630 - MCC/Sealand</t>
  </si>
  <si>
    <t>asked Jenny;add rates from VNPLG</t>
  </si>
  <si>
    <t>SRC880813</t>
  </si>
  <si>
    <t>40413646</t>
  </si>
  <si>
    <t>BDCGP</t>
  </si>
  <si>
    <t>DHAKA</t>
  </si>
  <si>
    <t>BD</t>
  </si>
  <si>
    <t>GATU1357964</t>
  </si>
  <si>
    <t>6750064380</t>
  </si>
  <si>
    <t>1100</t>
  </si>
  <si>
    <t>missing rates - SRC880813 - Expeditors</t>
  </si>
  <si>
    <t>asked Stuart and Matthew;paid by receiver</t>
  </si>
  <si>
    <t>DTUP001326</t>
  </si>
  <si>
    <t>DT102</t>
  </si>
  <si>
    <t>ETLA TECHNOLOGY (WUXI)  (FCL)</t>
  </si>
  <si>
    <t>NL92QL07</t>
  </si>
  <si>
    <t>WUXI</t>
  </si>
  <si>
    <t>Best</t>
  </si>
  <si>
    <t>MSKU1741410</t>
  </si>
  <si>
    <t>214028</t>
  </si>
  <si>
    <t>5684 PC</t>
  </si>
  <si>
    <t>1 * 40 ft hq nor NON Operating Reefers</t>
  </si>
  <si>
    <t>missing rates - DTUP001326 - Panalpina FCL</t>
  </si>
  <si>
    <t>asked Jakub;sked Jakub if rates needed;Kamil requested rates but they seem to be useless</t>
  </si>
  <si>
    <t>DTUP001470</t>
  </si>
  <si>
    <t>MRSU3073199</t>
  </si>
  <si>
    <t>DTUP001588</t>
  </si>
  <si>
    <t>TCKU6705658</t>
  </si>
  <si>
    <t>SR0513034</t>
  </si>
  <si>
    <t>SR0513030</t>
  </si>
  <si>
    <t>MRKU3603193</t>
  </si>
  <si>
    <t>MAEU206514538</t>
  </si>
  <si>
    <t>HKD074132</t>
  </si>
  <si>
    <t>366024</t>
  </si>
  <si>
    <t>MEDU6751104</t>
  </si>
  <si>
    <t>MSCUMEDUZE274598</t>
  </si>
  <si>
    <t>missing rates - HKD074132 - Mediterranean Shipping Company</t>
  </si>
  <si>
    <t>asked April;move topic to pre-billing team;no movement</t>
  </si>
  <si>
    <t>DTUP001750</t>
  </si>
  <si>
    <t>TCLU6696342</t>
  </si>
  <si>
    <t>SR0513032</t>
  </si>
  <si>
    <t>SUDU6680917</t>
  </si>
  <si>
    <t>MAEU206514542</t>
  </si>
  <si>
    <t>SR0513028</t>
  </si>
  <si>
    <t>TRLU7217145</t>
  </si>
  <si>
    <t>MAEU206514346</t>
  </si>
  <si>
    <t>DTUP001880</t>
  </si>
  <si>
    <t>NL92RE01</t>
  </si>
  <si>
    <t>TGBU5405157</t>
  </si>
  <si>
    <t>607218559</t>
  </si>
  <si>
    <t>HKD081918</t>
  </si>
  <si>
    <t>OCN89</t>
  </si>
  <si>
    <t>ELEC-TECH (FCL)</t>
  </si>
  <si>
    <t>525002</t>
  </si>
  <si>
    <t>ITSPE</t>
  </si>
  <si>
    <t>Gaggio Montano</t>
  </si>
  <si>
    <t>IT</t>
  </si>
  <si>
    <t>40041</t>
  </si>
  <si>
    <t>SR0512958</t>
  </si>
  <si>
    <t>DTUP001964</t>
  </si>
  <si>
    <t>TCKU7138245</t>
  </si>
  <si>
    <t>607225086</t>
  </si>
  <si>
    <t>spot quote</t>
  </si>
  <si>
    <t>CL62600004</t>
  </si>
  <si>
    <t>CNZSN0000044747</t>
  </si>
  <si>
    <t>CL08101446</t>
  </si>
  <si>
    <t>HKD081581</t>
  </si>
  <si>
    <t>OCN08</t>
  </si>
  <si>
    <t>Chunju (FCL)</t>
  </si>
  <si>
    <t>MRKU2550442</t>
  </si>
  <si>
    <t>MAEU206217556</t>
  </si>
  <si>
    <t>215132</t>
  </si>
  <si>
    <t>HKD081288</t>
  </si>
  <si>
    <t>CL506</t>
  </si>
  <si>
    <t>Ph Jiaxing (FCL) 4654632</t>
  </si>
  <si>
    <t>Zhongshan</t>
  </si>
  <si>
    <t>528425</t>
  </si>
  <si>
    <t>2021 shipment</t>
  </si>
  <si>
    <t>HKD081503</t>
  </si>
  <si>
    <t>MEDU1656059</t>
  </si>
  <si>
    <t>rates only for leg 1</t>
  </si>
  <si>
    <t>SR0440486</t>
  </si>
  <si>
    <t>CXDU2265252</t>
  </si>
  <si>
    <t>MAEU205878616</t>
  </si>
  <si>
    <t>missing rates - Shenzhen to Chichester with Maersk</t>
  </si>
  <si>
    <t>asked CHINA;maersk deal</t>
  </si>
  <si>
    <t>CL41800520</t>
  </si>
  <si>
    <t>MRKU0226178</t>
  </si>
  <si>
    <t>MAEU204841395</t>
  </si>
  <si>
    <t>SR0470979</t>
  </si>
  <si>
    <t>HASU5066666</t>
  </si>
  <si>
    <t>MAEU206156293</t>
  </si>
  <si>
    <t>SRC055209</t>
  </si>
  <si>
    <t>40413989</t>
  </si>
  <si>
    <t>LBBEY</t>
  </si>
  <si>
    <t>Dekwaneh</t>
  </si>
  <si>
    <t>LB</t>
  </si>
  <si>
    <t>175523</t>
  </si>
  <si>
    <t>IGT0200103</t>
  </si>
  <si>
    <t>SRI BALAJI</t>
  </si>
  <si>
    <t>Puducherry</t>
  </si>
  <si>
    <t>6490093808</t>
  </si>
  <si>
    <t>607402</t>
  </si>
  <si>
    <t>missing rates - Expeditors - IGT0200103</t>
  </si>
  <si>
    <t>PI0017459</t>
  </si>
  <si>
    <t>MRKU0154340</t>
  </si>
  <si>
    <t>MAEU205949107</t>
  </si>
  <si>
    <t>PI0017458</t>
  </si>
  <si>
    <t>TLLU2234730</t>
  </si>
  <si>
    <t>MAEU205949105</t>
  </si>
  <si>
    <t>PI0017460</t>
  </si>
  <si>
    <t>MRKU0383958</t>
  </si>
  <si>
    <t>MAEU205949296</t>
  </si>
  <si>
    <t>SR0440487</t>
  </si>
  <si>
    <t>MRKU3365006</t>
  </si>
  <si>
    <t>MAEU205878624</t>
  </si>
  <si>
    <t>PI0017456</t>
  </si>
  <si>
    <t>MRKU0143031</t>
  </si>
  <si>
    <t>MAEU205948960</t>
  </si>
  <si>
    <t>SR0471986</t>
  </si>
  <si>
    <t>6750065455</t>
  </si>
  <si>
    <t>expeditors from gb (they do not answer)</t>
  </si>
  <si>
    <t>DTUP003626</t>
  </si>
  <si>
    <t>DT377</t>
  </si>
  <si>
    <t>Tontec International Ltd(FCL)</t>
  </si>
  <si>
    <t>US9N</t>
  </si>
  <si>
    <t>USSEA</t>
  </si>
  <si>
    <t>Bothell</t>
  </si>
  <si>
    <t>999077</t>
  </si>
  <si>
    <t>6911454854</t>
  </si>
  <si>
    <t>98021</t>
  </si>
  <si>
    <t>1 * 20 ft, 4 * 40 ft</t>
  </si>
  <si>
    <t>yyes</t>
  </si>
  <si>
    <t>will be in allocation in November</t>
  </si>
  <si>
    <t>PI0017663</t>
  </si>
  <si>
    <t>PONU1679524</t>
  </si>
  <si>
    <t>MAEU206058393</t>
  </si>
  <si>
    <t>SR0460458</t>
  </si>
  <si>
    <t>MRKU5363229</t>
  </si>
  <si>
    <t>MAEU206063472</t>
  </si>
  <si>
    <t>PI0017665</t>
  </si>
  <si>
    <t>MRKU0065140</t>
  </si>
  <si>
    <t>MAEU206058510</t>
  </si>
  <si>
    <t>PI0017666</t>
  </si>
  <si>
    <t>MSKU6311010</t>
  </si>
  <si>
    <t>MAEU206058506</t>
  </si>
  <si>
    <t>SR0460429</t>
  </si>
  <si>
    <t>MSKU0603545</t>
  </si>
  <si>
    <t>MAEU206062990</t>
  </si>
  <si>
    <t>SR0460455</t>
  </si>
  <si>
    <t>MSKU0021349</t>
  </si>
  <si>
    <t>MAEU206063473</t>
  </si>
  <si>
    <t>HKD080123</t>
  </si>
  <si>
    <t>MCCQ240667190</t>
  </si>
  <si>
    <t>IGT0101143</t>
  </si>
  <si>
    <t>APAC-AU</t>
  </si>
  <si>
    <t>AUFRE</t>
  </si>
  <si>
    <t>NORTH RYDE</t>
  </si>
  <si>
    <t>MRKU3994251</t>
  </si>
  <si>
    <t>MAEU206681400</t>
  </si>
  <si>
    <t>NSW 2113</t>
  </si>
  <si>
    <t>pending upload</t>
  </si>
  <si>
    <t>SR0440495</t>
  </si>
  <si>
    <t>MSKU9774235</t>
  </si>
  <si>
    <t>MAEU205879008</t>
  </si>
  <si>
    <t>HKD079819</t>
  </si>
  <si>
    <t>CNCWN</t>
  </si>
  <si>
    <t>MRKU2905877</t>
  </si>
  <si>
    <t>MAEU205717433</t>
  </si>
  <si>
    <t>deal  with maersk</t>
  </si>
  <si>
    <t>SR0497877</t>
  </si>
  <si>
    <t>40424428</t>
  </si>
  <si>
    <t>INPPG</t>
  </si>
  <si>
    <t>New Delhi</t>
  </si>
  <si>
    <t>6090051849</t>
  </si>
  <si>
    <t>110065</t>
  </si>
  <si>
    <t>IGT0101144</t>
  </si>
  <si>
    <t>IGT0101145</t>
  </si>
  <si>
    <t>CL41800516</t>
  </si>
  <si>
    <t>MSKU6407560</t>
  </si>
  <si>
    <t>MAEU204841122</t>
  </si>
  <si>
    <t>2224256</t>
  </si>
  <si>
    <t>MSKU7431290</t>
  </si>
  <si>
    <t>MAEU206452128</t>
  </si>
  <si>
    <t>SR0512760</t>
  </si>
  <si>
    <t>MRKU4719589</t>
  </si>
  <si>
    <t>MAEU206505304</t>
  </si>
  <si>
    <t>SR0481161</t>
  </si>
  <si>
    <t>SR0481160</t>
  </si>
  <si>
    <t>TCLU5969735</t>
  </si>
  <si>
    <t>MAEU206260004</t>
  </si>
  <si>
    <t>SR0440473</t>
  </si>
  <si>
    <t>MRSU3605671</t>
  </si>
  <si>
    <t>MAEU205878404</t>
  </si>
  <si>
    <t>DTUP003719</t>
  </si>
  <si>
    <t>MEDU6523151</t>
  </si>
  <si>
    <t>177GFNFNXLCN4682</t>
  </si>
  <si>
    <t>missing rates - Tianjin to Haifa with DHL</t>
  </si>
  <si>
    <t>asked Lex</t>
  </si>
  <si>
    <t>SR0470977</t>
  </si>
  <si>
    <t>TCNU8422760</t>
  </si>
  <si>
    <t>MAEU206156279</t>
  </si>
  <si>
    <t>SR0470978</t>
  </si>
  <si>
    <t>MSKU1265416</t>
  </si>
  <si>
    <t>MAEU206156274</t>
  </si>
  <si>
    <t>IGT0200115</t>
  </si>
  <si>
    <t>3452</t>
  </si>
  <si>
    <t>Ho Chi Minh City</t>
  </si>
  <si>
    <t>MSKU2283836</t>
  </si>
  <si>
    <t>MAEU206232606</t>
  </si>
  <si>
    <t>missing rates - Vietnam with maersk</t>
  </si>
  <si>
    <t>asked Olga;maersk deal</t>
  </si>
  <si>
    <t>IGT0200114</t>
  </si>
  <si>
    <t>SUDU8851773</t>
  </si>
  <si>
    <t>MAEU206232356</t>
  </si>
  <si>
    <t>IGT0200113</t>
  </si>
  <si>
    <t>MAEU206232205</t>
  </si>
  <si>
    <t>2 * 20 ft</t>
  </si>
  <si>
    <t>MTA0324716</t>
  </si>
  <si>
    <t>MT024</t>
  </si>
  <si>
    <t>Philips c/o Mueller  (FCL)</t>
  </si>
  <si>
    <t>DE9A</t>
  </si>
  <si>
    <t>DE9B - US USMC</t>
  </si>
  <si>
    <t>Althengstett</t>
  </si>
  <si>
    <t>West Chicago</t>
  </si>
  <si>
    <t>75382</t>
  </si>
  <si>
    <t>6570078211</t>
  </si>
  <si>
    <t>60185</t>
  </si>
  <si>
    <t>test booking</t>
  </si>
  <si>
    <t>MTA0329752</t>
  </si>
  <si>
    <t>IGT0200112</t>
  </si>
  <si>
    <t>MRKU4063886</t>
  </si>
  <si>
    <t>MAEU206232090</t>
  </si>
  <si>
    <t>SR0470976</t>
  </si>
  <si>
    <t>TCKU6852860</t>
  </si>
  <si>
    <t>MAEU206156288</t>
  </si>
  <si>
    <t>SRC054672</t>
  </si>
  <si>
    <t>40420215</t>
  </si>
  <si>
    <t>Vadavalli, Coimbatore</t>
  </si>
  <si>
    <t>EGHU9235518</t>
  </si>
  <si>
    <t>641041</t>
  </si>
  <si>
    <t>asked Duane and Panama for help;moved to Geertje</t>
  </si>
  <si>
    <t>SRCUP18354</t>
  </si>
  <si>
    <t>40413452</t>
  </si>
  <si>
    <t>USNOG</t>
  </si>
  <si>
    <t>Shatin</t>
  </si>
  <si>
    <t>611303437</t>
  </si>
  <si>
    <t>SRC053897</t>
  </si>
  <si>
    <t>40423118</t>
  </si>
  <si>
    <t>TRHU3825323</t>
  </si>
  <si>
    <t>600112</t>
  </si>
  <si>
    <t>SRC470147</t>
  </si>
  <si>
    <t>481520</t>
  </si>
  <si>
    <t>CLHU3928582</t>
  </si>
  <si>
    <t>12510</t>
  </si>
  <si>
    <t>waiting for process</t>
  </si>
  <si>
    <t>SRC474444</t>
  </si>
  <si>
    <t>40422209</t>
  </si>
  <si>
    <t>Uiwang-si</t>
  </si>
  <si>
    <t>16072</t>
  </si>
  <si>
    <t>missing rates - SRC474444, SRC483559 - Expeditors</t>
  </si>
  <si>
    <t>asked Duane and Brian</t>
  </si>
  <si>
    <t>HKD053394</t>
  </si>
  <si>
    <t>CL382</t>
  </si>
  <si>
    <t>Shanghai East Best FCL</t>
  </si>
  <si>
    <t>NO83038609</t>
  </si>
  <si>
    <t>Qingpu</t>
  </si>
  <si>
    <t>VNHPH</t>
  </si>
  <si>
    <t>HANOI</t>
  </si>
  <si>
    <t>MRKU8572599</t>
  </si>
  <si>
    <t>201700</t>
  </si>
  <si>
    <t>unknown on leg 2</t>
  </si>
  <si>
    <t>CL61300096</t>
  </si>
  <si>
    <t>HLBU1461486</t>
  </si>
  <si>
    <t>Batamindo FCL</t>
  </si>
  <si>
    <t>Batam shit</t>
  </si>
  <si>
    <t>CL62600002</t>
  </si>
  <si>
    <t>CNZSN0000042665</t>
  </si>
  <si>
    <t>SRCUP15480</t>
  </si>
  <si>
    <t>SR727</t>
  </si>
  <si>
    <t>PCT Manila SRCUP FCL</t>
  </si>
  <si>
    <t>XIAMEN</t>
  </si>
  <si>
    <t>EXW</t>
  </si>
  <si>
    <t>MEDU4127439</t>
  </si>
  <si>
    <t>63E1141685</t>
  </si>
  <si>
    <t>361026</t>
  </si>
  <si>
    <t>not going via prebll</t>
  </si>
  <si>
    <t>SRC783179</t>
  </si>
  <si>
    <t>40417832</t>
  </si>
  <si>
    <t>TEMU7308644</t>
  </si>
  <si>
    <t>70000</t>
  </si>
  <si>
    <t>no rates available</t>
  </si>
  <si>
    <t>SRC042006</t>
  </si>
  <si>
    <t>40419221</t>
  </si>
  <si>
    <t>Jaipur</t>
  </si>
  <si>
    <t>TCLU6983770</t>
  </si>
  <si>
    <t>302006</t>
  </si>
  <si>
    <t>CL63100005</t>
  </si>
  <si>
    <t>no prebill (don't even know the person responsible for AR FCL shipments)</t>
  </si>
  <si>
    <t>SRC780238</t>
  </si>
  <si>
    <t>40421491</t>
  </si>
  <si>
    <t>ATLANTA</t>
  </si>
  <si>
    <t>Tiruvallur Dist</t>
  </si>
  <si>
    <t>30331</t>
  </si>
  <si>
    <t>601206</t>
  </si>
  <si>
    <t>CL61300095</t>
  </si>
  <si>
    <t>CMAU0291981</t>
  </si>
  <si>
    <t>missing rates - CL61300095 - CMA</t>
  </si>
  <si>
    <t>asked Kerrie;unknown on all legs</t>
  </si>
  <si>
    <t>CL41800506</t>
  </si>
  <si>
    <t>PONU1773839</t>
  </si>
  <si>
    <t>MAEU204519918</t>
  </si>
  <si>
    <t>CL61300094</t>
  </si>
  <si>
    <t>TCLU6347037</t>
  </si>
  <si>
    <t>RE: missing rates - Hapag to Batam (from Singapore)</t>
  </si>
  <si>
    <t>asked Kerrie;at supplier costs</t>
  </si>
  <si>
    <t>SRC313821</t>
  </si>
  <si>
    <t>40419952</t>
  </si>
  <si>
    <t>110044</t>
  </si>
  <si>
    <t>SRC313793</t>
  </si>
  <si>
    <t>40420042</t>
  </si>
  <si>
    <t>Bhiwandi</t>
  </si>
  <si>
    <t>421302</t>
  </si>
  <si>
    <t>SRC312289</t>
  </si>
  <si>
    <t>missing rates - Expeditors FCL to india and Baghdad</t>
  </si>
  <si>
    <t>asked Brian;no data provided</t>
  </si>
  <si>
    <t>SRCUP19585</t>
  </si>
  <si>
    <t>XINU4022122</t>
  </si>
  <si>
    <t>63E1143856</t>
  </si>
  <si>
    <t>SRC312190</t>
  </si>
  <si>
    <t>40418451</t>
  </si>
  <si>
    <t>Vadodara</t>
  </si>
  <si>
    <t>390001</t>
  </si>
  <si>
    <t>missing rates - SRC312190 - Expeditors</t>
  </si>
  <si>
    <t>asked Duane;reminder;no reference to quote</t>
  </si>
  <si>
    <t>SRC483559</t>
  </si>
  <si>
    <t>40418290</t>
  </si>
  <si>
    <t>05840</t>
  </si>
  <si>
    <t>SRC047155</t>
  </si>
  <si>
    <t>40417358</t>
  </si>
  <si>
    <t>Mohali</t>
  </si>
  <si>
    <t>EITU9038968</t>
  </si>
  <si>
    <t>160055</t>
  </si>
  <si>
    <t>CL63100006</t>
  </si>
  <si>
    <t>TRLU9664190</t>
  </si>
  <si>
    <t>HDMUHKWB2141765</t>
  </si>
  <si>
    <t>SRC776858</t>
  </si>
  <si>
    <t>40422067</t>
  </si>
  <si>
    <t>Saitama</t>
  </si>
  <si>
    <t>IAAU1723842</t>
  </si>
  <si>
    <t>350-0844</t>
  </si>
  <si>
    <t>missing rates - SRC776858 - Expeditors</t>
  </si>
  <si>
    <t>asked Yu Zhen;reminder</t>
  </si>
  <si>
    <t>SRC833322</t>
  </si>
  <si>
    <t>40420433</t>
  </si>
  <si>
    <t>INCOK</t>
  </si>
  <si>
    <t>TRIVANDRUM</t>
  </si>
  <si>
    <t>695001</t>
  </si>
  <si>
    <t>some product numbers must be typed in</t>
  </si>
  <si>
    <t>SRC833065</t>
  </si>
  <si>
    <t>40418169</t>
  </si>
  <si>
    <t>Srinagar</t>
  </si>
  <si>
    <t>190009</t>
  </si>
  <si>
    <t>SRC832902</t>
  </si>
  <si>
    <t>40421426</t>
  </si>
  <si>
    <t>600040</t>
  </si>
  <si>
    <t>missing rates - SRC832902 - CMA</t>
  </si>
  <si>
    <t>asked Duane;reminder;no rates available</t>
  </si>
  <si>
    <t>SRCUP21645</t>
  </si>
  <si>
    <t>APZU3522688</t>
  </si>
  <si>
    <t>63E1145616</t>
  </si>
  <si>
    <t>SRCUP20082</t>
  </si>
  <si>
    <t>TRLU4867213</t>
  </si>
  <si>
    <t>63E1144268</t>
  </si>
  <si>
    <t>SRC045594</t>
  </si>
  <si>
    <t>40419918</t>
  </si>
  <si>
    <t>EGSU9007131</t>
  </si>
  <si>
    <t>110009</t>
  </si>
  <si>
    <t>CL61300083</t>
  </si>
  <si>
    <t>CBHU3990275</t>
  </si>
  <si>
    <t>COSU6257004540</t>
  </si>
  <si>
    <t>CL61300077</t>
  </si>
  <si>
    <t>TGBU2102012</t>
  </si>
  <si>
    <t>COSU4521278720</t>
  </si>
  <si>
    <t>missing rates - CL61300076,CL61300077 - Batamindo/Cosco</t>
  </si>
  <si>
    <t>aske Janet and Kerrie;no action needed</t>
  </si>
  <si>
    <t>DAP2608113</t>
  </si>
  <si>
    <t>DAP26</t>
  </si>
  <si>
    <t>GENERAL SHARED / Philips CL (FCL)</t>
  </si>
  <si>
    <t>NO960478</t>
  </si>
  <si>
    <t>Johannesburg</t>
  </si>
  <si>
    <t>ZA</t>
  </si>
  <si>
    <t>ZADUR</t>
  </si>
  <si>
    <t>Corbas,</t>
  </si>
  <si>
    <t>MEDU4178420</t>
  </si>
  <si>
    <t>2000</t>
  </si>
  <si>
    <t>missing rates - DAP2608113 - MSC</t>
  </si>
  <si>
    <t>msc on leg 2 without carriers on leg 1 and 3;asked Suzanne;no need for rates</t>
  </si>
  <si>
    <t>SRC295061</t>
  </si>
  <si>
    <t>40403832</t>
  </si>
  <si>
    <t>PHMNL</t>
  </si>
  <si>
    <t>San Juan, Metro Manila</t>
  </si>
  <si>
    <t>PH</t>
  </si>
  <si>
    <t>FSCU7182919</t>
  </si>
  <si>
    <t>1502</t>
  </si>
  <si>
    <t>missing rates - SRC295061 - Expeditors</t>
  </si>
  <si>
    <t>asked GB;reminder;reminder again</t>
  </si>
  <si>
    <t>SRCUP17851</t>
  </si>
  <si>
    <t>Guangzhou</t>
  </si>
  <si>
    <t>MSKU5436142</t>
  </si>
  <si>
    <t>61X8075033</t>
  </si>
  <si>
    <t>511462</t>
  </si>
  <si>
    <t>SRCUP17850</t>
  </si>
  <si>
    <t>MRKU8697451</t>
  </si>
  <si>
    <t>61X8075032</t>
  </si>
  <si>
    <t>CL61300089</t>
  </si>
  <si>
    <t>FTAU1109357</t>
  </si>
  <si>
    <t>CL61300088</t>
  </si>
  <si>
    <t>SEGU2970250</t>
  </si>
  <si>
    <t>SRC521555</t>
  </si>
  <si>
    <t>40419152</t>
  </si>
  <si>
    <t>MYKLA</t>
  </si>
  <si>
    <t>Kuala Lumpur</t>
  </si>
  <si>
    <t>DFSU4389759</t>
  </si>
  <si>
    <t>51200</t>
  </si>
  <si>
    <t>expeditors with FCL</t>
  </si>
  <si>
    <t>CL61300084</t>
  </si>
  <si>
    <t>CCLU7228669</t>
  </si>
  <si>
    <t>COSU6257379610</t>
  </si>
  <si>
    <t>CL61300097</t>
  </si>
  <si>
    <t>UACU8357558</t>
  </si>
  <si>
    <t>wrong booking</t>
  </si>
  <si>
    <t>SRC608919</t>
  </si>
  <si>
    <t>USILM</t>
  </si>
  <si>
    <t>6090048919</t>
  </si>
  <si>
    <t>CL61400033</t>
  </si>
  <si>
    <t>CL614</t>
  </si>
  <si>
    <t>TEXCHEM SINGAPORE PTE LTD (FCL)</t>
  </si>
  <si>
    <t>TCLU9505183</t>
  </si>
  <si>
    <t>349585</t>
  </si>
  <si>
    <t>some freight charge corrections applied</t>
  </si>
  <si>
    <t>SRC349926</t>
  </si>
  <si>
    <t>GBFXT</t>
  </si>
  <si>
    <t>TCNU9424406</t>
  </si>
  <si>
    <t>missing rates - SRC349926 - Expeditors</t>
  </si>
  <si>
    <t>asked Stuart</t>
  </si>
  <si>
    <t>SRC679156</t>
  </si>
  <si>
    <t>20239657</t>
  </si>
  <si>
    <t>PRTBJ</t>
  </si>
  <si>
    <t>Toa Baja</t>
  </si>
  <si>
    <t>PR</t>
  </si>
  <si>
    <t>DDP</t>
  </si>
  <si>
    <t>00949</t>
  </si>
  <si>
    <t>Expeditors - missing rates - how to tackle</t>
  </si>
  <si>
    <t>asked Kamil on availability on rates for Expeditors</t>
  </si>
  <si>
    <t>SRCUP17760</t>
  </si>
  <si>
    <t>TWISHTAO</t>
  </si>
  <si>
    <t>RIST</t>
  </si>
  <si>
    <t>Taoyuan Hsien</t>
  </si>
  <si>
    <t>OOLU0235316</t>
  </si>
  <si>
    <t>6911420528</t>
  </si>
  <si>
    <t>333</t>
  </si>
  <si>
    <t>CL61300090</t>
  </si>
  <si>
    <t>DFSU2858332</t>
  </si>
  <si>
    <t>DAP3203298</t>
  </si>
  <si>
    <t>PONU0839422</t>
  </si>
  <si>
    <t>MAEU585616565</t>
  </si>
  <si>
    <t>missing rates - DAP3203298 - Maersk</t>
  </si>
  <si>
    <t>asked Alzbeta;reminder for Alzbeta;reminder for Alzbeta;  Alzbeta not interested in solving this case</t>
  </si>
  <si>
    <t>SRC833387</t>
  </si>
  <si>
    <t>40401718</t>
  </si>
  <si>
    <t>USBWI</t>
  </si>
  <si>
    <t>Buenos Aires</t>
  </si>
  <si>
    <t>1870</t>
  </si>
  <si>
    <t>CL61300092</t>
  </si>
  <si>
    <t>TCNU1596543</t>
  </si>
  <si>
    <t>missing rates - Hapag to Batam (from Singapore)</t>
  </si>
  <si>
    <t>SRC833364</t>
  </si>
  <si>
    <t>SRCUP18762</t>
  </si>
  <si>
    <t>USF08</t>
  </si>
  <si>
    <t>SMC LTD (FCL)</t>
  </si>
  <si>
    <t>Somerset</t>
  </si>
  <si>
    <t>USMSP</t>
  </si>
  <si>
    <t>54025</t>
  </si>
  <si>
    <t>SRCUP24506</t>
  </si>
  <si>
    <t>PCTPF</t>
  </si>
  <si>
    <t>PCT Panama Upstream (FCL)</t>
  </si>
  <si>
    <t>Clayton</t>
  </si>
  <si>
    <t>USORF</t>
  </si>
  <si>
    <t>UETU5768009</t>
  </si>
  <si>
    <t>621710543</t>
  </si>
  <si>
    <t>27520</t>
  </si>
  <si>
    <t>missing rates - SRCUP24506 - Expeditors</t>
  </si>
  <si>
    <t>asked Kimberly;spot quote that Kimberly will add</t>
  </si>
  <si>
    <t>SRC674998</t>
  </si>
  <si>
    <t>SRC577984</t>
  </si>
  <si>
    <t>40422210</t>
  </si>
  <si>
    <t>INBOM</t>
  </si>
  <si>
    <t>617427439</t>
  </si>
  <si>
    <t>421105</t>
  </si>
  <si>
    <t>CL62600003</t>
  </si>
  <si>
    <t>CNZSN0000043422</t>
  </si>
  <si>
    <t>SRC575929</t>
  </si>
  <si>
    <t>40416164</t>
  </si>
  <si>
    <t>Bangalore</t>
  </si>
  <si>
    <t>560010</t>
  </si>
  <si>
    <t>SRC665968</t>
  </si>
  <si>
    <t>HLXU5290178</t>
  </si>
  <si>
    <t>SRC220714</t>
  </si>
  <si>
    <t>SRCNF</t>
  </si>
  <si>
    <t>Philips Respironics RIST (FCL)</t>
  </si>
  <si>
    <t>NYKU5268696</t>
  </si>
  <si>
    <t>missing rates - Expeditors to Saitama 2019-11-20</t>
  </si>
  <si>
    <t>asked New Kensington;reminder</t>
  </si>
  <si>
    <t>SRC845116</t>
  </si>
  <si>
    <t>40414139</t>
  </si>
  <si>
    <t>Secunderabad</t>
  </si>
  <si>
    <t>500026</t>
  </si>
  <si>
    <t>CL61300091</t>
  </si>
  <si>
    <t>UACU3765536</t>
  </si>
  <si>
    <t>SRC851215</t>
  </si>
  <si>
    <t>40418669</t>
  </si>
  <si>
    <t>PRSJU</t>
  </si>
  <si>
    <t>Guaynabo</t>
  </si>
  <si>
    <t>00965-6211</t>
  </si>
  <si>
    <t>DAP2608110</t>
  </si>
  <si>
    <t>Ichikawa-shi</t>
  </si>
  <si>
    <t>272-0011</t>
  </si>
  <si>
    <t>Expeditors Air &amp; Sea S</t>
  </si>
  <si>
    <t>SRC570414</t>
  </si>
  <si>
    <t>40423451</t>
  </si>
  <si>
    <t>Pune</t>
  </si>
  <si>
    <t>411027</t>
  </si>
  <si>
    <t>HKD065524</t>
  </si>
  <si>
    <t>SRC561483</t>
  </si>
  <si>
    <t>40419411</t>
  </si>
  <si>
    <t>INTKD</t>
  </si>
  <si>
    <t>Agra</t>
  </si>
  <si>
    <t>282005</t>
  </si>
  <si>
    <t>SRC045704</t>
  </si>
  <si>
    <t>TLLU5367459</t>
  </si>
  <si>
    <t>SRC555588</t>
  </si>
  <si>
    <t>40417256</t>
  </si>
  <si>
    <t>Lucknow</t>
  </si>
  <si>
    <t>617427406</t>
  </si>
  <si>
    <t>226005</t>
  </si>
  <si>
    <t>DSV AIR S</t>
  </si>
  <si>
    <t>SRC554752</t>
  </si>
  <si>
    <t>CL61300093</t>
  </si>
  <si>
    <t>HLXU3539446</t>
  </si>
  <si>
    <t>SRCUP16868</t>
  </si>
  <si>
    <t>SR173</t>
  </si>
  <si>
    <t>THULE: SHUI YAT (FCL)</t>
  </si>
  <si>
    <t>KRONG CHBARMON</t>
  </si>
  <si>
    <t>KH</t>
  </si>
  <si>
    <t>KHPNH</t>
  </si>
  <si>
    <t>ZCSU7011183</t>
  </si>
  <si>
    <t>0502</t>
  </si>
  <si>
    <t>SRC179292</t>
  </si>
  <si>
    <t>TLLU4560020</t>
  </si>
  <si>
    <t>SRC179289</t>
  </si>
  <si>
    <t>KKFU7961585</t>
  </si>
  <si>
    <t>asked New Kensington;reminder;no data available</t>
  </si>
  <si>
    <t>SRC023147</t>
  </si>
  <si>
    <t>40414336</t>
  </si>
  <si>
    <t>Hyderabad</t>
  </si>
  <si>
    <t>EGHU3457903</t>
  </si>
  <si>
    <t>500037</t>
  </si>
  <si>
    <t>SRC541874</t>
  </si>
  <si>
    <t>40417283</t>
  </si>
  <si>
    <t>500001</t>
  </si>
  <si>
    <t>HKD073814</t>
  </si>
  <si>
    <t>ITCVV</t>
  </si>
  <si>
    <t>TCLU4658066</t>
  </si>
  <si>
    <t>ONEYCANA19353900</t>
  </si>
  <si>
    <t>SRCUP19264</t>
  </si>
  <si>
    <t>63E1143587</t>
  </si>
  <si>
    <t>SRC356468</t>
  </si>
  <si>
    <t>TCLU3438262</t>
  </si>
  <si>
    <t>CL77500002</t>
  </si>
  <si>
    <t>CL775</t>
  </si>
  <si>
    <t>Huilin Packing Dongguan Co. (FCL)</t>
  </si>
  <si>
    <t>MAEU599537015</t>
  </si>
  <si>
    <t>523525</t>
  </si>
  <si>
    <t>SRC054608</t>
  </si>
  <si>
    <t>40422664</t>
  </si>
  <si>
    <t>Riyadh</t>
  </si>
  <si>
    <t>CPT</t>
  </si>
  <si>
    <t>PONU1877540</t>
  </si>
  <si>
    <t>11421</t>
  </si>
  <si>
    <t>SRC047312</t>
  </si>
  <si>
    <t>EISU1853060</t>
  </si>
  <si>
    <t>CL61300074</t>
  </si>
  <si>
    <t>CBHU8583441</t>
  </si>
  <si>
    <t>COSU4521255710</t>
  </si>
  <si>
    <t>Philips not paying for transport CIP on shipper</t>
  </si>
  <si>
    <t>SRC0100732</t>
  </si>
  <si>
    <t>SRC01</t>
  </si>
  <si>
    <t>Respironics Medical Products (SZ)</t>
  </si>
  <si>
    <t>54023</t>
  </si>
  <si>
    <t>Roberts</t>
  </si>
  <si>
    <t>OOLU2985120</t>
  </si>
  <si>
    <t>CL61500116</t>
  </si>
  <si>
    <t>MSKU2111210</t>
  </si>
  <si>
    <t>HKI006097</t>
  </si>
  <si>
    <t>CO455260</t>
  </si>
  <si>
    <t>CNSZX</t>
  </si>
  <si>
    <t>99999</t>
  </si>
  <si>
    <t>shipment from 2019 (with strange set-up)</t>
  </si>
  <si>
    <t>SRC0300034</t>
  </si>
  <si>
    <t>30300013</t>
  </si>
  <si>
    <t>GBFEL</t>
  </si>
  <si>
    <t>ILASH</t>
  </si>
  <si>
    <t>PETACH TIKVA</t>
  </si>
  <si>
    <t>CAIU4499369</t>
  </si>
  <si>
    <t>49510</t>
  </si>
  <si>
    <t>SRC0100706</t>
  </si>
  <si>
    <t>60600065</t>
  </si>
  <si>
    <t>GBCST</t>
  </si>
  <si>
    <t>KKFU7624922</t>
  </si>
  <si>
    <t>missing rates - Expeditors to GB</t>
  </si>
  <si>
    <t>asked Rodje for rates;some docs provided but i asked for mapping of files</t>
  </si>
  <si>
    <t>SRC0100705</t>
  </si>
  <si>
    <t>SRC0100709</t>
  </si>
  <si>
    <t>TCLU6240753</t>
  </si>
  <si>
    <t>SRC0100761</t>
  </si>
  <si>
    <t>HLBU1660488</t>
  </si>
  <si>
    <t>SRC0100708</t>
  </si>
  <si>
    <t>SRCUP05471</t>
  </si>
  <si>
    <t>SRCUP05435</t>
  </si>
  <si>
    <t>RIMR</t>
  </si>
  <si>
    <t>MURRYSVILLE</t>
  </si>
  <si>
    <t>160</t>
  </si>
  <si>
    <t>15668</t>
  </si>
  <si>
    <t>SRCUP05413</t>
  </si>
  <si>
    <t>SR117</t>
  </si>
  <si>
    <t>GW PLASTICS (DONG GUAN) LTD (FCL)</t>
  </si>
  <si>
    <t>RIU3</t>
  </si>
  <si>
    <t>DONGGUAN</t>
  </si>
  <si>
    <t>523870</t>
  </si>
  <si>
    <t>SRCUP05412</t>
  </si>
  <si>
    <t>SRCUP05411</t>
  </si>
  <si>
    <t>SRCUP05410</t>
  </si>
  <si>
    <t>SRCUP05437</t>
  </si>
  <si>
    <t>RIGA</t>
  </si>
  <si>
    <t>KENNESAW</t>
  </si>
  <si>
    <t>518057</t>
  </si>
  <si>
    <t>30144-3724</t>
  </si>
  <si>
    <t>SRC0100707</t>
  </si>
  <si>
    <t>SRCUP05604</t>
  </si>
  <si>
    <t>CN151</t>
  </si>
  <si>
    <t>PROVIDENCE ENTERPRISE LTD (FCL)</t>
  </si>
  <si>
    <t>60600026</t>
  </si>
  <si>
    <t>SRC0100764</t>
  </si>
  <si>
    <t>ONEU0010155</t>
  </si>
  <si>
    <t>SRC0100767</t>
  </si>
  <si>
    <t>TCNU4879948</t>
  </si>
  <si>
    <t>6911379609</t>
  </si>
  <si>
    <t>PI0018663</t>
  </si>
  <si>
    <t>PAYER HU</t>
  </si>
  <si>
    <t>AJKA</t>
  </si>
  <si>
    <t>IDBTH0000005265</t>
  </si>
  <si>
    <t>DB Schenker FCL</t>
  </si>
  <si>
    <t>SRC052250</t>
  </si>
  <si>
    <t>FCIU9794447</t>
  </si>
  <si>
    <t>DAP2608077</t>
  </si>
  <si>
    <t>Ashdod</t>
  </si>
  <si>
    <t>7714001</t>
  </si>
  <si>
    <t>missing rates - DAP2608077 - Maersk</t>
  </si>
  <si>
    <t>asked Janstje;reminder for Janstje;wrote to Lucjan for costs division;rates added based on email from Lucjan</t>
  </si>
  <si>
    <t>SRC044660</t>
  </si>
  <si>
    <t>40421436</t>
  </si>
  <si>
    <t>TCKU1939822</t>
  </si>
  <si>
    <t>SRC0300042</t>
  </si>
  <si>
    <t>CRXU3400647</t>
  </si>
  <si>
    <t>missing rates - SRC0300042 - Expeditors</t>
  </si>
  <si>
    <t>asked Stuart;reminder;customer paying</t>
  </si>
  <si>
    <t>CL61500135</t>
  </si>
  <si>
    <t>DAP2608072</t>
  </si>
  <si>
    <t>263001</t>
  </si>
  <si>
    <t>Wan Hai Lines S</t>
  </si>
  <si>
    <t>missing rates - DAP2608072 - Wan Hai, missing rates - DAP2608072 - Wan Hai</t>
  </si>
  <si>
    <t>asked Janstje;rates added based on email from Lucjan;asked Janstje on this shipment;reminder for Janstje;reminder (again) for Jantsje;reminder again to Jantsje;again sent the  reminder;nobody interested and i won't waste my time</t>
  </si>
  <si>
    <t>SRC0100765</t>
  </si>
  <si>
    <t>NYKU4167525</t>
  </si>
  <si>
    <t>SRC0500537</t>
  </si>
  <si>
    <t>SRC05</t>
  </si>
  <si>
    <t>40413958</t>
  </si>
  <si>
    <t>Bauchrieh</t>
  </si>
  <si>
    <t>MSCU3526886</t>
  </si>
  <si>
    <t>SRC0500525</t>
  </si>
  <si>
    <t>FCGU4474947</t>
  </si>
  <si>
    <t>SRC0500523</t>
  </si>
  <si>
    <t>KKTU8072870</t>
  </si>
  <si>
    <t>SRC0500520</t>
  </si>
  <si>
    <t>FBIU0324923</t>
  </si>
  <si>
    <t>SRC0500518</t>
  </si>
  <si>
    <t>MEDU7979660</t>
  </si>
  <si>
    <t>SRCUP07856</t>
  </si>
  <si>
    <t>HKTREHON</t>
  </si>
  <si>
    <t>SRC0500507</t>
  </si>
  <si>
    <t>MOFU6755909</t>
  </si>
  <si>
    <t>CL61500123</t>
  </si>
  <si>
    <t>MAEU968438505</t>
  </si>
  <si>
    <t>SRC0300038</t>
  </si>
  <si>
    <t>40413629</t>
  </si>
  <si>
    <t>PKKCT</t>
  </si>
  <si>
    <t>LAHORE</t>
  </si>
  <si>
    <t>PK</t>
  </si>
  <si>
    <t>HLBU1310155</t>
  </si>
  <si>
    <t>54000</t>
  </si>
  <si>
    <t>missing rates - SRC0300038 - Expeditors</t>
  </si>
  <si>
    <t>asked Stuart;reminder;asked for adding to the system;asked stuart to add c osts also on this one</t>
  </si>
  <si>
    <t>UPR0300288</t>
  </si>
  <si>
    <t>UPR03</t>
  </si>
  <si>
    <t>Topsil</t>
  </si>
  <si>
    <t>SRCUP05356</t>
  </si>
  <si>
    <t>HLXU8612621</t>
  </si>
  <si>
    <t>SRCUP05123</t>
  </si>
  <si>
    <t>RISZ</t>
  </si>
  <si>
    <t>MYPGU</t>
  </si>
  <si>
    <t>missing rates - SRCUP05123 - Expeditors</t>
  </si>
  <si>
    <t>asked Rodje;reminder;reminder again</t>
  </si>
  <si>
    <t>2224519</t>
  </si>
  <si>
    <t>for Nichole correction</t>
  </si>
  <si>
    <t>DHLCS06868</t>
  </si>
  <si>
    <t>262433</t>
  </si>
  <si>
    <t>215155</t>
  </si>
  <si>
    <t>missing rates - DHLCS06868 - DB Schenker</t>
  </si>
  <si>
    <t>asked Janstje;reminder;asked DHL;DHL replied that there is some other shipment booked for this one</t>
  </si>
  <si>
    <t>2224510</t>
  </si>
  <si>
    <t>SRC581631</t>
  </si>
  <si>
    <t>40421602</t>
  </si>
  <si>
    <t>Jeddah</t>
  </si>
  <si>
    <t>17561</t>
  </si>
  <si>
    <t>SRC167729</t>
  </si>
  <si>
    <t>TGHU9246013</t>
  </si>
  <si>
    <t>SRC167725</t>
  </si>
  <si>
    <t>TCNU4823002</t>
  </si>
  <si>
    <t>OSI0100184</t>
  </si>
  <si>
    <t>OSI01</t>
  </si>
  <si>
    <t>Iskra Mehanizmi D.D.O. (FCL)</t>
  </si>
  <si>
    <t>251022</t>
  </si>
  <si>
    <t>ITLIV</t>
  </si>
  <si>
    <t>HLBU1096655</t>
  </si>
  <si>
    <t>HLCURTM190935524</t>
  </si>
  <si>
    <t>rates added on septembe 16 (allocation was set up for CLVAP)</t>
  </si>
  <si>
    <t>2224520</t>
  </si>
  <si>
    <t>SRC279039</t>
  </si>
  <si>
    <t>USTIW</t>
  </si>
  <si>
    <t>DRYU4086710</t>
  </si>
  <si>
    <t>CL72700002</t>
  </si>
  <si>
    <t>CL727</t>
  </si>
  <si>
    <t>Team Technologies (FCL)</t>
  </si>
  <si>
    <t>Morristown</t>
  </si>
  <si>
    <t>USSAV</t>
  </si>
  <si>
    <t>APZU4442020</t>
  </si>
  <si>
    <t>CMDUNAM3779866</t>
  </si>
  <si>
    <t>37814</t>
  </si>
  <si>
    <t>CL08101158</t>
  </si>
  <si>
    <t>missing rates - CL08101158  - Expeditors</t>
  </si>
  <si>
    <t>asked batam;was air and changed to see (allegedly paid directly to ONE as this is the lane agreed)</t>
  </si>
  <si>
    <t>SRC021273</t>
  </si>
  <si>
    <t>NYKU5210077</t>
  </si>
  <si>
    <t>HKD065202</t>
  </si>
  <si>
    <t>OCN84</t>
  </si>
  <si>
    <t>Shuangrong Rubber&amp;Plastic Co (FCL)</t>
  </si>
  <si>
    <t>BIAZET</t>
  </si>
  <si>
    <t>Bialystok</t>
  </si>
  <si>
    <t>215131</t>
  </si>
  <si>
    <t>15113</t>
  </si>
  <si>
    <t>missing rates - HKD065202 - Maersk</t>
  </si>
  <si>
    <t>asked Suzanne; Biazet paying (no need to investigate further)</t>
  </si>
  <si>
    <t>SRC570799</t>
  </si>
  <si>
    <t>SRC570205</t>
  </si>
  <si>
    <t>617427420</t>
  </si>
  <si>
    <t>DAP3100185</t>
  </si>
  <si>
    <t>740059</t>
  </si>
  <si>
    <t>PAMIT</t>
  </si>
  <si>
    <t>PANAMA</t>
  </si>
  <si>
    <t>PA</t>
  </si>
  <si>
    <t>PAPTY</t>
  </si>
  <si>
    <t>missing rates - DAP3100185 - Expeditors</t>
  </si>
  <si>
    <t>asked Mia;reminder</t>
  </si>
  <si>
    <t>SRC257807</t>
  </si>
  <si>
    <t>40419902</t>
  </si>
  <si>
    <t>Ho Chi Minh</t>
  </si>
  <si>
    <t>FBIU0175594</t>
  </si>
  <si>
    <t>07000</t>
  </si>
  <si>
    <t>1 * 40 ft nor NON Operating Reefers</t>
  </si>
  <si>
    <t>SRCUP05354</t>
  </si>
  <si>
    <t>SR171</t>
  </si>
  <si>
    <t>THULE: SHUI KEE HANDBAGS (FCL)</t>
  </si>
  <si>
    <t>60600002</t>
  </si>
  <si>
    <t>TRLU9338948</t>
  </si>
  <si>
    <t>518114</t>
  </si>
  <si>
    <t>2224521</t>
  </si>
  <si>
    <t>2224516</t>
  </si>
  <si>
    <t>CL61500111</t>
  </si>
  <si>
    <t>HASU1300586</t>
  </si>
  <si>
    <t>MAEU968012504</t>
  </si>
  <si>
    <t>SRC0700326</t>
  </si>
  <si>
    <t>SRC07</t>
  </si>
  <si>
    <t>KKFU7593375</t>
  </si>
  <si>
    <t>SRCUP05240</t>
  </si>
  <si>
    <t>CL61300102</t>
  </si>
  <si>
    <t>EITU0180375</t>
  </si>
  <si>
    <t>Evergreen</t>
  </si>
  <si>
    <t>CL61300076</t>
  </si>
  <si>
    <t>CSLU1494301</t>
  </si>
  <si>
    <t>COSU4521318680</t>
  </si>
  <si>
    <t>CL62600001</t>
  </si>
  <si>
    <t>CNZSN0000042238</t>
  </si>
  <si>
    <t>1 * 20 ft  nor NON Operating Reefers</t>
  </si>
  <si>
    <t>HKD069749</t>
  </si>
  <si>
    <t>2224517</t>
  </si>
  <si>
    <t>SRC846855</t>
  </si>
  <si>
    <t>GLDU4056755</t>
  </si>
  <si>
    <t>SRC308443</t>
  </si>
  <si>
    <t>SR204</t>
  </si>
  <si>
    <t>Suzhou City</t>
  </si>
  <si>
    <t>TLLU5643541</t>
  </si>
  <si>
    <t>215200</t>
  </si>
  <si>
    <t>missing rates - New Kensington to China with Expeditors</t>
  </si>
  <si>
    <t>asked Robert, Steve;reminder</t>
  </si>
  <si>
    <t>SRC305405</t>
  </si>
  <si>
    <t>SRC309271</t>
  </si>
  <si>
    <t>CL61300087</t>
  </si>
  <si>
    <t>UACA8229177</t>
  </si>
  <si>
    <t>CL61300086</t>
  </si>
  <si>
    <t>AMFU3270976</t>
  </si>
  <si>
    <t>CL61300085</t>
  </si>
  <si>
    <t>TCLU4430733</t>
  </si>
  <si>
    <t>2224518</t>
  </si>
  <si>
    <t>SRC308447</t>
  </si>
  <si>
    <t>ONEU0218940</t>
  </si>
  <si>
    <t>SRC052780</t>
  </si>
  <si>
    <t>EISU9385330</t>
  </si>
  <si>
    <t>CL22600394</t>
  </si>
  <si>
    <t>CL226</t>
  </si>
  <si>
    <t>I-SHENG ELECTRIC WIRE (Air/LCL)</t>
  </si>
  <si>
    <t>IT59</t>
  </si>
  <si>
    <t>ITBLQ</t>
  </si>
  <si>
    <t>HKHKG0000401793</t>
  </si>
  <si>
    <t>DB Schenker AIR</t>
  </si>
  <si>
    <t>SEA LCL</t>
  </si>
  <si>
    <t>DTUP004116</t>
  </si>
  <si>
    <t>DT099</t>
  </si>
  <si>
    <t>Kaman Composites Vermont INC</t>
  </si>
  <si>
    <t>Bennington</t>
  </si>
  <si>
    <t>USBOS</t>
  </si>
  <si>
    <t>5201</t>
  </si>
  <si>
    <t>USMKE0000024184</t>
  </si>
  <si>
    <t>HKD082311</t>
  </si>
  <si>
    <t>LCN22</t>
  </si>
  <si>
    <t>Raytech Holdings Co. Ltd</t>
  </si>
  <si>
    <t>CNSZN</t>
  </si>
  <si>
    <t>528429</t>
  </si>
  <si>
    <t>CNSZX0000368439</t>
  </si>
  <si>
    <t>PI0019436</t>
  </si>
  <si>
    <t>BTM01</t>
  </si>
  <si>
    <t>IPSC BATAM</t>
  </si>
  <si>
    <t>832889</t>
  </si>
  <si>
    <t>474024</t>
  </si>
  <si>
    <t>INHAR</t>
  </si>
  <si>
    <t>GURGAON</t>
  </si>
  <si>
    <t>122005</t>
  </si>
  <si>
    <t>2224577</t>
  </si>
  <si>
    <t>251023</t>
  </si>
  <si>
    <t>CLLAM</t>
  </si>
  <si>
    <t>1071870</t>
  </si>
  <si>
    <t>RTMOE000067328</t>
  </si>
  <si>
    <t>MTA0337959</t>
  </si>
  <si>
    <t>MT023</t>
  </si>
  <si>
    <t>Philips c/o Mueller (Air/LCL/Road)</t>
  </si>
  <si>
    <t>DEMC</t>
  </si>
  <si>
    <t>DEMC - QA - DOH</t>
  </si>
  <si>
    <t>DESTR</t>
  </si>
  <si>
    <t>QADOH</t>
  </si>
  <si>
    <t>DOHA QATAR</t>
  </si>
  <si>
    <t>QA</t>
  </si>
  <si>
    <t>MTA0344467</t>
  </si>
  <si>
    <t>DE9B</t>
  </si>
  <si>
    <t>DE9B - AU SYD</t>
  </si>
  <si>
    <t>MTU0000405</t>
  </si>
  <si>
    <t>MU273</t>
  </si>
  <si>
    <t>Air Liquide Healthcare America(LCL)</t>
  </si>
  <si>
    <t>Plumsteadville</t>
  </si>
  <si>
    <t>18949</t>
  </si>
  <si>
    <t>DHITR00772</t>
  </si>
  <si>
    <t>DAP21</t>
  </si>
  <si>
    <t>Philips Drachten (Webbooking)</t>
  </si>
  <si>
    <t>960478</t>
  </si>
  <si>
    <t>KEMPTON PARK</t>
  </si>
  <si>
    <t>HUBUD0000002590</t>
  </si>
  <si>
    <t>1466</t>
  </si>
  <si>
    <t>DTUP004188</t>
  </si>
  <si>
    <t>DT130</t>
  </si>
  <si>
    <t>Shenyang Torch-BigTide  (Air/LCL)</t>
  </si>
  <si>
    <t>Shenyang</t>
  </si>
  <si>
    <t>CNDLC</t>
  </si>
  <si>
    <t>110164</t>
  </si>
  <si>
    <t>DHITR00776</t>
  </si>
  <si>
    <t>7122434</t>
  </si>
  <si>
    <t>HONGKONG</t>
  </si>
  <si>
    <t>HUBUD0000002621</t>
  </si>
  <si>
    <t>DHITR00779</t>
  </si>
  <si>
    <t>566003</t>
  </si>
  <si>
    <t>HUBUD0000002620</t>
  </si>
  <si>
    <t>HKD082655</t>
  </si>
  <si>
    <t>CL324</t>
  </si>
  <si>
    <t>SINOY ENTERPRISE LIMITED  (Air/LCL)</t>
  </si>
  <si>
    <t>QINGDAO</t>
  </si>
  <si>
    <t>CNTAO</t>
  </si>
  <si>
    <t>Docklands</t>
  </si>
  <si>
    <t>266071</t>
  </si>
  <si>
    <t>3008</t>
  </si>
  <si>
    <t>DAP4501394</t>
  </si>
  <si>
    <t>DAP45</t>
  </si>
  <si>
    <t>PHILIPS DAP ZHUHA (Air/LCL)</t>
  </si>
  <si>
    <t>784001</t>
  </si>
  <si>
    <t>CNZSN0000047253</t>
  </si>
  <si>
    <t>Zhuhai Yuanfeng LCL</t>
  </si>
  <si>
    <t>2224860</t>
  </si>
  <si>
    <t>70237</t>
  </si>
  <si>
    <t>COBAQ</t>
  </si>
  <si>
    <t>BARRANQUILLA</t>
  </si>
  <si>
    <t>CO</t>
  </si>
  <si>
    <t>RTMOE000067485</t>
  </si>
  <si>
    <t>2811</t>
  </si>
  <si>
    <t>CL13100283</t>
  </si>
  <si>
    <t>CL131</t>
  </si>
  <si>
    <t>SunYoung Electrical  (Air/LCL)</t>
  </si>
  <si>
    <t>CNSZH</t>
  </si>
  <si>
    <t>IDBTH</t>
  </si>
  <si>
    <t>215332</t>
  </si>
  <si>
    <t>CNSHA0000966501</t>
  </si>
  <si>
    <t>DAP1806604</t>
  </si>
  <si>
    <t>DAP18</t>
  </si>
  <si>
    <t>Payer Industries Kft.</t>
  </si>
  <si>
    <t>HUBUD0000002616</t>
  </si>
  <si>
    <t>HKD082753</t>
  </si>
  <si>
    <t>CNSZX0000369617</t>
  </si>
  <si>
    <t>HKD082774</t>
  </si>
  <si>
    <t>LCN35</t>
  </si>
  <si>
    <t>Fitson  Sdn  Bhd (LCL)</t>
  </si>
  <si>
    <t>CO26243302</t>
  </si>
  <si>
    <t>81750</t>
  </si>
  <si>
    <t>MYJHB0000020579</t>
  </si>
  <si>
    <t>215000</t>
  </si>
  <si>
    <t>MTU0000567</t>
  </si>
  <si>
    <t>MU279</t>
  </si>
  <si>
    <t>CARLISLE ASIA PACIFIC LTD (AIR/LCL)</t>
  </si>
  <si>
    <t>HKD082813</t>
  </si>
  <si>
    <t>CO366061</t>
  </si>
  <si>
    <t>LIMA</t>
  </si>
  <si>
    <t>CNSZX0000369879</t>
  </si>
  <si>
    <t>9</t>
  </si>
  <si>
    <t>CL74800015</t>
  </si>
  <si>
    <t>CL748</t>
  </si>
  <si>
    <t>Bte Bedampfungstechnik (Air/LCL)</t>
  </si>
  <si>
    <t>260214NEW</t>
  </si>
  <si>
    <t>Elsoff</t>
  </si>
  <si>
    <t>DEKOB</t>
  </si>
  <si>
    <t>56479</t>
  </si>
  <si>
    <t>CL07100180</t>
  </si>
  <si>
    <t>CL071</t>
  </si>
  <si>
    <t>SFS intec AG (Air)</t>
  </si>
  <si>
    <t>Heerbrugg</t>
  </si>
  <si>
    <t>CHZRH</t>
  </si>
  <si>
    <t>9435</t>
  </si>
  <si>
    <t>CHSTM2000000535</t>
  </si>
  <si>
    <t>Service Level- 1</t>
  </si>
  <si>
    <t>SERVICE LEVEL- 1(AIR NORMAL)</t>
  </si>
  <si>
    <t>2224914</t>
  </si>
  <si>
    <t>HUCON</t>
  </si>
  <si>
    <t>CL37702323</t>
  </si>
  <si>
    <t>CL377</t>
  </si>
  <si>
    <t>M + C Schiffer GmbH Air/LCL/Road</t>
  </si>
  <si>
    <t>US59</t>
  </si>
  <si>
    <t>Neustadt/Wied-Fernthal</t>
  </si>
  <si>
    <t>53577</t>
  </si>
  <si>
    <t>CL74700010</t>
  </si>
  <si>
    <t>CL747</t>
  </si>
  <si>
    <t>Videoton Bulgarian hold. (Air/LCL)</t>
  </si>
  <si>
    <t>Stara Zagora</t>
  </si>
  <si>
    <t>BG</t>
  </si>
  <si>
    <t>BGSOF</t>
  </si>
  <si>
    <t>6000</t>
  </si>
  <si>
    <t>MTA0382310</t>
  </si>
  <si>
    <t>DAP1806608</t>
  </si>
  <si>
    <t>HKD082964</t>
  </si>
  <si>
    <t>CL786</t>
  </si>
  <si>
    <t>Zhejiang Biyi Electric (Air/LCL)</t>
  </si>
  <si>
    <t>CL786OSAT59</t>
  </si>
  <si>
    <t>AT59</t>
  </si>
  <si>
    <t>Klagenfurt</t>
  </si>
  <si>
    <t>AT</t>
  </si>
  <si>
    <t>9020</t>
  </si>
  <si>
    <t>PI0019331</t>
  </si>
  <si>
    <t>OPL32</t>
  </si>
  <si>
    <t>Flextronics Logistics AIR/LCL</t>
  </si>
  <si>
    <t>481530</t>
  </si>
  <si>
    <t>Batam Panbil Industrial</t>
  </si>
  <si>
    <t>92-410</t>
  </si>
  <si>
    <t>DAP2119569</t>
  </si>
  <si>
    <t>missing rates - DAP2119569 - Schenker LCL</t>
  </si>
  <si>
    <t>asked Jantjse</t>
  </si>
  <si>
    <t>CL34600020</t>
  </si>
  <si>
    <t>CL346</t>
  </si>
  <si>
    <t>Nurnberg Gummi Babyartikel (Air/LCL</t>
  </si>
  <si>
    <t>Georgensgmund</t>
  </si>
  <si>
    <t>DENBG</t>
  </si>
  <si>
    <t>91166</t>
  </si>
  <si>
    <t>DENUE0000070392</t>
  </si>
  <si>
    <t>missing rates for DB Schenker LCL 2020-09-28</t>
  </si>
  <si>
    <t>lane requested</t>
  </si>
  <si>
    <t>CL34600021</t>
  </si>
  <si>
    <t>DENUE0000070355</t>
  </si>
  <si>
    <t>HKD078583</t>
  </si>
  <si>
    <t>LCN21</t>
  </si>
  <si>
    <t>Raymond (Sea-LCL)</t>
  </si>
  <si>
    <t>511458</t>
  </si>
  <si>
    <t>CNSZX0000359796</t>
  </si>
  <si>
    <t>2224364</t>
  </si>
  <si>
    <t>ROARW0000000369</t>
  </si>
  <si>
    <t>2224364 - DB Schenker LCL</t>
  </si>
  <si>
    <t>DAP2119319</t>
  </si>
  <si>
    <t>7785</t>
  </si>
  <si>
    <t>AEDXB0000002255</t>
  </si>
  <si>
    <t>lane requested;reminder</t>
  </si>
  <si>
    <t>DTUP003020</t>
  </si>
  <si>
    <t>DT089</t>
  </si>
  <si>
    <t>Vertiv Tech Co Ltd (Air/LCL)</t>
  </si>
  <si>
    <t>CNSZX0000360791</t>
  </si>
  <si>
    <t>SR0069961</t>
  </si>
  <si>
    <t>SRC3A</t>
  </si>
  <si>
    <t>Philips Respironics RI3P (Air/LCL)</t>
  </si>
  <si>
    <t>USMKE0000022548</t>
  </si>
  <si>
    <t>2223806</t>
  </si>
  <si>
    <t>202746</t>
  </si>
  <si>
    <t>Varginha</t>
  </si>
  <si>
    <t>ROARW0000000361</t>
  </si>
  <si>
    <t>37066440</t>
  </si>
  <si>
    <t>missing rates - 4544862</t>
  </si>
  <si>
    <t>MTU0000384</t>
  </si>
  <si>
    <t>RE: Rate missing in Infodis (MTU0000339)</t>
  </si>
  <si>
    <t>derek serek</t>
  </si>
  <si>
    <t>HKD081476</t>
  </si>
  <si>
    <t>CL664</t>
  </si>
  <si>
    <t>GUANGDONG WIREKING (Air/LCL</t>
  </si>
  <si>
    <t>GUANGDONG</t>
  </si>
  <si>
    <t>missing rates - GUANGDONG with Db Schenker LCL</t>
  </si>
  <si>
    <t>asked Jenny</t>
  </si>
  <si>
    <t>HKD081473</t>
  </si>
  <si>
    <t>CO830386</t>
  </si>
  <si>
    <t>PI0016587</t>
  </si>
  <si>
    <t>IDBTH0000005073</t>
  </si>
  <si>
    <t>not on prebill</t>
  </si>
  <si>
    <t>PI0018108</t>
  </si>
  <si>
    <t>IDBTH0000005193</t>
  </si>
  <si>
    <t>PI0016643</t>
  </si>
  <si>
    <t>NL41</t>
  </si>
  <si>
    <t>PLGDY0000014293</t>
  </si>
  <si>
    <t>PI0016927</t>
  </si>
  <si>
    <t>PLGDY0000014375</t>
  </si>
  <si>
    <t>PI0013915</t>
  </si>
  <si>
    <t>IDBTH0000004830</t>
  </si>
  <si>
    <t>UPKLU00806</t>
  </si>
  <si>
    <t>UPR82</t>
  </si>
  <si>
    <t>Gabriel Chemie GmbH. (Air/LCL/Road)</t>
  </si>
  <si>
    <t>Gumpoldskirchen</t>
  </si>
  <si>
    <t>ATGRZ</t>
  </si>
  <si>
    <t>2352</t>
  </si>
  <si>
    <t>ATVIE0000016777</t>
  </si>
  <si>
    <t>SERVICE LEVEL- 4 (SEA/AIR)</t>
  </si>
  <si>
    <t>missing rates - UPKLU00806 - DB Schenker</t>
  </si>
  <si>
    <t>asked Shari and Nichole;no pre-bill number and no updates</t>
  </si>
  <si>
    <t>HKD053542</t>
  </si>
  <si>
    <t>CN288</t>
  </si>
  <si>
    <t>MAIN SUCCESS (Air/LCL)</t>
  </si>
  <si>
    <t>CO202551</t>
  </si>
  <si>
    <t>WENGYUAN</t>
  </si>
  <si>
    <t>VARGINHA (MG)</t>
  </si>
  <si>
    <t>512600</t>
  </si>
  <si>
    <t>CNSZX0000284520</t>
  </si>
  <si>
    <t>37066-440</t>
  </si>
  <si>
    <t>somebody changed origin CFS</t>
  </si>
  <si>
    <t>5297239</t>
  </si>
  <si>
    <t>CL244</t>
  </si>
  <si>
    <t>Philips Consumer Lifestyle B.V.,</t>
  </si>
  <si>
    <t>HK2B</t>
  </si>
  <si>
    <t>Amsterdam</t>
  </si>
  <si>
    <t>1096 BC</t>
  </si>
  <si>
    <t>irrelevant shipment</t>
  </si>
  <si>
    <t>5296703</t>
  </si>
  <si>
    <t>640710</t>
  </si>
  <si>
    <t>DAP5306502</t>
  </si>
  <si>
    <t>DAP53</t>
  </si>
  <si>
    <t>Erna Mas Makine TIC (Air/LCL/Road)</t>
  </si>
  <si>
    <t>70021</t>
  </si>
  <si>
    <t>COBOG</t>
  </si>
  <si>
    <t>DOMINICANA,DO</t>
  </si>
  <si>
    <t>DO</t>
  </si>
  <si>
    <t>TRIST0000002561</t>
  </si>
  <si>
    <t>10147 REP</t>
  </si>
  <si>
    <t>not going on prebill + pick up is in the past without updates</t>
  </si>
  <si>
    <t>SRC308084</t>
  </si>
  <si>
    <t>SRCCA</t>
  </si>
  <si>
    <t>Philips Resp. RISZ (Air/LCL/Road)</t>
  </si>
  <si>
    <t>HKHKG0000342197</t>
  </si>
  <si>
    <t>idiots mixing DB Schenker and Expeditors</t>
  </si>
  <si>
    <t>missing rates - DHLCS06868 - DB Schenker LCL</t>
  </si>
  <si>
    <t>E-Coll contacted;mail  E-Coll and request to DHL for confirmation; not gonna chase it (some other FCL booking instead of this one)</t>
  </si>
  <si>
    <t>5313182</t>
  </si>
  <si>
    <t>366</t>
  </si>
  <si>
    <t>fake shipment</t>
  </si>
  <si>
    <t>PI0015860</t>
  </si>
  <si>
    <t>IDBTH0000004989</t>
  </si>
  <si>
    <t>2210739</t>
  </si>
  <si>
    <t>455260</t>
  </si>
  <si>
    <t>HLLU2883568</t>
  </si>
  <si>
    <t>some random shipment without rates</t>
  </si>
  <si>
    <t>CL32100038</t>
  </si>
  <si>
    <t>CL321</t>
  </si>
  <si>
    <t>General Fix (LCL)</t>
  </si>
  <si>
    <t>Milan</t>
  </si>
  <si>
    <t>ITPSB</t>
  </si>
  <si>
    <t>20085</t>
  </si>
  <si>
    <t>IT19177425</t>
  </si>
  <si>
    <t>EXW term (Philips not paying)</t>
  </si>
  <si>
    <t>CL40500278</t>
  </si>
  <si>
    <t>CL405</t>
  </si>
  <si>
    <t>Philips consumer (Road/Air/LCL)</t>
  </si>
  <si>
    <t>USCMH</t>
  </si>
  <si>
    <t>USMKE0000023164</t>
  </si>
  <si>
    <t>CL12000732</t>
  </si>
  <si>
    <t>CL120</t>
  </si>
  <si>
    <t>Salom Electric  (Air/LCL)</t>
  </si>
  <si>
    <t>811191</t>
  </si>
  <si>
    <t>CNXAM</t>
  </si>
  <si>
    <t>DB Schenker Rail  LCL</t>
  </si>
  <si>
    <t>RAIL</t>
  </si>
  <si>
    <t>missing rates - CL12000732 - Rail shipment?</t>
  </si>
  <si>
    <t>asked Ionut;Ionut to arrange rates manually</t>
  </si>
  <si>
    <t>MTA0358817</t>
  </si>
  <si>
    <t>MT061</t>
  </si>
  <si>
    <t>Philips Goldway (Shenzhen)</t>
  </si>
  <si>
    <t>CN9A</t>
  </si>
  <si>
    <t>204006</t>
  </si>
  <si>
    <t>BRGRU</t>
  </si>
  <si>
    <t>41N0444515</t>
  </si>
  <si>
    <t>Expeditors SMF (All MOT)</t>
  </si>
  <si>
    <t>MTA0358818</t>
  </si>
  <si>
    <t>DE9A-USMC</t>
  </si>
  <si>
    <t>96913</t>
  </si>
  <si>
    <t>TAMUNING. Guam</t>
  </si>
  <si>
    <t>4570331212</t>
  </si>
  <si>
    <t>96913-3128</t>
  </si>
  <si>
    <t>2224475</t>
  </si>
  <si>
    <t>NLAMS</t>
  </si>
  <si>
    <t>USONT</t>
  </si>
  <si>
    <t>9200 CA</t>
  </si>
  <si>
    <t>1071842</t>
  </si>
  <si>
    <t>CEVA Airfreight</t>
  </si>
  <si>
    <t>SRCUP24473</t>
  </si>
  <si>
    <t>PCTMA</t>
  </si>
  <si>
    <t>PCT Manila Upstream (Air/LCL)</t>
  </si>
  <si>
    <t>Viet Tri</t>
  </si>
  <si>
    <t>VNHAN</t>
  </si>
  <si>
    <t>PITTSBURGH</t>
  </si>
  <si>
    <t>290000</t>
  </si>
  <si>
    <t>45T0229657</t>
  </si>
  <si>
    <t>15238</t>
  </si>
  <si>
    <t>MTA0358860</t>
  </si>
  <si>
    <t>IEDUB</t>
  </si>
  <si>
    <t>Dublin 11</t>
  </si>
  <si>
    <t>IE</t>
  </si>
  <si>
    <t>STR44448293</t>
  </si>
  <si>
    <t>D11 WY11</t>
  </si>
  <si>
    <t>DB Schenker Air</t>
  </si>
  <si>
    <t>Service Level- 5</t>
  </si>
  <si>
    <t>SERVICE LEVEL- 5(AIR NORMAL)</t>
  </si>
  <si>
    <t>2224491</t>
  </si>
  <si>
    <t>1071840</t>
  </si>
  <si>
    <t>DTUP004180</t>
  </si>
  <si>
    <t>DT052</t>
  </si>
  <si>
    <t>Radisys Corporation (AIR/LCL)</t>
  </si>
  <si>
    <t>DT052B</t>
  </si>
  <si>
    <t>CNPVG</t>
  </si>
  <si>
    <t>214000</t>
  </si>
  <si>
    <t>DSV (AIR/LCL)</t>
  </si>
  <si>
    <t>Service Level- 9</t>
  </si>
  <si>
    <t>SERVICE LEVEL- 9(AIR NORMAL)</t>
  </si>
  <si>
    <t>DTUP004075</t>
  </si>
  <si>
    <t>DT019</t>
  </si>
  <si>
    <t>Broadwater Mouldings Ltd (Air)</t>
  </si>
  <si>
    <t>Beccles</t>
  </si>
  <si>
    <t>ILTLV</t>
  </si>
  <si>
    <t>NR34 7XD</t>
  </si>
  <si>
    <t>DTUP004105</t>
  </si>
  <si>
    <t>DT020</t>
  </si>
  <si>
    <t>TOPKEY CORPORATION (Air)</t>
  </si>
  <si>
    <t>399</t>
  </si>
  <si>
    <t>DHL  AIR</t>
  </si>
  <si>
    <t>2224551</t>
  </si>
  <si>
    <t>1071854</t>
  </si>
  <si>
    <t>2223980</t>
  </si>
  <si>
    <t>1071950</t>
  </si>
  <si>
    <t>PI0019039</t>
  </si>
  <si>
    <t>9207</t>
  </si>
  <si>
    <t>DTUP004178</t>
  </si>
  <si>
    <t>DTUP004179</t>
  </si>
  <si>
    <t>CL12000789</t>
  </si>
  <si>
    <t>SRCUP16953</t>
  </si>
  <si>
    <t>2224449</t>
  </si>
  <si>
    <t>EIN024324</t>
  </si>
  <si>
    <t>319763</t>
  </si>
  <si>
    <t>SR0303642</t>
  </si>
  <si>
    <t>SRCMA</t>
  </si>
  <si>
    <t>Philips Respironics RIYW (Air/LCL)</t>
  </si>
  <si>
    <t>40421959</t>
  </si>
  <si>
    <t>MOUNT PLEASANT</t>
  </si>
  <si>
    <t>Bogota</t>
  </si>
  <si>
    <t>417495179</t>
  </si>
  <si>
    <t>110131</t>
  </si>
  <si>
    <t>MTA0292499</t>
  </si>
  <si>
    <t>DE9A-KR90</t>
  </si>
  <si>
    <t>KRICN</t>
  </si>
  <si>
    <t>STR11122823</t>
  </si>
  <si>
    <t>CL67400112</t>
  </si>
  <si>
    <t>CL674</t>
  </si>
  <si>
    <t>ZHE JIANG HAI SHUN (Air /LCL)</t>
  </si>
  <si>
    <t>WENZHOU</t>
  </si>
  <si>
    <t>325000</t>
  </si>
  <si>
    <t>MTA0300984</t>
  </si>
  <si>
    <t>MT071</t>
  </si>
  <si>
    <t>Philips Healthcare Bothell(AIR/LCL)</t>
  </si>
  <si>
    <t>474003 (600067)</t>
  </si>
  <si>
    <t>INBLR</t>
  </si>
  <si>
    <t>4030413745</t>
  </si>
  <si>
    <t>SRCUP34196</t>
  </si>
  <si>
    <t>CRA02</t>
  </si>
  <si>
    <t>Philips de Costa Rica SRL (Air/LCL)</t>
  </si>
  <si>
    <t>CR9A</t>
  </si>
  <si>
    <t>VOLEUR</t>
  </si>
  <si>
    <t>Coyol</t>
  </si>
  <si>
    <t>CRSJO</t>
  </si>
  <si>
    <t>BEBRU</t>
  </si>
  <si>
    <t>Zaventem</t>
  </si>
  <si>
    <t>20101</t>
  </si>
  <si>
    <t>419538454</t>
  </si>
  <si>
    <t>1930</t>
  </si>
  <si>
    <t>MTA0361798</t>
  </si>
  <si>
    <t>MT081</t>
  </si>
  <si>
    <t>Philips Tewksbury C/O DHL (AIR/LCL)</t>
  </si>
  <si>
    <t>ZIP-110167A</t>
  </si>
  <si>
    <t>CNSHE</t>
  </si>
  <si>
    <t>SHENYANG</t>
  </si>
  <si>
    <t>110167</t>
  </si>
  <si>
    <t>MTA0361802</t>
  </si>
  <si>
    <t>DE9A - US - TEW</t>
  </si>
  <si>
    <t>4570331222</t>
  </si>
  <si>
    <t>SR0528567</t>
  </si>
  <si>
    <t>MATSA</t>
  </si>
  <si>
    <t>Philips Respironics RIYW/MATC (Air/LCL)</t>
  </si>
  <si>
    <t>262391(200002)</t>
  </si>
  <si>
    <t>3503185928</t>
  </si>
  <si>
    <t>200002</t>
  </si>
  <si>
    <t>UPS AIR (S)</t>
  </si>
  <si>
    <t>SR0528547</t>
  </si>
  <si>
    <t>350318594T</t>
  </si>
  <si>
    <t>SR0528573</t>
  </si>
  <si>
    <t>202815</t>
  </si>
  <si>
    <t>BRVCP</t>
  </si>
  <si>
    <t>Barueri</t>
  </si>
  <si>
    <t>06460-040</t>
  </si>
  <si>
    <t>CL12000790</t>
  </si>
  <si>
    <t>415787472</t>
  </si>
  <si>
    <t>SRCUP34137</t>
  </si>
  <si>
    <t>SRCUP34123</t>
  </si>
  <si>
    <t>2224553</t>
  </si>
  <si>
    <t>1071853</t>
  </si>
  <si>
    <t>MTA0361850</t>
  </si>
  <si>
    <t>MT051</t>
  </si>
  <si>
    <t>USMC Merge Center (Air/LCL)</t>
  </si>
  <si>
    <t>251063</t>
  </si>
  <si>
    <t>USORD</t>
  </si>
  <si>
    <t>CLSCL</t>
  </si>
  <si>
    <t>Santiago</t>
  </si>
  <si>
    <t>ORD82032789</t>
  </si>
  <si>
    <t>7570569</t>
  </si>
  <si>
    <t>Service Level- 6</t>
  </si>
  <si>
    <t>SERVICE LEVEL- 6(AIR NORMAL)</t>
  </si>
  <si>
    <t>DIS1200735</t>
  </si>
  <si>
    <t>DIS12</t>
  </si>
  <si>
    <t>Discus Dental LLC (Road/Air/LCL)</t>
  </si>
  <si>
    <t>167244</t>
  </si>
  <si>
    <t>660104</t>
  </si>
  <si>
    <t>MXMEX</t>
  </si>
  <si>
    <t>Huixquilucan</t>
  </si>
  <si>
    <t>4071713110</t>
  </si>
  <si>
    <t>52784</t>
  </si>
  <si>
    <t>2224552</t>
  </si>
  <si>
    <t>1071863</t>
  </si>
  <si>
    <t>SR0531315</t>
  </si>
  <si>
    <t>40418338</t>
  </si>
  <si>
    <t>3503185972</t>
  </si>
  <si>
    <t>MTA0365728</t>
  </si>
  <si>
    <t>DE9B - SG 22 CH</t>
  </si>
  <si>
    <t>486064</t>
  </si>
  <si>
    <t>Nippon Air</t>
  </si>
  <si>
    <t>MTA0366033</t>
  </si>
  <si>
    <t>MTA0366032</t>
  </si>
  <si>
    <t>MTA0375673</t>
  </si>
  <si>
    <t>41N0444535</t>
  </si>
  <si>
    <t>SRCUP08230</t>
  </si>
  <si>
    <t>SR300</t>
  </si>
  <si>
    <t>Unicom (Air/LCL)</t>
  </si>
  <si>
    <t>Tsuen Wan</t>
  </si>
  <si>
    <t>4913529194</t>
  </si>
  <si>
    <t>DTUP004135</t>
  </si>
  <si>
    <t>MTA0370467</t>
  </si>
  <si>
    <t>ORD82032838</t>
  </si>
  <si>
    <t>OMX0102069</t>
  </si>
  <si>
    <t>OMX01</t>
  </si>
  <si>
    <t>Nypro Tijuana (Air/Road)</t>
  </si>
  <si>
    <t>455355</t>
  </si>
  <si>
    <t>Tijuana</t>
  </si>
  <si>
    <t>22444</t>
  </si>
  <si>
    <t>USMKE0000022969</t>
  </si>
  <si>
    <t>MTA0240980</t>
  </si>
  <si>
    <t>MT0EA</t>
  </si>
  <si>
    <t>DHL Export (Air/LCL)</t>
  </si>
  <si>
    <t>96743-8496</t>
  </si>
  <si>
    <t>Export</t>
  </si>
  <si>
    <t>USDFS</t>
  </si>
  <si>
    <t>Kamuela</t>
  </si>
  <si>
    <t>15632</t>
  </si>
  <si>
    <t>H17432856</t>
  </si>
  <si>
    <t>96743</t>
  </si>
  <si>
    <t>MTA0264568</t>
  </si>
  <si>
    <t>DE9B - SG SUNVI</t>
  </si>
  <si>
    <t>STR44447885</t>
  </si>
  <si>
    <t>MTA0252089</t>
  </si>
  <si>
    <t>DE9B - JP PRJ</t>
  </si>
  <si>
    <t>JPNRT</t>
  </si>
  <si>
    <t>Kawagoe-Shi, Saitama</t>
  </si>
  <si>
    <t>MTA0252121</t>
  </si>
  <si>
    <t>ZIP-BT126TAA</t>
  </si>
  <si>
    <t>GBBFS</t>
  </si>
  <si>
    <t>Belfast</t>
  </si>
  <si>
    <t>417493892</t>
  </si>
  <si>
    <t>BT12 6TA</t>
  </si>
  <si>
    <t>MTA0256782</t>
  </si>
  <si>
    <t>DE9B - JP PM</t>
  </si>
  <si>
    <t>SR0533759</t>
  </si>
  <si>
    <t>3503187336</t>
  </si>
  <si>
    <t>SR0533768</t>
  </si>
  <si>
    <t>MTA0264529</t>
  </si>
  <si>
    <t>DE9B - IN CHENN</t>
  </si>
  <si>
    <t>MTA0264602</t>
  </si>
  <si>
    <t>DEMC-SA ALFAIS.</t>
  </si>
  <si>
    <t>SARUH</t>
  </si>
  <si>
    <t>RIYADH</t>
  </si>
  <si>
    <t>06531349010</t>
  </si>
  <si>
    <t>62961</t>
  </si>
  <si>
    <t>MTA0264603</t>
  </si>
  <si>
    <t>DEMC - AE DUBAI</t>
  </si>
  <si>
    <t>Dubai</t>
  </si>
  <si>
    <t>STR22230572</t>
  </si>
  <si>
    <t>.</t>
  </si>
  <si>
    <t>SR0132622</t>
  </si>
  <si>
    <t>SRCTA</t>
  </si>
  <si>
    <t>Philips Respironics RIEW (Air/LCL)</t>
  </si>
  <si>
    <t>7319900</t>
  </si>
  <si>
    <t>GBLHR</t>
  </si>
  <si>
    <t>Shoham</t>
  </si>
  <si>
    <t>MTA0267431</t>
  </si>
  <si>
    <t>06531349021</t>
  </si>
  <si>
    <t>MTA0267483</t>
  </si>
  <si>
    <t>DE9A - US GREGO</t>
  </si>
  <si>
    <t>Holyoke MA</t>
  </si>
  <si>
    <t>STR11122670</t>
  </si>
  <si>
    <t>01040</t>
  </si>
  <si>
    <t>DTUP002137</t>
  </si>
  <si>
    <t>DT133</t>
  </si>
  <si>
    <t>TELCON LLC (AIR) SUZHOU</t>
  </si>
  <si>
    <t>STREETSBORO</t>
  </si>
  <si>
    <t>USCLE</t>
  </si>
  <si>
    <t>44241</t>
  </si>
  <si>
    <t>MTA0374100</t>
  </si>
  <si>
    <t>41N0444524</t>
  </si>
  <si>
    <t>HKD082493</t>
  </si>
  <si>
    <t>CNCAN</t>
  </si>
  <si>
    <t>CAYYZ</t>
  </si>
  <si>
    <t>MTA0286402</t>
  </si>
  <si>
    <t>417495094</t>
  </si>
  <si>
    <t>MTA0375552</t>
  </si>
  <si>
    <t>DE9B - IN NEW 2</t>
  </si>
  <si>
    <t>INDEL</t>
  </si>
  <si>
    <t>STR44448319</t>
  </si>
  <si>
    <t>110037</t>
  </si>
  <si>
    <t>Service Level- 4</t>
  </si>
  <si>
    <t>SERVICE LEVEL- 4</t>
  </si>
  <si>
    <t>CL07801240</t>
  </si>
  <si>
    <t>CL078</t>
  </si>
  <si>
    <t>PNE Electric Sdn Bhd. (AIR/LCL)</t>
  </si>
  <si>
    <t>MYJHB</t>
  </si>
  <si>
    <t>ROBUH</t>
  </si>
  <si>
    <t>412636522</t>
  </si>
  <si>
    <t>CL70600145</t>
  </si>
  <si>
    <t>CL706</t>
  </si>
  <si>
    <t>VAPOR TECHNOLOGY（HONGKONG)(Air/LCL)</t>
  </si>
  <si>
    <t>SHA82028608</t>
  </si>
  <si>
    <t>2224584</t>
  </si>
  <si>
    <t>EIN024319</t>
  </si>
  <si>
    <t>OMX0102084</t>
  </si>
  <si>
    <t>USSAN</t>
  </si>
  <si>
    <t>PLWAW</t>
  </si>
  <si>
    <t>F2L0235160</t>
  </si>
  <si>
    <t>SR0328281</t>
  </si>
  <si>
    <t>417495319</t>
  </si>
  <si>
    <t>DAP2520470</t>
  </si>
  <si>
    <t>OAT01</t>
  </si>
  <si>
    <t>Hirtenberger AIR/LCL (Road)</t>
  </si>
  <si>
    <t>Hirtenberg</t>
  </si>
  <si>
    <t>ATKLU</t>
  </si>
  <si>
    <t>2552</t>
  </si>
  <si>
    <t>DAP2211142</t>
  </si>
  <si>
    <t>DAP22</t>
  </si>
  <si>
    <t>Iskra Mehanizmi D.O.O. (Air/LCL)</t>
  </si>
  <si>
    <t>537011</t>
  </si>
  <si>
    <t>SILJU</t>
  </si>
  <si>
    <t>OMX0102085</t>
  </si>
  <si>
    <t>MXTIJ</t>
  </si>
  <si>
    <t>F2L0235546</t>
  </si>
  <si>
    <t>SR0346903</t>
  </si>
  <si>
    <t>417495543</t>
  </si>
  <si>
    <t>SR0534628</t>
  </si>
  <si>
    <t>3503189074</t>
  </si>
  <si>
    <t>MTA0309593</t>
  </si>
  <si>
    <t>DEMC - MACAO</t>
  </si>
  <si>
    <t>MOMFM</t>
  </si>
  <si>
    <t>MACAU MACAU</t>
  </si>
  <si>
    <t>MO</t>
  </si>
  <si>
    <t>STR22230710</t>
  </si>
  <si>
    <t>MTA0309623</t>
  </si>
  <si>
    <t>STR22230716</t>
  </si>
  <si>
    <t>SR0534660</t>
  </si>
  <si>
    <t>3503189118</t>
  </si>
  <si>
    <t>MTA0311138</t>
  </si>
  <si>
    <t>STR22230718</t>
  </si>
  <si>
    <t>MTA0311075</t>
  </si>
  <si>
    <t>DE9B - US9D</t>
  </si>
  <si>
    <t>North Syracuse</t>
  </si>
  <si>
    <t>STR11122882</t>
  </si>
  <si>
    <t>13212</t>
  </si>
  <si>
    <t>SR0534676</t>
  </si>
  <si>
    <t>417496815</t>
  </si>
  <si>
    <t>2222545</t>
  </si>
  <si>
    <t>Batam Panbil Industrial Estate</t>
  </si>
  <si>
    <t>PI0016531</t>
  </si>
  <si>
    <t>Bielefeld</t>
  </si>
  <si>
    <t>DEBFE</t>
  </si>
  <si>
    <t>33719</t>
  </si>
  <si>
    <t>MTA0314451</t>
  </si>
  <si>
    <t>DE9B - TW04 TAI</t>
  </si>
  <si>
    <t>TWTPE</t>
  </si>
  <si>
    <t>Taipei City</t>
  </si>
  <si>
    <t>STR44448085</t>
  </si>
  <si>
    <t>SR0372904</t>
  </si>
  <si>
    <t>40400590</t>
  </si>
  <si>
    <t>2224612</t>
  </si>
  <si>
    <t>1071878</t>
  </si>
  <si>
    <t>MTA0314538</t>
  </si>
  <si>
    <t>DE9A-ID90</t>
  </si>
  <si>
    <t>IDCGK</t>
  </si>
  <si>
    <t>STR11122893</t>
  </si>
  <si>
    <t>MTA0314541</t>
  </si>
  <si>
    <t>DE9A-MY90</t>
  </si>
  <si>
    <t>MYKUL</t>
  </si>
  <si>
    <t>Sepang, Selangor</t>
  </si>
  <si>
    <t>STR11122891</t>
  </si>
  <si>
    <t>64000</t>
  </si>
  <si>
    <t>SRCUP31832</t>
  </si>
  <si>
    <t>419536066</t>
  </si>
  <si>
    <t>DAP2520527</t>
  </si>
  <si>
    <t>MTA0317707</t>
  </si>
  <si>
    <t>LONDON</t>
  </si>
  <si>
    <t>STR44448086</t>
  </si>
  <si>
    <t>WC1N 1DE</t>
  </si>
  <si>
    <t>MTA0319318</t>
  </si>
  <si>
    <t>DE9A - CA GENER</t>
  </si>
  <si>
    <t>Toronto</t>
  </si>
  <si>
    <t>STR11122897</t>
  </si>
  <si>
    <t>M5G 2C4</t>
  </si>
  <si>
    <t>SR0534919</t>
  </si>
  <si>
    <t>40400076</t>
  </si>
  <si>
    <t>OMMCT</t>
  </si>
  <si>
    <t>MUSCAT</t>
  </si>
  <si>
    <t>OM</t>
  </si>
  <si>
    <t>417496816</t>
  </si>
  <si>
    <t>113</t>
  </si>
  <si>
    <t>MTA0322808</t>
  </si>
  <si>
    <t>DE9A - SG - SPS</t>
  </si>
  <si>
    <t>2224613</t>
  </si>
  <si>
    <t>1071879</t>
  </si>
  <si>
    <t>SRCUP32081</t>
  </si>
  <si>
    <t>USA01</t>
  </si>
  <si>
    <t>VELCRO USA: INC.(Air/LCL)</t>
  </si>
  <si>
    <t>Sha tin</t>
  </si>
  <si>
    <t>F11339141</t>
  </si>
  <si>
    <t>411319212</t>
  </si>
  <si>
    <t>PI0019006</t>
  </si>
  <si>
    <t>SRCUP32136</t>
  </si>
  <si>
    <t>DAP2211181</t>
  </si>
  <si>
    <t>P822632</t>
  </si>
  <si>
    <t>DTUP003170</t>
  </si>
  <si>
    <t>DT162</t>
  </si>
  <si>
    <t>VDL Fibertech Industries (Air/LCL)</t>
  </si>
  <si>
    <t>Hapert</t>
  </si>
  <si>
    <t>5527 LC</t>
  </si>
  <si>
    <t>4480599521</t>
  </si>
  <si>
    <t>CL40800182</t>
  </si>
  <si>
    <t>CL408</t>
  </si>
  <si>
    <t>TAIFENG TECHNOLOGY</t>
  </si>
  <si>
    <t>CL408_HK</t>
  </si>
  <si>
    <t>ITGGM</t>
  </si>
  <si>
    <t>9999</t>
  </si>
  <si>
    <t>HKHKG0000395153</t>
  </si>
  <si>
    <t>2222930</t>
  </si>
  <si>
    <t>ROOTP</t>
  </si>
  <si>
    <t>3DEP786</t>
  </si>
  <si>
    <t>MTA0328049</t>
  </si>
  <si>
    <t>SRCUP32235</t>
  </si>
  <si>
    <t>DAP2211185</t>
  </si>
  <si>
    <t>662002</t>
  </si>
  <si>
    <t>Tepotzotlan</t>
  </si>
  <si>
    <t>P834661</t>
  </si>
  <si>
    <t>54605</t>
  </si>
  <si>
    <t>2223038</t>
  </si>
  <si>
    <t>264550</t>
  </si>
  <si>
    <t>CNZGN</t>
  </si>
  <si>
    <t>P834997</t>
  </si>
  <si>
    <t>528436</t>
  </si>
  <si>
    <t>SRCUP32287</t>
  </si>
  <si>
    <t>USA12</t>
  </si>
  <si>
    <t>Precision Plastic  (Air/LCL)</t>
  </si>
  <si>
    <t>Portland</t>
  </si>
  <si>
    <t>USJFK</t>
  </si>
  <si>
    <t>06480</t>
  </si>
  <si>
    <t>4060682323</t>
  </si>
  <si>
    <t>UP11000837</t>
  </si>
  <si>
    <t>UP110</t>
  </si>
  <si>
    <t>SC Elbromplast SA</t>
  </si>
  <si>
    <t>Timisoara</t>
  </si>
  <si>
    <t>ROTSR</t>
  </si>
  <si>
    <t>300704</t>
  </si>
  <si>
    <t>MTA0331558</t>
  </si>
  <si>
    <t>GBBHX</t>
  </si>
  <si>
    <t>DUDLEY. WEST MIDLANDS</t>
  </si>
  <si>
    <t>STR44448122</t>
  </si>
  <si>
    <t>DY1 2HQ</t>
  </si>
  <si>
    <t>SRCUP32516</t>
  </si>
  <si>
    <t>4060682549</t>
  </si>
  <si>
    <t>DIS1200746</t>
  </si>
  <si>
    <t>DISCUS AU</t>
  </si>
  <si>
    <t>South St  Rydalmere</t>
  </si>
  <si>
    <t>4071714099</t>
  </si>
  <si>
    <t>2116</t>
  </si>
  <si>
    <t>MTA0333277</t>
  </si>
  <si>
    <t>ZIP-HG14DPA</t>
  </si>
  <si>
    <t>GBLIV</t>
  </si>
  <si>
    <t>Harrogate</t>
  </si>
  <si>
    <t>417496041</t>
  </si>
  <si>
    <t>HG1 4DP</t>
  </si>
  <si>
    <t>MTA0333303</t>
  </si>
  <si>
    <t>GBGLA</t>
  </si>
  <si>
    <t>GREENOCK</t>
  </si>
  <si>
    <t>STR44448147</t>
  </si>
  <si>
    <t>PA16 0XN</t>
  </si>
  <si>
    <t>SR0535314</t>
  </si>
  <si>
    <t>40400809</t>
  </si>
  <si>
    <t>AREZE</t>
  </si>
  <si>
    <t>1429</t>
  </si>
  <si>
    <t>SRCUP32543</t>
  </si>
  <si>
    <t>419536072</t>
  </si>
  <si>
    <t>DAP2520611</t>
  </si>
  <si>
    <t>DAP25</t>
  </si>
  <si>
    <t>SC Klagenfurt (Webbooking)</t>
  </si>
  <si>
    <t>7122393</t>
  </si>
  <si>
    <t>Q000599</t>
  </si>
  <si>
    <t>MTA0336203</t>
  </si>
  <si>
    <t>417496072</t>
  </si>
  <si>
    <t>SRCUP34354</t>
  </si>
  <si>
    <t>MTA0337892</t>
  </si>
  <si>
    <t>DAP2211228</t>
  </si>
  <si>
    <t>SR0447420</t>
  </si>
  <si>
    <t>SRCZA</t>
  </si>
  <si>
    <t>Philips Respironics RIVI Outbound</t>
  </si>
  <si>
    <t>0040425204</t>
  </si>
  <si>
    <t>42L0109514</t>
  </si>
  <si>
    <t>1427</t>
  </si>
  <si>
    <t>2223481</t>
  </si>
  <si>
    <t>3DEP947</t>
  </si>
  <si>
    <t>DIS1200751</t>
  </si>
  <si>
    <t>140666</t>
  </si>
  <si>
    <t>4071715328</t>
  </si>
  <si>
    <t>SRCUP33009</t>
  </si>
  <si>
    <t>MTA0353536</t>
  </si>
  <si>
    <t>STR44448244</t>
  </si>
  <si>
    <t>MTA0346171</t>
  </si>
  <si>
    <t>4570330008</t>
  </si>
  <si>
    <t>OMX0102094</t>
  </si>
  <si>
    <t>SR0464197</t>
  </si>
  <si>
    <t>3503125076</t>
  </si>
  <si>
    <t>DTUP003613</t>
  </si>
  <si>
    <t>DIS1200753</t>
  </si>
  <si>
    <t>814078</t>
  </si>
  <si>
    <t>RUSVO</t>
  </si>
  <si>
    <t>Moscow, RUSSIAN FED</t>
  </si>
  <si>
    <t>Service Level- 3</t>
  </si>
  <si>
    <t>SERVICE LEVEL- 3</t>
  </si>
  <si>
    <t>HKD082584</t>
  </si>
  <si>
    <t>CL40500291</t>
  </si>
  <si>
    <t>MTA0353244</t>
  </si>
  <si>
    <t>GBNQT</t>
  </si>
  <si>
    <t>COTTINGHAM</t>
  </si>
  <si>
    <t>STR44448235</t>
  </si>
  <si>
    <t>HU16 5JQ</t>
  </si>
  <si>
    <t>SR0470850</t>
  </si>
  <si>
    <t>MATCA</t>
  </si>
  <si>
    <t>Philips Respironics RISZ/MATC (Air/LCL)</t>
  </si>
  <si>
    <t>0060610112</t>
  </si>
  <si>
    <t>WALLINGFORD</t>
  </si>
  <si>
    <t>4913824846</t>
  </si>
  <si>
    <t>06492-1926</t>
  </si>
  <si>
    <t>J&amp;T FORWARDER’S (HK) LTD</t>
  </si>
  <si>
    <t>SR0470859</t>
  </si>
  <si>
    <t>4913824847</t>
  </si>
  <si>
    <t>PI0017945</t>
  </si>
  <si>
    <t>449460</t>
  </si>
  <si>
    <t>4831217322</t>
  </si>
  <si>
    <t>DTUP003603</t>
  </si>
  <si>
    <t>DT008</t>
  </si>
  <si>
    <t>HP MANUFACTURING CO. INC. (AIR/LCL)</t>
  </si>
  <si>
    <t>CLEVELAND</t>
  </si>
  <si>
    <t>44115</t>
  </si>
  <si>
    <t>7GI6838</t>
  </si>
  <si>
    <t>MTA0348063</t>
  </si>
  <si>
    <t>DE9B - ID01</t>
  </si>
  <si>
    <t>STR44448204</t>
  </si>
  <si>
    <t>MTA0348073</t>
  </si>
  <si>
    <t>STR44448200</t>
  </si>
  <si>
    <t>MTA0348079</t>
  </si>
  <si>
    <t>ORD82024930</t>
  </si>
  <si>
    <t>DTUP003635</t>
  </si>
  <si>
    <t>7GI6840</t>
  </si>
  <si>
    <t>SRCUP33255</t>
  </si>
  <si>
    <t>419536078</t>
  </si>
  <si>
    <t>MTA0351148</t>
  </si>
  <si>
    <t>DEMC - VN - NEW</t>
  </si>
  <si>
    <t>STR22230816</t>
  </si>
  <si>
    <t>DTUP003645</t>
  </si>
  <si>
    <t>5MNH477</t>
  </si>
  <si>
    <t>DTUP003647</t>
  </si>
  <si>
    <t>5NMH488</t>
  </si>
  <si>
    <t>SR0473746</t>
  </si>
  <si>
    <t>40422236</t>
  </si>
  <si>
    <t>42L0109786</t>
  </si>
  <si>
    <t>11423</t>
  </si>
  <si>
    <t>MTA0352843</t>
  </si>
  <si>
    <t>ZIP-2019B</t>
  </si>
  <si>
    <t>BOS18264661</t>
  </si>
  <si>
    <t>2019</t>
  </si>
  <si>
    <t>MTA0352878</t>
  </si>
  <si>
    <t>DEMC - LB - INT</t>
  </si>
  <si>
    <t>Beirut</t>
  </si>
  <si>
    <t>STR22230825</t>
  </si>
  <si>
    <t>2067-2620</t>
  </si>
  <si>
    <t>CL26101577</t>
  </si>
  <si>
    <t>CL261</t>
  </si>
  <si>
    <t>PT. YEAKIN PLASTIC INDUSTRY (Air/LC</t>
  </si>
  <si>
    <t>BATAM</t>
  </si>
  <si>
    <t>4831217320</t>
  </si>
  <si>
    <t>MTA0352954</t>
  </si>
  <si>
    <t>DEMC - IS - DIS</t>
  </si>
  <si>
    <t>ISKEF</t>
  </si>
  <si>
    <t>GARDABAER</t>
  </si>
  <si>
    <t>IS</t>
  </si>
  <si>
    <t>STR22230824</t>
  </si>
  <si>
    <t>210</t>
  </si>
  <si>
    <t>SRCUP33386</t>
  </si>
  <si>
    <t>4060683911</t>
  </si>
  <si>
    <t>DTUP003702</t>
  </si>
  <si>
    <t>DT188</t>
  </si>
  <si>
    <t>EMD TECHNOLOGIES INCORP (Air/LCL)</t>
  </si>
  <si>
    <t>CAYUL</t>
  </si>
  <si>
    <t>417356660</t>
  </si>
  <si>
    <t>MTA0353050</t>
  </si>
  <si>
    <t>2223836</t>
  </si>
  <si>
    <t>Q106109</t>
  </si>
  <si>
    <t>MTA0353147</t>
  </si>
  <si>
    <t>ORD82026388</t>
  </si>
  <si>
    <t>SR0483178</t>
  </si>
  <si>
    <t>40422057</t>
  </si>
  <si>
    <t>NEU32265063</t>
  </si>
  <si>
    <t>Nippon Air/LCL</t>
  </si>
  <si>
    <t>MTA0353150</t>
  </si>
  <si>
    <t>94631593</t>
  </si>
  <si>
    <t>SVSAL</t>
  </si>
  <si>
    <t>San Salvador</t>
  </si>
  <si>
    <t>SV</t>
  </si>
  <si>
    <t>ORD82028171</t>
  </si>
  <si>
    <t>0000</t>
  </si>
  <si>
    <t>DIS1200755</t>
  </si>
  <si>
    <t>SR0483452</t>
  </si>
  <si>
    <t>NEU32265100</t>
  </si>
  <si>
    <t>SR0484222</t>
  </si>
  <si>
    <t>NEU32265166</t>
  </si>
  <si>
    <t>MTA0353211</t>
  </si>
  <si>
    <t>STR44448222</t>
  </si>
  <si>
    <t>DTUP003778</t>
  </si>
  <si>
    <t>DT065</t>
  </si>
  <si>
    <t>Force Engineering (Air/LCL)</t>
  </si>
  <si>
    <t>Shepshed</t>
  </si>
  <si>
    <t>GBEMA</t>
  </si>
  <si>
    <t>LE12 9NH</t>
  </si>
  <si>
    <t>MTA0353282</t>
  </si>
  <si>
    <t>190131</t>
  </si>
  <si>
    <t>BOLPB</t>
  </si>
  <si>
    <t>LA PAZ</t>
  </si>
  <si>
    <t>BO</t>
  </si>
  <si>
    <t>ORD82027803</t>
  </si>
  <si>
    <t>23000</t>
  </si>
  <si>
    <t>MTA0353296</t>
  </si>
  <si>
    <t>ZIP-CH-8274A</t>
  </si>
  <si>
    <t>TAGERWILEN</t>
  </si>
  <si>
    <t>CH-8274</t>
  </si>
  <si>
    <t>SRCUP33514</t>
  </si>
  <si>
    <t>419536076</t>
  </si>
  <si>
    <t>DTUP003796</t>
  </si>
  <si>
    <t>DT179</t>
  </si>
  <si>
    <t>RadScan Medical Equipment (AIR/LCL)</t>
  </si>
  <si>
    <t>Phoenix</t>
  </si>
  <si>
    <t>85085</t>
  </si>
  <si>
    <t>4110278432</t>
  </si>
  <si>
    <t>MTA0353353</t>
  </si>
  <si>
    <t>STR22230837</t>
  </si>
  <si>
    <t>2224066</t>
  </si>
  <si>
    <t>130320</t>
  </si>
  <si>
    <t>Stamford</t>
  </si>
  <si>
    <t>06912</t>
  </si>
  <si>
    <t>PI0018174</t>
  </si>
  <si>
    <t>Q131929</t>
  </si>
  <si>
    <t>MTA0353359</t>
  </si>
  <si>
    <t>DEMC - MONTEVID</t>
  </si>
  <si>
    <t>LATAM</t>
  </si>
  <si>
    <t>Montevideo</t>
  </si>
  <si>
    <t>STR22230836</t>
  </si>
  <si>
    <t>11200</t>
  </si>
  <si>
    <t>MTA0353361</t>
  </si>
  <si>
    <t>4570331179</t>
  </si>
  <si>
    <t>DTUP003819</t>
  </si>
  <si>
    <t>DT332</t>
  </si>
  <si>
    <t>Creative Foam Corporation (AIR)</t>
  </si>
  <si>
    <t>Bremen</t>
  </si>
  <si>
    <t>46506</t>
  </si>
  <si>
    <t>MTA0353426</t>
  </si>
  <si>
    <t>197738</t>
  </si>
  <si>
    <t>ECGYE</t>
  </si>
  <si>
    <t>Guayaquil</t>
  </si>
  <si>
    <t>EC</t>
  </si>
  <si>
    <t>ORD82027582</t>
  </si>
  <si>
    <t>00000</t>
  </si>
  <si>
    <t>MTA0353409</t>
  </si>
  <si>
    <t>196396</t>
  </si>
  <si>
    <t>San Jose</t>
  </si>
  <si>
    <t>ORD82027583</t>
  </si>
  <si>
    <t>10101</t>
  </si>
  <si>
    <t>SR0490633</t>
  </si>
  <si>
    <t>40400324</t>
  </si>
  <si>
    <t>FRNTE</t>
  </si>
  <si>
    <t>Nantes</t>
  </si>
  <si>
    <t>417496538</t>
  </si>
  <si>
    <t>44300</t>
  </si>
  <si>
    <t>MTA0353433</t>
  </si>
  <si>
    <t>SR0490657</t>
  </si>
  <si>
    <t>40419572</t>
  </si>
  <si>
    <t>INAMD</t>
  </si>
  <si>
    <t>Ahmedabad</t>
  </si>
  <si>
    <t>417496536</t>
  </si>
  <si>
    <t>380060</t>
  </si>
  <si>
    <t>SR0492335</t>
  </si>
  <si>
    <t>NEU32265682</t>
  </si>
  <si>
    <t>HKD081187</t>
  </si>
  <si>
    <t>CL772</t>
  </si>
  <si>
    <t>SKY LIGHT IMAGING LIM(AIR/LCL/Road)</t>
  </si>
  <si>
    <t>Bao'An</t>
  </si>
  <si>
    <t>FRLYS</t>
  </si>
  <si>
    <t>518104</t>
  </si>
  <si>
    <t>4913873555</t>
  </si>
  <si>
    <t>MTA0353501</t>
  </si>
  <si>
    <t>TAG SA</t>
  </si>
  <si>
    <t>STR22230832</t>
  </si>
  <si>
    <t>1011</t>
  </si>
  <si>
    <t>MTA0353537</t>
  </si>
  <si>
    <t>GBMAN</t>
  </si>
  <si>
    <t>LEEDS</t>
  </si>
  <si>
    <t>STR44448245</t>
  </si>
  <si>
    <t>LS2 9DA</t>
  </si>
  <si>
    <t>SRCUP33599</t>
  </si>
  <si>
    <t>419536080</t>
  </si>
  <si>
    <t>MTA0353573</t>
  </si>
  <si>
    <t>CHGVA</t>
  </si>
  <si>
    <t>417496562</t>
  </si>
  <si>
    <t>MTA0353582</t>
  </si>
  <si>
    <t>ZIP-201807A</t>
  </si>
  <si>
    <t>201807</t>
  </si>
  <si>
    <t>MTA0353589</t>
  </si>
  <si>
    <t>417496563</t>
  </si>
  <si>
    <t>MTA0353604</t>
  </si>
  <si>
    <t>ORD82027788</t>
  </si>
  <si>
    <t>SR0496387</t>
  </si>
  <si>
    <t>40425402</t>
  </si>
  <si>
    <t>Szepietowo</t>
  </si>
  <si>
    <t>42L0110034</t>
  </si>
  <si>
    <t>18-210</t>
  </si>
  <si>
    <t>2224165</t>
  </si>
  <si>
    <t>1071963</t>
  </si>
  <si>
    <t>MTA0353703</t>
  </si>
  <si>
    <t>STR44448252</t>
  </si>
  <si>
    <t>MTA0353707</t>
  </si>
  <si>
    <t>STR44448254</t>
  </si>
  <si>
    <t>MTA0353769</t>
  </si>
  <si>
    <t>ORD82028167</t>
  </si>
  <si>
    <t>MTA0353796</t>
  </si>
  <si>
    <t>ORD82029604</t>
  </si>
  <si>
    <t>SR0500099</t>
  </si>
  <si>
    <t>NEU32266275</t>
  </si>
  <si>
    <t>SR0500198</t>
  </si>
  <si>
    <t>NEU32266290</t>
  </si>
  <si>
    <t>SR0500282</t>
  </si>
  <si>
    <t>NEU32266334</t>
  </si>
  <si>
    <t>2224240</t>
  </si>
  <si>
    <t>MTA0353898</t>
  </si>
  <si>
    <t>STR44448266</t>
  </si>
  <si>
    <t>MTA0353957</t>
  </si>
  <si>
    <t>MT02100638</t>
  </si>
  <si>
    <t>MT021</t>
  </si>
  <si>
    <t>Philips Medizin (Air/LCL/Road)</t>
  </si>
  <si>
    <t>DE9A-SHIPPER</t>
  </si>
  <si>
    <t>USMC</t>
  </si>
  <si>
    <t>Fedex TN</t>
  </si>
  <si>
    <t>Service Level- 2</t>
  </si>
  <si>
    <t>SERVICE LEVEL- 2</t>
  </si>
  <si>
    <t>SR0503563</t>
  </si>
  <si>
    <t>USRDU</t>
  </si>
  <si>
    <t>4913824859</t>
  </si>
  <si>
    <t>MTA0354030</t>
  </si>
  <si>
    <t>STR22230855</t>
  </si>
  <si>
    <t>HKD081682</t>
  </si>
  <si>
    <t>4913878650</t>
  </si>
  <si>
    <t>DAP2520707</t>
  </si>
  <si>
    <t>Q143165</t>
  </si>
  <si>
    <t>SR0538418</t>
  </si>
  <si>
    <t>46043</t>
  </si>
  <si>
    <t>ITMIL</t>
  </si>
  <si>
    <t>CASTIGLIONE DELLE STIVIE</t>
  </si>
  <si>
    <t>42L0110472</t>
  </si>
  <si>
    <t>DTUP003960</t>
  </si>
  <si>
    <t>DT209</t>
  </si>
  <si>
    <t>Exerion Precision Technology Olomou</t>
  </si>
  <si>
    <t>Olomouc</t>
  </si>
  <si>
    <t>CZ</t>
  </si>
  <si>
    <t>CZPRG</t>
  </si>
  <si>
    <t>77900</t>
  </si>
  <si>
    <t>MTA0354071</t>
  </si>
  <si>
    <t>473869 (110037)</t>
  </si>
  <si>
    <t>INICD</t>
  </si>
  <si>
    <t>4030416689</t>
  </si>
  <si>
    <t>OMX0102101</t>
  </si>
  <si>
    <t>MTA0354082</t>
  </si>
  <si>
    <t>196643</t>
  </si>
  <si>
    <t>San Juan</t>
  </si>
  <si>
    <t>ORD82029965</t>
  </si>
  <si>
    <t>00926</t>
  </si>
  <si>
    <t>MTA0354083</t>
  </si>
  <si>
    <t>DEMC - TW - TAI</t>
  </si>
  <si>
    <t>Tapei</t>
  </si>
  <si>
    <t>4570331772</t>
  </si>
  <si>
    <t>11503</t>
  </si>
  <si>
    <t>MTA0354087</t>
  </si>
  <si>
    <t>DE9B - PH</t>
  </si>
  <si>
    <t>Bonifacio Global City, Taguig City</t>
  </si>
  <si>
    <t>STR44448274</t>
  </si>
  <si>
    <t>1634</t>
  </si>
  <si>
    <t>MTA0354092</t>
  </si>
  <si>
    <t>STR44448278</t>
  </si>
  <si>
    <t>MTA0354089</t>
  </si>
  <si>
    <t>STR44448277</t>
  </si>
  <si>
    <t>MTA0354068</t>
  </si>
  <si>
    <t>4570330056</t>
  </si>
  <si>
    <t>MTA0354096</t>
  </si>
  <si>
    <t>STR44448276</t>
  </si>
  <si>
    <t>MTA0354109</t>
  </si>
  <si>
    <t>0000271028</t>
  </si>
  <si>
    <t>BOGOTA</t>
  </si>
  <si>
    <t>ORD82029969</t>
  </si>
  <si>
    <t>MTA0354133</t>
  </si>
  <si>
    <t>ORD82030129</t>
  </si>
  <si>
    <t>MTA0354189</t>
  </si>
  <si>
    <t>41N0444500</t>
  </si>
  <si>
    <t>SR0538420</t>
  </si>
  <si>
    <t>42L0110473</t>
  </si>
  <si>
    <t>MTA0354206</t>
  </si>
  <si>
    <t>STR22230860</t>
  </si>
  <si>
    <t>DTUP003983</t>
  </si>
  <si>
    <t>2224286</t>
  </si>
  <si>
    <t>1071997</t>
  </si>
  <si>
    <t>2224285</t>
  </si>
  <si>
    <t>1071996</t>
  </si>
  <si>
    <t>DTUP003988</t>
  </si>
  <si>
    <t>DT359</t>
  </si>
  <si>
    <t>Domico Med-Device, LLC (AIR)</t>
  </si>
  <si>
    <t>Fenton</t>
  </si>
  <si>
    <t>USDTW</t>
  </si>
  <si>
    <t>48430</t>
  </si>
  <si>
    <t>5MNN401</t>
  </si>
  <si>
    <t>CL56000074</t>
  </si>
  <si>
    <t>CL560</t>
  </si>
  <si>
    <t>Amtech - Advanced Metal (Air/LCL)</t>
  </si>
  <si>
    <t>Oakland</t>
  </si>
  <si>
    <t>USPDX</t>
  </si>
  <si>
    <t>97462</t>
  </si>
  <si>
    <t>4180341180</t>
  </si>
  <si>
    <t>MTA0357059</t>
  </si>
  <si>
    <t>STR44448285</t>
  </si>
  <si>
    <t>PI0018621</t>
  </si>
  <si>
    <t>2224287</t>
  </si>
  <si>
    <t>1072000</t>
  </si>
  <si>
    <t>2224288</t>
  </si>
  <si>
    <t>1071801</t>
  </si>
  <si>
    <t>SR0514559</t>
  </si>
  <si>
    <t>3503172024</t>
  </si>
  <si>
    <t>SRCUP33957</t>
  </si>
  <si>
    <t>419536082</t>
  </si>
  <si>
    <t>2224361</t>
  </si>
  <si>
    <t>1071814</t>
  </si>
  <si>
    <t>2224360</t>
  </si>
  <si>
    <t>1071812</t>
  </si>
  <si>
    <t>MTA0357147</t>
  </si>
  <si>
    <t>189615</t>
  </si>
  <si>
    <t>ORD82031835</t>
  </si>
  <si>
    <t>110231</t>
  </si>
  <si>
    <t>MTA0357168</t>
  </si>
  <si>
    <t>ORD82031836</t>
  </si>
  <si>
    <t>MTA0357226</t>
  </si>
  <si>
    <t>DE9A - CA WINNI</t>
  </si>
  <si>
    <t>CAYWG</t>
  </si>
  <si>
    <t>WINNIPEG MB</t>
  </si>
  <si>
    <t>STR11123007</t>
  </si>
  <si>
    <t>R3H 1H3</t>
  </si>
  <si>
    <t>2224424</t>
  </si>
  <si>
    <t>1071818</t>
  </si>
  <si>
    <t>DTUP004038</t>
  </si>
  <si>
    <t>SR0517784</t>
  </si>
  <si>
    <t>3503185950</t>
  </si>
  <si>
    <t>SR0517933</t>
  </si>
  <si>
    <t>3503185961</t>
  </si>
  <si>
    <t>SRCUP34017</t>
  </si>
  <si>
    <t>USA09</t>
  </si>
  <si>
    <t>SMC LTD (Air/LCL)</t>
  </si>
  <si>
    <t>Amery</t>
  </si>
  <si>
    <t>54001</t>
  </si>
  <si>
    <t>4080297466</t>
  </si>
  <si>
    <t>2224233</t>
  </si>
  <si>
    <t>1071988</t>
  </si>
  <si>
    <t>2224234</t>
  </si>
  <si>
    <t>1071989</t>
  </si>
  <si>
    <t>2224236</t>
  </si>
  <si>
    <t>1071980</t>
  </si>
  <si>
    <t>2224235</t>
  </si>
  <si>
    <t>1071987</t>
  </si>
  <si>
    <t>2224082</t>
  </si>
  <si>
    <t>1071956</t>
  </si>
  <si>
    <t>2224190</t>
  </si>
  <si>
    <t>1071976</t>
  </si>
  <si>
    <t>2224421</t>
  </si>
  <si>
    <t>EIN024321</t>
  </si>
  <si>
    <t>2224192</t>
  </si>
  <si>
    <t>1071977</t>
  </si>
  <si>
    <t>MTA0358693</t>
  </si>
  <si>
    <t>DIS1200761</t>
  </si>
  <si>
    <t>2224614</t>
  </si>
  <si>
    <t>1071884</t>
  </si>
  <si>
    <t>SR0540072</t>
  </si>
  <si>
    <t>40424673</t>
  </si>
  <si>
    <t>417496855</t>
  </si>
  <si>
    <t>380018</t>
  </si>
  <si>
    <t>SR0539765</t>
  </si>
  <si>
    <t>MTA0377327</t>
  </si>
  <si>
    <t>SR0540202</t>
  </si>
  <si>
    <t>417496854</t>
  </si>
  <si>
    <t>CL76200009</t>
  </si>
  <si>
    <t>CL762</t>
  </si>
  <si>
    <t>Westaqua-Invest OU (Road)</t>
  </si>
  <si>
    <t>Sillamae</t>
  </si>
  <si>
    <t>EE</t>
  </si>
  <si>
    <t>40231</t>
  </si>
  <si>
    <t>CL40500297</t>
  </si>
  <si>
    <t>4260073544</t>
  </si>
  <si>
    <t>CL48300068</t>
  </si>
  <si>
    <t>CL483</t>
  </si>
  <si>
    <t>NINGBO SUNNY ELECTRICAL (Air/LCL)</t>
  </si>
  <si>
    <t>Cixi</t>
  </si>
  <si>
    <t>MTA0377474</t>
  </si>
  <si>
    <t>DEMC - CL ANDOV</t>
  </si>
  <si>
    <t>4570331796</t>
  </si>
  <si>
    <t>2224867</t>
  </si>
  <si>
    <t>2558330</t>
  </si>
  <si>
    <t>2224826</t>
  </si>
  <si>
    <t>2558331</t>
  </si>
  <si>
    <t>MTA0377488</t>
  </si>
  <si>
    <t>DEMC - BO SALUR</t>
  </si>
  <si>
    <t>La Paz-Zona Miraflores</t>
  </si>
  <si>
    <t>STR22230881</t>
  </si>
  <si>
    <t>PI0019153</t>
  </si>
  <si>
    <t>802851 SKD</t>
  </si>
  <si>
    <t>DRACHTEN</t>
  </si>
  <si>
    <t>9206 AD</t>
  </si>
  <si>
    <t>PI0019154</t>
  </si>
  <si>
    <t>MTA0377514</t>
  </si>
  <si>
    <t>Cambridge</t>
  </si>
  <si>
    <t>4570332462</t>
  </si>
  <si>
    <t>02141</t>
  </si>
  <si>
    <t>CL14001030</t>
  </si>
  <si>
    <t>CL140</t>
  </si>
  <si>
    <t>Team Technologies (Air/LCL)</t>
  </si>
  <si>
    <t>SR0544283</t>
  </si>
  <si>
    <t>350319661T</t>
  </si>
  <si>
    <t>DAP2211283</t>
  </si>
  <si>
    <t>HLH</t>
  </si>
  <si>
    <t>518125</t>
  </si>
  <si>
    <t>SR0545152</t>
  </si>
  <si>
    <t>40416693</t>
  </si>
  <si>
    <t>Rajkot</t>
  </si>
  <si>
    <t>417496896</t>
  </si>
  <si>
    <t>360002</t>
  </si>
  <si>
    <t>MTA0377646</t>
  </si>
  <si>
    <t>187708</t>
  </si>
  <si>
    <t>417496882</t>
  </si>
  <si>
    <t>CL12000797</t>
  </si>
  <si>
    <t>415787635</t>
  </si>
  <si>
    <t>CL12000798</t>
  </si>
  <si>
    <t>MTA0377669</t>
  </si>
  <si>
    <t>DE9A - SG XPO</t>
  </si>
  <si>
    <t>4570332466</t>
  </si>
  <si>
    <t>CL15402523</t>
  </si>
  <si>
    <t>CL154</t>
  </si>
  <si>
    <t>Multifill BV (Air/LCL)</t>
  </si>
  <si>
    <t>Mijdrecht</t>
  </si>
  <si>
    <t>Lau Fau Shan</t>
  </si>
  <si>
    <t>3641 SE</t>
  </si>
  <si>
    <t>YUEN LONG</t>
  </si>
  <si>
    <t>2224755</t>
  </si>
  <si>
    <t>2558310</t>
  </si>
  <si>
    <t>CL16800712</t>
  </si>
  <si>
    <t>CL168</t>
  </si>
  <si>
    <t>SEKSUN (Air/LCL)</t>
  </si>
  <si>
    <t>215128</t>
  </si>
  <si>
    <t>CL16800713</t>
  </si>
  <si>
    <t>MTA0379165</t>
  </si>
  <si>
    <t>Horgen</t>
  </si>
  <si>
    <t>STR11123027</t>
  </si>
  <si>
    <t>8810</t>
  </si>
  <si>
    <t>CL56000075</t>
  </si>
  <si>
    <t>MTA0379226</t>
  </si>
  <si>
    <t>417496924</t>
  </si>
  <si>
    <t>MTA0379259</t>
  </si>
  <si>
    <t>STR44448328</t>
  </si>
  <si>
    <t>DAP4501399</t>
  </si>
  <si>
    <t>422727986</t>
  </si>
  <si>
    <t>Zhuhai Yuanfeng AIR</t>
  </si>
  <si>
    <t>MTA0379333</t>
  </si>
  <si>
    <t>Irvine</t>
  </si>
  <si>
    <t>4570332470</t>
  </si>
  <si>
    <t>92618-3714</t>
  </si>
  <si>
    <t>HKD082794</t>
  </si>
  <si>
    <t>LCN59</t>
  </si>
  <si>
    <t>Kingclean Electric Co.,Ltd (LCL)</t>
  </si>
  <si>
    <t>MTA0379323</t>
  </si>
  <si>
    <t>41N0444563</t>
  </si>
  <si>
    <t>MTA0379328</t>
  </si>
  <si>
    <t>4570332467</t>
  </si>
  <si>
    <t>MTA0379344</t>
  </si>
  <si>
    <t>94032296</t>
  </si>
  <si>
    <t>USLAS</t>
  </si>
  <si>
    <t>LAS VEGAS</t>
  </si>
  <si>
    <t>4570332468</t>
  </si>
  <si>
    <t>89102</t>
  </si>
  <si>
    <t>SRCUP34606</t>
  </si>
  <si>
    <t>PCTLA</t>
  </si>
  <si>
    <t>PCT Lodz Upstream (Air/LCL)</t>
  </si>
  <si>
    <t>Shannon</t>
  </si>
  <si>
    <t>IESNN</t>
  </si>
  <si>
    <t>USCVG</t>
  </si>
  <si>
    <t>Milford</t>
  </si>
  <si>
    <t>V14 HN40</t>
  </si>
  <si>
    <t>45150</t>
  </si>
  <si>
    <t>2224827</t>
  </si>
  <si>
    <t>2558332</t>
  </si>
  <si>
    <t>2224866</t>
  </si>
  <si>
    <t>2558333</t>
  </si>
  <si>
    <t>DTUP004331</t>
  </si>
  <si>
    <t>SR0552681</t>
  </si>
  <si>
    <t>40419306</t>
  </si>
  <si>
    <t>Yangon</t>
  </si>
  <si>
    <t>MM</t>
  </si>
  <si>
    <t>417496978</t>
  </si>
  <si>
    <t>MTA0379420</t>
  </si>
  <si>
    <t>BIRMINGHAM</t>
  </si>
  <si>
    <t>STR44448334</t>
  </si>
  <si>
    <t>B18 7QH</t>
  </si>
  <si>
    <t>DIS1200764</t>
  </si>
  <si>
    <t>921980</t>
  </si>
  <si>
    <t>Istanbul</t>
  </si>
  <si>
    <t>81260</t>
  </si>
  <si>
    <t>SRCUP34610</t>
  </si>
  <si>
    <t>419538459</t>
  </si>
  <si>
    <t>MTA0379437</t>
  </si>
  <si>
    <t>420181B</t>
  </si>
  <si>
    <t>NORTHAMPTON</t>
  </si>
  <si>
    <t>417496960</t>
  </si>
  <si>
    <t>NN4 7HS</t>
  </si>
  <si>
    <t>HKD082905</t>
  </si>
  <si>
    <t>Eindhoven</t>
  </si>
  <si>
    <t>5656</t>
  </si>
  <si>
    <t>HKD082934</t>
  </si>
  <si>
    <t>CL311</t>
  </si>
  <si>
    <t>GUANG DONG XINBAO (Air/LCL)</t>
  </si>
  <si>
    <t>PI0019320</t>
  </si>
  <si>
    <t>PI0019322</t>
  </si>
  <si>
    <t>PI0019323</t>
  </si>
  <si>
    <t>PI0019325</t>
  </si>
  <si>
    <t>PI0019326</t>
  </si>
  <si>
    <t>PI0019327</t>
  </si>
  <si>
    <t>PI0019337</t>
  </si>
  <si>
    <t>PI0019339</t>
  </si>
  <si>
    <t>PI0019342</t>
  </si>
  <si>
    <t>2224937</t>
  </si>
  <si>
    <t>2224938</t>
  </si>
  <si>
    <t>2224863</t>
  </si>
  <si>
    <t>PI0019386</t>
  </si>
  <si>
    <t>PI0019385</t>
  </si>
  <si>
    <t>PI0019387</t>
  </si>
  <si>
    <t>PI0019388</t>
  </si>
  <si>
    <t>PI0019389</t>
  </si>
  <si>
    <t>PI0019390</t>
  </si>
  <si>
    <t>PI0019391</t>
  </si>
  <si>
    <t>2224461</t>
  </si>
  <si>
    <t>1071821</t>
  </si>
  <si>
    <t>PI0019338</t>
  </si>
  <si>
    <t>MTA0382357</t>
  </si>
  <si>
    <t>INJODHPUR</t>
  </si>
  <si>
    <t>JODHPUR</t>
  </si>
  <si>
    <t>342005</t>
  </si>
  <si>
    <t>SRC368683</t>
  </si>
  <si>
    <t>missing rates - GB to KR and JP - Nippon</t>
  </si>
  <si>
    <t>asked GB;reminder;sent reminder;again reminder;reminder;reminder again;again reminder;reminder to Stuart after he wrote he will collect values;reminder;asked again;reminder;napisałem do zespołu;wrote to Szabolcs how to proceed</t>
  </si>
  <si>
    <t>PI0016479</t>
  </si>
  <si>
    <t>Berlin</t>
  </si>
  <si>
    <t>06037</t>
  </si>
  <si>
    <t>8CM4938</t>
  </si>
  <si>
    <t>missing rates - DHL to Batam (from US,CH and DE)</t>
  </si>
  <si>
    <t>2222430</t>
  </si>
  <si>
    <t>P765041</t>
  </si>
  <si>
    <t>missing rates - Drachten to Batam with DHL</t>
  </si>
  <si>
    <t>2222407</t>
  </si>
  <si>
    <t>Jebel Ali Free Zone, Dubai</t>
  </si>
  <si>
    <t>CAN55145275</t>
  </si>
  <si>
    <t>missing rates with DB schenket to Arab Emirates</t>
  </si>
  <si>
    <t>asked Shari,Nichole</t>
  </si>
  <si>
    <t>DTUP002907</t>
  </si>
  <si>
    <t>DT361</t>
  </si>
  <si>
    <t>Elmet Technologies (AIR)</t>
  </si>
  <si>
    <t>LEWISTON</t>
  </si>
  <si>
    <t>04240</t>
  </si>
  <si>
    <t>5MMW296</t>
  </si>
  <si>
    <t>missing rates - BOS TLV with  DHL</t>
  </si>
  <si>
    <t>asked Derek</t>
  </si>
  <si>
    <t>2222341</t>
  </si>
  <si>
    <t>P759171</t>
  </si>
  <si>
    <t>MTU0000184</t>
  </si>
  <si>
    <t>MU257</t>
  </si>
  <si>
    <t>Cellotape Inc. AIR</t>
  </si>
  <si>
    <t>DBS DE9B</t>
  </si>
  <si>
    <t>Newark</t>
  </si>
  <si>
    <t>94560</t>
  </si>
  <si>
    <t>SFO71406262</t>
  </si>
  <si>
    <t>missing rates - MTU0000184 - DB Schenker</t>
  </si>
  <si>
    <t>asked Duane</t>
  </si>
  <si>
    <t>CL12000763</t>
  </si>
  <si>
    <t>missing rates - Xiamen to Moreno Valley with CEVA</t>
  </si>
  <si>
    <t>PI0016586</t>
  </si>
  <si>
    <t>Alzenau</t>
  </si>
  <si>
    <t>DEFRA</t>
  </si>
  <si>
    <t>63755</t>
  </si>
  <si>
    <t>2222196</t>
  </si>
  <si>
    <t>2567793</t>
  </si>
  <si>
    <t>2222192</t>
  </si>
  <si>
    <t>2567779</t>
  </si>
  <si>
    <t>2221989</t>
  </si>
  <si>
    <t>151477</t>
  </si>
  <si>
    <t>SYDNEY</t>
  </si>
  <si>
    <t>2163</t>
  </si>
  <si>
    <t>missing rates - 4514799 - DSV</t>
  </si>
  <si>
    <t>CL07100175</t>
  </si>
  <si>
    <t>QGL004924</t>
  </si>
  <si>
    <t>missing rates - from CH and DE with DHL</t>
  </si>
  <si>
    <t>asked batam team</t>
  </si>
  <si>
    <t>HKD076663</t>
  </si>
  <si>
    <t>CL101</t>
  </si>
  <si>
    <t>Rompashunxing (Jiangmen) (Air/LCL)</t>
  </si>
  <si>
    <t>529080</t>
  </si>
  <si>
    <t>missing rates  - UPS shipments to Columbus</t>
  </si>
  <si>
    <t>SR0285322</t>
  </si>
  <si>
    <t>4001135083</t>
  </si>
  <si>
    <t>missing rates - Mount Pleasant (via PIT) to NL and CN (via AMS and PVG)</t>
  </si>
  <si>
    <t>DAP2520322</t>
  </si>
  <si>
    <t>missing rates - DAP2520322 - DHL</t>
  </si>
  <si>
    <t>asked Austria</t>
  </si>
  <si>
    <t>DAP2211087</t>
  </si>
  <si>
    <t>missing rates for two shipments from HU and SI</t>
  </si>
  <si>
    <t>asked Magdalena;pre-bill asked to add rates</t>
  </si>
  <si>
    <t>SR0510052</t>
  </si>
  <si>
    <t>350316768T</t>
  </si>
  <si>
    <t>missing rates - USPIT to CNPVG with UPS (allocation for CEVA)</t>
  </si>
  <si>
    <t>asked Chris;reminder</t>
  </si>
  <si>
    <t>SRC793613</t>
  </si>
  <si>
    <t>418280659082</t>
  </si>
  <si>
    <t>missing rates with FedEx for SRC</t>
  </si>
  <si>
    <t>asked Yu Zhen and Vincent</t>
  </si>
  <si>
    <t>SRC793614</t>
  </si>
  <si>
    <t>806541829071</t>
  </si>
  <si>
    <t>SRC793615</t>
  </si>
  <si>
    <t>4913727084, 806541829050</t>
  </si>
  <si>
    <t>4913727084</t>
  </si>
  <si>
    <t>SRC806687</t>
  </si>
  <si>
    <t>806541829060</t>
  </si>
  <si>
    <t>MTA0029955</t>
  </si>
  <si>
    <t>751014</t>
  </si>
  <si>
    <t>PYASU</t>
  </si>
  <si>
    <t>Asunion</t>
  </si>
  <si>
    <t>PY</t>
  </si>
  <si>
    <t>ORD81948027</t>
  </si>
  <si>
    <t>RE: missing rates with DB Schenker (from West Chicago);MATC from West Chicago (spot quotes)</t>
  </si>
  <si>
    <t>asked Szabolcs;asked Micheal from US;asked christian for help;addressed Martin on them;asked Kelly for help</t>
  </si>
  <si>
    <t>MTA0072173</t>
  </si>
  <si>
    <t>94611484</t>
  </si>
  <si>
    <t>ANCUR</t>
  </si>
  <si>
    <t>Willemstad</t>
  </si>
  <si>
    <t>AN</t>
  </si>
  <si>
    <t>81087930253</t>
  </si>
  <si>
    <t>SR0337165</t>
  </si>
  <si>
    <t>Guildford</t>
  </si>
  <si>
    <t>GU28XG</t>
  </si>
  <si>
    <t>missing rates - SR0337165</t>
  </si>
  <si>
    <t>MTA0072174</t>
  </si>
  <si>
    <t>81087930146</t>
  </si>
  <si>
    <t>DTUP001560</t>
  </si>
  <si>
    <t>DT077</t>
  </si>
  <si>
    <t>LAP GmbH Laser Applikationen (Air)</t>
  </si>
  <si>
    <t>Luneburg</t>
  </si>
  <si>
    <t>21337</t>
  </si>
  <si>
    <t>8AC9657</t>
  </si>
  <si>
    <t>DTUP from Europe (AIR shipments)</t>
  </si>
  <si>
    <t>asked jakub</t>
  </si>
  <si>
    <t>SR0175978</t>
  </si>
  <si>
    <t>0030397599</t>
  </si>
  <si>
    <t>KENBO</t>
  </si>
  <si>
    <t>Nairobi</t>
  </si>
  <si>
    <t>KE</t>
  </si>
  <si>
    <t>4001132311</t>
  </si>
  <si>
    <t>2866-00621</t>
  </si>
  <si>
    <t>missing rates UPS SR0175978</t>
  </si>
  <si>
    <t>asked BOB</t>
  </si>
  <si>
    <t>DAP2211029</t>
  </si>
  <si>
    <t>151476</t>
  </si>
  <si>
    <t>P578444</t>
  </si>
  <si>
    <t>missing rates - SI to AU with DHL</t>
  </si>
  <si>
    <t>asked Magdalena</t>
  </si>
  <si>
    <t>DTUP002019</t>
  </si>
  <si>
    <t>DT115</t>
  </si>
  <si>
    <t>Inno-Metaal (AIR)</t>
  </si>
  <si>
    <t>MRI2</t>
  </si>
  <si>
    <t>Menands</t>
  </si>
  <si>
    <t>5626DC</t>
  </si>
  <si>
    <t>EIN016100</t>
  </si>
  <si>
    <t>12204</t>
  </si>
  <si>
    <t>DTUP002360</t>
  </si>
  <si>
    <t>DT150</t>
  </si>
  <si>
    <t>ADVANCED MOTION CONTROL (AIR)</t>
  </si>
  <si>
    <t>CAMARILLO</t>
  </si>
  <si>
    <t>93012</t>
  </si>
  <si>
    <t>missing rates - UPS - DTUP002360</t>
  </si>
  <si>
    <t>PI0015280</t>
  </si>
  <si>
    <t>3DOG694</t>
  </si>
  <si>
    <t>MTA0110851</t>
  </si>
  <si>
    <t>DE9B-SHIPPER</t>
  </si>
  <si>
    <t>DE9B - CN SHENZ</t>
  </si>
  <si>
    <t>STR44447250</t>
  </si>
  <si>
    <t>missing rates - MTA0110851 - DB Schenker</t>
  </si>
  <si>
    <t>asked Christian</t>
  </si>
  <si>
    <t>2222546</t>
  </si>
  <si>
    <t>P775141</t>
  </si>
  <si>
    <t>CL07100177</t>
  </si>
  <si>
    <t>DTUP003043</t>
  </si>
  <si>
    <t>SR0468628</t>
  </si>
  <si>
    <t>3503129454</t>
  </si>
  <si>
    <t>SR0469156</t>
  </si>
  <si>
    <t>3503129663</t>
  </si>
  <si>
    <t>SR0469430</t>
  </si>
  <si>
    <t>3503129784</t>
  </si>
  <si>
    <t>SR0469466</t>
  </si>
  <si>
    <t>3503129806</t>
  </si>
  <si>
    <t>SR0471619</t>
  </si>
  <si>
    <t>3503132413</t>
  </si>
  <si>
    <t>SR0485967</t>
  </si>
  <si>
    <t>3503148000</t>
  </si>
  <si>
    <t>SR0453225</t>
  </si>
  <si>
    <t>3503115242</t>
  </si>
  <si>
    <t>2224028</t>
  </si>
  <si>
    <t>449504</t>
  </si>
  <si>
    <t>CAN55146313</t>
  </si>
  <si>
    <t>missing ratess- ZUH to HUB with DB Schenker</t>
  </si>
  <si>
    <t>asked Zhuhai</t>
  </si>
  <si>
    <t>SR0497747</t>
  </si>
  <si>
    <t>SR0499795</t>
  </si>
  <si>
    <t>SR0502418</t>
  </si>
  <si>
    <t>3503162938</t>
  </si>
  <si>
    <t>SR0505324</t>
  </si>
  <si>
    <t>3503165952</t>
  </si>
  <si>
    <t>SR0506686</t>
  </si>
  <si>
    <t>3503166359</t>
  </si>
  <si>
    <t>SR0509976</t>
  </si>
  <si>
    <t>3503167602</t>
  </si>
  <si>
    <t>SR0490532</t>
  </si>
  <si>
    <t>3503152114</t>
  </si>
  <si>
    <t>2216750</t>
  </si>
  <si>
    <t>230048</t>
  </si>
  <si>
    <t>Markham</t>
  </si>
  <si>
    <t>L6C 2S3</t>
  </si>
  <si>
    <t>missing rates - 4406942 - DB Schenker AIR</t>
  </si>
  <si>
    <t>CL46500415</t>
  </si>
  <si>
    <t>CL465</t>
  </si>
  <si>
    <t>Hempel Industrial (Air/LCL)</t>
  </si>
  <si>
    <t>Kampen</t>
  </si>
  <si>
    <t>Kepri</t>
  </si>
  <si>
    <t>8263 AH</t>
  </si>
  <si>
    <t>29436</t>
  </si>
  <si>
    <t>missing rates - DSV to Kepri</t>
  </si>
  <si>
    <t>CL12000766</t>
  </si>
  <si>
    <t>DTUP003042</t>
  </si>
  <si>
    <t>2222609</t>
  </si>
  <si>
    <t>P786640</t>
  </si>
  <si>
    <t>2222667</t>
  </si>
  <si>
    <t>P790899</t>
  </si>
  <si>
    <t>DTUP003066</t>
  </si>
  <si>
    <t>missing rates GB to IL with DSV</t>
  </si>
  <si>
    <t>asked Jakub</t>
  </si>
  <si>
    <t>2222683</t>
  </si>
  <si>
    <t>P793631</t>
  </si>
  <si>
    <t>DTUP003086</t>
  </si>
  <si>
    <t>DT091</t>
  </si>
  <si>
    <t>KMWE Malaysia Sdn Bhd (AIR)</t>
  </si>
  <si>
    <t>Bayan Lepas</t>
  </si>
  <si>
    <t>MYPEN</t>
  </si>
  <si>
    <t>11900</t>
  </si>
  <si>
    <t>5969429686</t>
  </si>
  <si>
    <t>missing rates - UPS from MY to NL</t>
  </si>
  <si>
    <t>lex</t>
  </si>
  <si>
    <t>2223766</t>
  </si>
  <si>
    <t>CAN55146178</t>
  </si>
  <si>
    <t>2222713</t>
  </si>
  <si>
    <t>P797792</t>
  </si>
  <si>
    <t>DTUP003172</t>
  </si>
  <si>
    <t>596942961T</t>
  </si>
  <si>
    <t>2223093</t>
  </si>
  <si>
    <t>OIT04</t>
  </si>
  <si>
    <t>Philips Espresso Industries (sap)</t>
  </si>
  <si>
    <t>ITMXP</t>
  </si>
  <si>
    <t>DHL Global Forwarding SPA</t>
  </si>
  <si>
    <t>missing rates - 2223093 - DHL</t>
  </si>
  <si>
    <t>asked Laura;asked pre-bill to add</t>
  </si>
  <si>
    <t>DTUP003271</t>
  </si>
  <si>
    <t>5969429840</t>
  </si>
  <si>
    <t>DTUP003283</t>
  </si>
  <si>
    <t>DHL from GB to IL</t>
  </si>
  <si>
    <t>CL12000764</t>
  </si>
  <si>
    <t>IGD00000007</t>
  </si>
  <si>
    <t>IGRCA</t>
  </si>
  <si>
    <t>Philips IGT Corp (Air/LCL)</t>
  </si>
  <si>
    <t>USSFO</t>
  </si>
  <si>
    <t>178019</t>
  </si>
  <si>
    <t>Rancho Cordova</t>
  </si>
  <si>
    <t>95742</t>
  </si>
  <si>
    <t>UPS Air</t>
  </si>
  <si>
    <t>missing rates - IGD00000007</t>
  </si>
  <si>
    <t>aske Derek and Magan</t>
  </si>
  <si>
    <t>DTUP003155</t>
  </si>
  <si>
    <t>DAP2519645</t>
  </si>
  <si>
    <t>3CPP079</t>
  </si>
  <si>
    <t>missing rates - DAP2519645 - DHL</t>
  </si>
  <si>
    <t>asked Shari and Nichole</t>
  </si>
  <si>
    <t>DTUP002191</t>
  </si>
  <si>
    <t>DI001</t>
  </si>
  <si>
    <t>EBO (Air/LCL)</t>
  </si>
  <si>
    <t>Geldrop</t>
  </si>
  <si>
    <t>5567 KW</t>
  </si>
  <si>
    <t>EIN016031</t>
  </si>
  <si>
    <t>SR0511666</t>
  </si>
  <si>
    <t>3503168482</t>
  </si>
  <si>
    <t>SRC470211</t>
  </si>
  <si>
    <t>SRCUP23276</t>
  </si>
  <si>
    <t>CNA01</t>
  </si>
  <si>
    <t>GW Plastics Dongguang (AIr/LCL)</t>
  </si>
  <si>
    <t>770540106380</t>
  </si>
  <si>
    <t>missing rates with Fedex from Donnguan to Murrysville</t>
  </si>
  <si>
    <t>asked Manilla</t>
  </si>
  <si>
    <t>SRCUP23275</t>
  </si>
  <si>
    <t>770504246079</t>
  </si>
  <si>
    <t>SRCUP22233</t>
  </si>
  <si>
    <t>CNSEGXIA</t>
  </si>
  <si>
    <t>NCN 7714 7066</t>
  </si>
  <si>
    <t>missing rates - SRCUP22233 - Nippon</t>
  </si>
  <si>
    <t>SRC657817</t>
  </si>
  <si>
    <t>NEK11884202</t>
  </si>
  <si>
    <t>MTA0069094</t>
  </si>
  <si>
    <t>94603682</t>
  </si>
  <si>
    <t>BRREC</t>
  </si>
  <si>
    <t>Recife</t>
  </si>
  <si>
    <t>ORD81954554</t>
  </si>
  <si>
    <t>52010-902</t>
  </si>
  <si>
    <t>CL12000782</t>
  </si>
  <si>
    <t>CL08201688</t>
  </si>
  <si>
    <t>CL082</t>
  </si>
  <si>
    <t>PI Electronics (HK) Ltd (Air/LCL)</t>
  </si>
  <si>
    <t>000000</t>
  </si>
  <si>
    <t>P788329</t>
  </si>
  <si>
    <t>MTA0314484</t>
  </si>
  <si>
    <t>MT091</t>
  </si>
  <si>
    <t>Philips Andover (AIR/LCL)</t>
  </si>
  <si>
    <t>318875 (75382)</t>
  </si>
  <si>
    <t>Andover</t>
  </si>
  <si>
    <t>01810</t>
  </si>
  <si>
    <t>US BOS with DB Schenker</t>
  </si>
  <si>
    <t>asked Martin and Chris;no rates available</t>
  </si>
  <si>
    <t>MTA0314480</t>
  </si>
  <si>
    <t>2217559</t>
  </si>
  <si>
    <t>4480580858</t>
  </si>
  <si>
    <t>unkonwn (this is some duplicate for Expeditors)</t>
  </si>
  <si>
    <t>MTA0181069</t>
  </si>
  <si>
    <t>STR22230407</t>
  </si>
  <si>
    <t>no rates for such service level</t>
  </si>
  <si>
    <t>5304174</t>
  </si>
  <si>
    <t>164728</t>
  </si>
  <si>
    <t>DTUP003030</t>
  </si>
  <si>
    <t>SHA573344</t>
  </si>
  <si>
    <t>missing rates - PVG to AMS with DSV</t>
  </si>
  <si>
    <t>asked Sjen;pending upload</t>
  </si>
  <si>
    <t>CL11600339</t>
  </si>
  <si>
    <t>CL116</t>
  </si>
  <si>
    <t>ZRP (Air/LCL)</t>
  </si>
  <si>
    <t>SRCUP24118</t>
  </si>
  <si>
    <t>SR218</t>
  </si>
  <si>
    <t>Yen Sun Technology TW (Air/LCL)</t>
  </si>
  <si>
    <t>SR211OS</t>
  </si>
  <si>
    <t>SR114</t>
  </si>
  <si>
    <t>523466</t>
  </si>
  <si>
    <t>5352606611</t>
  </si>
  <si>
    <t>DTUP003024</t>
  </si>
  <si>
    <t>DT155</t>
  </si>
  <si>
    <t>Analogic Corporation (AIR/LCL)</t>
  </si>
  <si>
    <t>SHANGHAI</t>
  </si>
  <si>
    <t>200131</t>
  </si>
  <si>
    <t>SHA571404</t>
  </si>
  <si>
    <t>MTA0314275</t>
  </si>
  <si>
    <t>540240</t>
  </si>
  <si>
    <t>Kawagoe-shi</t>
  </si>
  <si>
    <t>BOS18263481</t>
  </si>
  <si>
    <t>SRC555756</t>
  </si>
  <si>
    <t>FCA term (Philips not paying)</t>
  </si>
  <si>
    <t>HKD078796</t>
  </si>
  <si>
    <t>HKD078793</t>
  </si>
  <si>
    <t>CL15402473</t>
  </si>
  <si>
    <t>missing rates - NL to HK with DHL</t>
  </si>
  <si>
    <t>asked CN;pending upload</t>
  </si>
  <si>
    <t>SRC808220</t>
  </si>
  <si>
    <t>40423781</t>
  </si>
  <si>
    <t>3502743255</t>
  </si>
  <si>
    <t>233216</t>
  </si>
  <si>
    <t>FCA no rates needed</t>
  </si>
  <si>
    <t>SRC815527</t>
  </si>
  <si>
    <t>MTA0161492</t>
  </si>
  <si>
    <t>DE9B - BR</t>
  </si>
  <si>
    <t>STR44447537</t>
  </si>
  <si>
    <t>no rates agreed</t>
  </si>
  <si>
    <t>DTUP003078</t>
  </si>
  <si>
    <t>DT032</t>
  </si>
  <si>
    <t>SPELLMAN INC (AIR)</t>
  </si>
  <si>
    <t>Brownsville</t>
  </si>
  <si>
    <t>USMFE</t>
  </si>
  <si>
    <t>78521</t>
  </si>
  <si>
    <t>5MMX848</t>
  </si>
  <si>
    <t>missing rates -  MFE to IL with DHL</t>
  </si>
  <si>
    <t>asked Magan Derek;cost on supplier</t>
  </si>
  <si>
    <t>DTUP003167</t>
  </si>
  <si>
    <t>5MMZ575</t>
  </si>
  <si>
    <t>CL46500407</t>
  </si>
  <si>
    <t>AMS88004393</t>
  </si>
  <si>
    <t>missing rates - AMS to HKG with Db Schenker (SL4)</t>
  </si>
  <si>
    <t>asked Shari and Nichole;pending upload</t>
  </si>
  <si>
    <t>MTA0161485</t>
  </si>
  <si>
    <t>DTUP003148</t>
  </si>
  <si>
    <t>5MMZ245</t>
  </si>
  <si>
    <t>DIS1200736</t>
  </si>
  <si>
    <t>MTA0322763</t>
  </si>
  <si>
    <t>941093</t>
  </si>
  <si>
    <t>District 1Ho Chi Minh City</t>
  </si>
  <si>
    <t>BOS18263710</t>
  </si>
  <si>
    <t>MTA0322761</t>
  </si>
  <si>
    <t>BOS18263734</t>
  </si>
  <si>
    <t>MTA0322760</t>
  </si>
  <si>
    <t>BOS18263719</t>
  </si>
  <si>
    <t>DTUP003132</t>
  </si>
  <si>
    <t>5MMY817</t>
  </si>
  <si>
    <t>DTUP003127</t>
  </si>
  <si>
    <t>5MMY741</t>
  </si>
  <si>
    <t>MTA0319404</t>
  </si>
  <si>
    <t>94639202</t>
  </si>
  <si>
    <t>GUAYNABO</t>
  </si>
  <si>
    <t>ORD82017159</t>
  </si>
  <si>
    <t>00969</t>
  </si>
  <si>
    <t>no rates availaable</t>
  </si>
  <si>
    <t>MTA0319400</t>
  </si>
  <si>
    <t>901069</t>
  </si>
  <si>
    <t>TTPOS</t>
  </si>
  <si>
    <t>Trincity</t>
  </si>
  <si>
    <t>TT</t>
  </si>
  <si>
    <t>81088938920</t>
  </si>
  <si>
    <t>MTA0161488</t>
  </si>
  <si>
    <t>STR44447534</t>
  </si>
  <si>
    <t>MTA0161487</t>
  </si>
  <si>
    <t>STR44447538</t>
  </si>
  <si>
    <t>DTUP003058</t>
  </si>
  <si>
    <t>DT191</t>
  </si>
  <si>
    <t>CTI (Suzhou) Co., Ltd (AIR)</t>
  </si>
  <si>
    <t>CNSZV</t>
  </si>
  <si>
    <t>215126</t>
  </si>
  <si>
    <t>missing rates - DHL from SZV to IL</t>
  </si>
  <si>
    <t>asked Lex;pending upload</t>
  </si>
  <si>
    <t>MTA0161491</t>
  </si>
  <si>
    <t>STR44447536</t>
  </si>
  <si>
    <t>2222455</t>
  </si>
  <si>
    <t>CAN55145338</t>
  </si>
  <si>
    <t>missing rates - CMH,AMS and WAW with DB Schenker</t>
  </si>
  <si>
    <t>SRC816974</t>
  </si>
  <si>
    <t>3502746335</t>
  </si>
  <si>
    <t>CL08201684</t>
  </si>
  <si>
    <t>P769635</t>
  </si>
  <si>
    <t>MTA0196221</t>
  </si>
  <si>
    <t>474003</t>
  </si>
  <si>
    <t>SZX40103986</t>
  </si>
  <si>
    <t>MTA0167438</t>
  </si>
  <si>
    <t>STR44447560</t>
  </si>
  <si>
    <t>CL15402464</t>
  </si>
  <si>
    <t>DIS1200729</t>
  </si>
  <si>
    <t>CL15402461</t>
  </si>
  <si>
    <t>DIS1200727</t>
  </si>
  <si>
    <t>DIS1200726</t>
  </si>
  <si>
    <t>DIS1200725</t>
  </si>
  <si>
    <t>SRC371775</t>
  </si>
  <si>
    <t>missing rates - UPS - PR1CP domain - (USPIT-CLSCL SL1);RE: HAWBs requested for Mt. Pleasant bookings</t>
  </si>
  <si>
    <t>asked USA;reminder;again reminder;template corrected and asked for docs;asked duane on comment regarding DG;reminde for CL shipments;reminder again;ex-works  (no costs to be present)</t>
  </si>
  <si>
    <t>MTA0294105</t>
  </si>
  <si>
    <t>ORD82007640</t>
  </si>
  <si>
    <t>DTUP003023</t>
  </si>
  <si>
    <t>SHA571429</t>
  </si>
  <si>
    <t>MTA0292390</t>
  </si>
  <si>
    <t>BOS18263269</t>
  </si>
  <si>
    <t>MTA0290694</t>
  </si>
  <si>
    <t>BOS18263273</t>
  </si>
  <si>
    <t>CL12000744</t>
  </si>
  <si>
    <t>850</t>
  </si>
  <si>
    <t>CL12000744 with DHL</t>
  </si>
  <si>
    <t>not on  pre-bill  but asked Magdalena</t>
  </si>
  <si>
    <t>MTA0287755</t>
  </si>
  <si>
    <t>280095</t>
  </si>
  <si>
    <t>ORD82007625</t>
  </si>
  <si>
    <t>10107</t>
  </si>
  <si>
    <t>MTA0196225</t>
  </si>
  <si>
    <t>473869</t>
  </si>
  <si>
    <t>SZX40103988</t>
  </si>
  <si>
    <t>DIS1200731</t>
  </si>
  <si>
    <t>missing rates - UPS to Arab Emirates</t>
  </si>
  <si>
    <t>asked Chantal;chantal didn't know about change</t>
  </si>
  <si>
    <t>MTA0303048</t>
  </si>
  <si>
    <t>ORD82012831</t>
  </si>
  <si>
    <t>DTUP002822</t>
  </si>
  <si>
    <t>DTUP002951</t>
  </si>
  <si>
    <t>DT378</t>
  </si>
  <si>
    <t>Tontec International Ltd(Air/LCL)</t>
  </si>
  <si>
    <t>DT378OS</t>
  </si>
  <si>
    <t>Kowloon Bay, Kowloon</t>
  </si>
  <si>
    <t>205679, F91H242222</t>
  </si>
  <si>
    <t>4913845819</t>
  </si>
  <si>
    <t>Sinotrans Logistics Development Co.</t>
  </si>
  <si>
    <t>missing rates - DTUP002951 - leg 3 with Sinotrans</t>
  </si>
  <si>
    <t>asked Lex;impossible to load rates for Sinotrans</t>
  </si>
  <si>
    <t>HKD078674</t>
  </si>
  <si>
    <t>CL493</t>
  </si>
  <si>
    <t>Huizhou ZhengYu Industrial Air/LCL</t>
  </si>
  <si>
    <t>SRC838306</t>
  </si>
  <si>
    <t>3502752671</t>
  </si>
  <si>
    <t>FCA not need for rates</t>
  </si>
  <si>
    <t>HKD078660</t>
  </si>
  <si>
    <t>2222406</t>
  </si>
  <si>
    <t>CAN55145276</t>
  </si>
  <si>
    <t>MTA0288980</t>
  </si>
  <si>
    <t>BOS18262980</t>
  </si>
  <si>
    <t>CL67400100</t>
  </si>
  <si>
    <t>P763885</t>
  </si>
  <si>
    <t>missing rates - CL67400100 - DHL</t>
  </si>
  <si>
    <t>asked Batam;pending upload (should be PVG not NGB)</t>
  </si>
  <si>
    <t>DTUP003168</t>
  </si>
  <si>
    <t>5MMZ576</t>
  </si>
  <si>
    <t>DIS1200734</t>
  </si>
  <si>
    <t>MTA0288986</t>
  </si>
  <si>
    <t>832965</t>
  </si>
  <si>
    <t>fca no rates needed</t>
  </si>
  <si>
    <t>MTA0289009</t>
  </si>
  <si>
    <t>BOS18263281</t>
  </si>
  <si>
    <t>MTA0289028</t>
  </si>
  <si>
    <t>BOS18263284</t>
  </si>
  <si>
    <t>DTUP000875</t>
  </si>
  <si>
    <t>30860</t>
  </si>
  <si>
    <t>HAIFA</t>
  </si>
  <si>
    <t>5MLK201</t>
  </si>
  <si>
    <t>shipment organized for November</t>
  </si>
  <si>
    <t>CL15402467</t>
  </si>
  <si>
    <t>MTA0306810</t>
  </si>
  <si>
    <t>COBO110921</t>
  </si>
  <si>
    <t>ORD82014528</t>
  </si>
  <si>
    <t>110921</t>
  </si>
  <si>
    <t>MTA0306808</t>
  </si>
  <si>
    <t>ORD82013759</t>
  </si>
  <si>
    <t>MTA0288985</t>
  </si>
  <si>
    <t>804716</t>
  </si>
  <si>
    <t>Roermond</t>
  </si>
  <si>
    <t>6045 GH</t>
  </si>
  <si>
    <t>MTA0324723</t>
  </si>
  <si>
    <t>DE9A - CA MONTF</t>
  </si>
  <si>
    <t>P7E 6S2</t>
  </si>
  <si>
    <t>Ottawa ON</t>
  </si>
  <si>
    <t>STR11122920</t>
  </si>
  <si>
    <t>K1K OT2</t>
  </si>
  <si>
    <t>MTA0161490</t>
  </si>
  <si>
    <t>STR44447535</t>
  </si>
  <si>
    <t>MTA0326020</t>
  </si>
  <si>
    <t>BOS18263917</t>
  </si>
  <si>
    <t>MTA0346241</t>
  </si>
  <si>
    <t>81089126262</t>
  </si>
  <si>
    <t>DAP4501371</t>
  </si>
  <si>
    <t>CAN55146000</t>
  </si>
  <si>
    <t>2223522</t>
  </si>
  <si>
    <t>EIN021449</t>
  </si>
  <si>
    <t>missing rates - AMS to Singapore with DSV</t>
  </si>
  <si>
    <t>asked klaas;pending upload</t>
  </si>
  <si>
    <t>MTA0342770</t>
  </si>
  <si>
    <t>ORD82024216</t>
  </si>
  <si>
    <t>SRC687996</t>
  </si>
  <si>
    <t>3502690631</t>
  </si>
  <si>
    <t>misssing rates with Schenker to Shanghai and Chile</t>
  </si>
  <si>
    <t>asked Duane;FCA MT pleasant so Philips not paying</t>
  </si>
  <si>
    <t>MTA0341156</t>
  </si>
  <si>
    <t>GBBRS</t>
  </si>
  <si>
    <t>West Glamorgan</t>
  </si>
  <si>
    <t>STR44448180</t>
  </si>
  <si>
    <t>SA7 0HB</t>
  </si>
  <si>
    <t>rates not available</t>
  </si>
  <si>
    <t>SRC868883</t>
  </si>
  <si>
    <t>3502770458</t>
  </si>
  <si>
    <t>FCA shipment</t>
  </si>
  <si>
    <t>2223391</t>
  </si>
  <si>
    <t>EIN021406</t>
  </si>
  <si>
    <t>MTA0341078</t>
  </si>
  <si>
    <t>202801</t>
  </si>
  <si>
    <t>BRGIG</t>
  </si>
  <si>
    <t>Rio De Janeiro</t>
  </si>
  <si>
    <t>ORD82021970</t>
  </si>
  <si>
    <t>22271-080</t>
  </si>
  <si>
    <t>MTA0341070</t>
  </si>
  <si>
    <t>141300</t>
  </si>
  <si>
    <t>Ciudad Autonoma de Buenos Aires</t>
  </si>
  <si>
    <t>ORD82024218</t>
  </si>
  <si>
    <t>1431</t>
  </si>
  <si>
    <t>PI0017473</t>
  </si>
  <si>
    <t>PI0017472</t>
  </si>
  <si>
    <t>PI0017474</t>
  </si>
  <si>
    <t>PI0017475</t>
  </si>
  <si>
    <t>MTA0337960</t>
  </si>
  <si>
    <t>683005</t>
  </si>
  <si>
    <t>AWAUA</t>
  </si>
  <si>
    <t>Oranjestad</t>
  </si>
  <si>
    <t>AW</t>
  </si>
  <si>
    <t>81089125562</t>
  </si>
  <si>
    <t>0</t>
  </si>
  <si>
    <t>CL12000774</t>
  </si>
  <si>
    <t>U020000001</t>
  </si>
  <si>
    <t>U0200</t>
  </si>
  <si>
    <t>Jabil Circuit (Shangai) Co, Ltd</t>
  </si>
  <si>
    <t>PRMD1</t>
  </si>
  <si>
    <t>200233</t>
  </si>
  <si>
    <t>UPS Airfreight</t>
  </si>
  <si>
    <t>PHILIPSSPS</t>
  </si>
  <si>
    <t>test shipment</t>
  </si>
  <si>
    <t>MTA0346345</t>
  </si>
  <si>
    <t>939001</t>
  </si>
  <si>
    <t>VECCS</t>
  </si>
  <si>
    <t>Caracas</t>
  </si>
  <si>
    <t>VE</t>
  </si>
  <si>
    <t>ORD82024150</t>
  </si>
  <si>
    <t>1080</t>
  </si>
  <si>
    <t>MTA0346397</t>
  </si>
  <si>
    <t>ORD82024508</t>
  </si>
  <si>
    <t>CL12000781</t>
  </si>
  <si>
    <t>DIS1200757</t>
  </si>
  <si>
    <t>DAP4501110</t>
  </si>
  <si>
    <t>30046</t>
  </si>
  <si>
    <t>Lawrenceville</t>
  </si>
  <si>
    <t>missing rates - DAP4501110 - DHL</t>
  </si>
  <si>
    <t>asked Shari and Nichole;FCA shipment (destination pays for stuff)</t>
  </si>
  <si>
    <t>CL40500295</t>
  </si>
  <si>
    <t>MTA0196227</t>
  </si>
  <si>
    <t>473868</t>
  </si>
  <si>
    <t>P.S-Domjur; Distt-Howrah</t>
  </si>
  <si>
    <t>SZX40103989</t>
  </si>
  <si>
    <t>711411</t>
  </si>
  <si>
    <t>MTA0208599</t>
  </si>
  <si>
    <t>ORD81987415</t>
  </si>
  <si>
    <t>2223965</t>
  </si>
  <si>
    <t>EIN022474</t>
  </si>
  <si>
    <t>missing rates - AMS to SIN with DSV</t>
  </si>
  <si>
    <t>asked Klaas; rates uploaded but needs correction on SL9</t>
  </si>
  <si>
    <t>MTA0196223</t>
  </si>
  <si>
    <t>SZX40103987</t>
  </si>
  <si>
    <t>DIS1200758</t>
  </si>
  <si>
    <t>DIS1200754</t>
  </si>
  <si>
    <t>SRCUP11933</t>
  </si>
  <si>
    <t>SR155</t>
  </si>
  <si>
    <t>Union Footwear (Air/LCL)</t>
  </si>
  <si>
    <t>282002</t>
  </si>
  <si>
    <t>Taipei</t>
  </si>
  <si>
    <t>ALAJUELA</t>
  </si>
  <si>
    <t>4828902002</t>
  </si>
  <si>
    <t>irrelevant shipment (no pre-bill generator)</t>
  </si>
  <si>
    <t>CL31900015</t>
  </si>
  <si>
    <t>CL319</t>
  </si>
  <si>
    <t>YUASA (TIAN JIN) (Air/LCL)</t>
  </si>
  <si>
    <t>99900250</t>
  </si>
  <si>
    <t>HANISHINA-GUN, NAGANO-KE</t>
  </si>
  <si>
    <t>3890603</t>
  </si>
  <si>
    <t>unknown carrier</t>
  </si>
  <si>
    <t>SRCUP26180</t>
  </si>
  <si>
    <t>THA01</t>
  </si>
  <si>
    <t>Kimball Electronics TH (Air/LCL)</t>
  </si>
  <si>
    <t>CHONBURI</t>
  </si>
  <si>
    <t>20230</t>
  </si>
  <si>
    <t>168356567449</t>
  </si>
  <si>
    <t>UPR2400427</t>
  </si>
  <si>
    <t>UPR24</t>
  </si>
  <si>
    <t>SILITAL EUROPE SRL AIR/LCL (Road)</t>
  </si>
  <si>
    <t>ADRO</t>
  </si>
  <si>
    <t>72276</t>
  </si>
  <si>
    <t>25030</t>
  </si>
  <si>
    <t>SRCUP24466</t>
  </si>
  <si>
    <t>5352607084</t>
  </si>
  <si>
    <t>DAP4501377</t>
  </si>
  <si>
    <t>802851</t>
  </si>
  <si>
    <t>CAN55146125</t>
  </si>
  <si>
    <t>MTA0210607</t>
  </si>
  <si>
    <t>STR22230465</t>
  </si>
  <si>
    <t>MTA0196228</t>
  </si>
  <si>
    <t>SZX40103990</t>
  </si>
  <si>
    <t>MTA0337783</t>
  </si>
  <si>
    <t>94610492</t>
  </si>
  <si>
    <t>ORD82024507</t>
  </si>
  <si>
    <t>110931</t>
  </si>
  <si>
    <t>DAP4501365</t>
  </si>
  <si>
    <t>CAN55145805</t>
  </si>
  <si>
    <t>SRC713647</t>
  </si>
  <si>
    <t>3502701499</t>
  </si>
  <si>
    <t>FCA - Philips not paying</t>
  </si>
  <si>
    <t>CL12000707</t>
  </si>
  <si>
    <t>7LLU483</t>
  </si>
  <si>
    <t>irrelevant RO shipment (no pre-bill and no pre-bill code)</t>
  </si>
  <si>
    <t>DIS1200744</t>
  </si>
  <si>
    <t>MTA0331569</t>
  </si>
  <si>
    <t>150291</t>
  </si>
  <si>
    <t>SEVEN HILLS</t>
  </si>
  <si>
    <t>BOS18263905</t>
  </si>
  <si>
    <t>2147</t>
  </si>
  <si>
    <t>MTA0329780</t>
  </si>
  <si>
    <t>ORD82019122</t>
  </si>
  <si>
    <t>MTA0328140</t>
  </si>
  <si>
    <t>ORD82018799</t>
  </si>
  <si>
    <t>MTA0328076</t>
  </si>
  <si>
    <t>MTA0328066</t>
  </si>
  <si>
    <t>ORD82019166</t>
  </si>
  <si>
    <t>MTA0326092</t>
  </si>
  <si>
    <t>ZIP-215024A</t>
  </si>
  <si>
    <t>SUZHOU</t>
  </si>
  <si>
    <t>BOS18263718</t>
  </si>
  <si>
    <t>DTUP003194</t>
  </si>
  <si>
    <t>DT036</t>
  </si>
  <si>
    <t>Volex de Mexico (AIR)</t>
  </si>
  <si>
    <t>22116</t>
  </si>
  <si>
    <t>5MNC353</t>
  </si>
  <si>
    <t>DIS1200738</t>
  </si>
  <si>
    <t>MTA0326068</t>
  </si>
  <si>
    <t>MTA0326052</t>
  </si>
  <si>
    <t>ORD82019118</t>
  </si>
  <si>
    <t>MTA0287747</t>
  </si>
  <si>
    <t>ORD82006064</t>
  </si>
  <si>
    <t>MTA0326025</t>
  </si>
  <si>
    <t>SRC712884</t>
  </si>
  <si>
    <t>3502701290</t>
  </si>
  <si>
    <t>DTUP003286</t>
  </si>
  <si>
    <t>DT183</t>
  </si>
  <si>
    <t>PRECISE TOOL &amp; DIE CO INC (AIR)</t>
  </si>
  <si>
    <t>WILLOUGHBY</t>
  </si>
  <si>
    <t>44094</t>
  </si>
  <si>
    <t>DTPU003286</t>
  </si>
  <si>
    <t>cost on supplier</t>
  </si>
  <si>
    <t>CL42500125</t>
  </si>
  <si>
    <t>CL425</t>
  </si>
  <si>
    <t>NINGBO SANHUAN  (Air/LCL)</t>
  </si>
  <si>
    <t>NINGBO</t>
  </si>
  <si>
    <t>315801</t>
  </si>
  <si>
    <t>NGB400511</t>
  </si>
  <si>
    <t>ro inbound (no pre-bill)</t>
  </si>
  <si>
    <t>MTA0333198</t>
  </si>
  <si>
    <t>DE9A - CA OTTAW</t>
  </si>
  <si>
    <t>CATOR</t>
  </si>
  <si>
    <t>Markham, Ontario</t>
  </si>
  <si>
    <t>STR11122938</t>
  </si>
  <si>
    <t>CL28501601</t>
  </si>
  <si>
    <t>CL285</t>
  </si>
  <si>
    <t>ACE PLASTICS CO,. LTD (AIr/LCL)</t>
  </si>
  <si>
    <t>ID58</t>
  </si>
  <si>
    <t>481545</t>
  </si>
  <si>
    <t>HongKong</t>
  </si>
  <si>
    <t>Q012888</t>
  </si>
  <si>
    <t>CL63300150</t>
  </si>
  <si>
    <t>CL633</t>
  </si>
  <si>
    <t>HLN Rubber (Air/LCL)</t>
  </si>
  <si>
    <t>CL633SG</t>
  </si>
  <si>
    <t>Batam Island</t>
  </si>
  <si>
    <t>CL46500412</t>
  </si>
  <si>
    <t>AMS88004522</t>
  </si>
  <si>
    <t>DIS1200579</t>
  </si>
  <si>
    <t>missing rates - LAX to BR with UPS</t>
  </si>
  <si>
    <t>asked Chantal;asked Chantal on data/documents;reminder for Chantal;not on pre-bill</t>
  </si>
  <si>
    <t>DIS1200747</t>
  </si>
  <si>
    <t>MTA0334715</t>
  </si>
  <si>
    <t>762005</t>
  </si>
  <si>
    <t>PELIM</t>
  </si>
  <si>
    <t>ORD82020520</t>
  </si>
  <si>
    <t>LIMA 18</t>
  </si>
  <si>
    <t>MTA0334698</t>
  </si>
  <si>
    <t>ORD82021016</t>
  </si>
  <si>
    <t>CL32701429</t>
  </si>
  <si>
    <t>CL327</t>
  </si>
  <si>
    <t>ERNAMAS - CHINA (Air/LCL)</t>
  </si>
  <si>
    <t>MTA0334695</t>
  </si>
  <si>
    <t>2223198</t>
  </si>
  <si>
    <t>EIN021206</t>
  </si>
  <si>
    <t>missing rates - 4533926 - DSV</t>
  </si>
  <si>
    <t>MTA0333294</t>
  </si>
  <si>
    <t>ORD82021027</t>
  </si>
  <si>
    <t>MTA0333280</t>
  </si>
  <si>
    <t>94645851</t>
  </si>
  <si>
    <t>Manati</t>
  </si>
  <si>
    <t>ORD82020522</t>
  </si>
  <si>
    <t>00674</t>
  </si>
  <si>
    <t>MTA0192514</t>
  </si>
  <si>
    <t>DEMC-TR90</t>
  </si>
  <si>
    <t>ISTANBUL</t>
  </si>
  <si>
    <t>34768</t>
  </si>
  <si>
    <t>shipments with Nippon without volume (or negative value)</t>
  </si>
  <si>
    <t>volume 0</t>
  </si>
  <si>
    <t>DTUP003313</t>
  </si>
  <si>
    <t>CL46500411</t>
  </si>
  <si>
    <t>AMS88004479</t>
  </si>
  <si>
    <t>CL08201700</t>
  </si>
  <si>
    <t>P853748</t>
  </si>
  <si>
    <t>DTUP003343</t>
  </si>
  <si>
    <t>MTA0286435</t>
  </si>
  <si>
    <t>ORD82007623</t>
  </si>
  <si>
    <t>MTA0117878</t>
  </si>
  <si>
    <t>MTA0161547</t>
  </si>
  <si>
    <t>81088250595</t>
  </si>
  <si>
    <t>DAP2118701</t>
  </si>
  <si>
    <t>CL065</t>
  </si>
  <si>
    <t>Itatiba</t>
  </si>
  <si>
    <t>13250-000</t>
  </si>
  <si>
    <t>SAO757831</t>
  </si>
  <si>
    <t>not in pre-billing scope (RO inbound)</t>
  </si>
  <si>
    <t>SRCUP05550</t>
  </si>
  <si>
    <t>SR730</t>
  </si>
  <si>
    <t>PCT Manila SRCUP Air/LCL</t>
  </si>
  <si>
    <t>MUMBAI</t>
  </si>
  <si>
    <t>400055</t>
  </si>
  <si>
    <t>missing rates - expeditors AIR</t>
  </si>
  <si>
    <t>contacted Rodje; discussion with Vincent and Rodje on adding costs manually or chaning POD</t>
  </si>
  <si>
    <t>SRCUP05398</t>
  </si>
  <si>
    <t>Sha Tin</t>
  </si>
  <si>
    <t>missing rates - SRCUP05398  - FedEx</t>
  </si>
  <si>
    <t>asked Rodje; made for tracking</t>
  </si>
  <si>
    <t>SRC865165</t>
  </si>
  <si>
    <t>3502767961</t>
  </si>
  <si>
    <t>DIS1200400</t>
  </si>
  <si>
    <t>716561</t>
  </si>
  <si>
    <t>PIL120880</t>
  </si>
  <si>
    <t>MTA0321116</t>
  </si>
  <si>
    <t>BOS18263717</t>
  </si>
  <si>
    <t>DTUP000983</t>
  </si>
  <si>
    <t>5MLN399</t>
  </si>
  <si>
    <t>not for pre-bill</t>
  </si>
  <si>
    <t>5298229</t>
  </si>
  <si>
    <t>DTUP000982</t>
  </si>
  <si>
    <t>5MLN049</t>
  </si>
  <si>
    <t>MTA0194329</t>
  </si>
  <si>
    <t>PHILIPS PERU</t>
  </si>
  <si>
    <t>Miraflores</t>
  </si>
  <si>
    <t>ORD81984516</t>
  </si>
  <si>
    <t>DTUP003110</t>
  </si>
  <si>
    <t>5MMY345</t>
  </si>
  <si>
    <t>SRCUP12323</t>
  </si>
  <si>
    <t>SR216</t>
  </si>
  <si>
    <t>Yen Sun Electronic (Air/LCL)</t>
  </si>
  <si>
    <t>5352689496</t>
  </si>
  <si>
    <t>no Philips on shipper or consignee</t>
  </si>
  <si>
    <t>SRC843798</t>
  </si>
  <si>
    <t>3502753837</t>
  </si>
  <si>
    <t>SRC844032</t>
  </si>
  <si>
    <t>3502753848</t>
  </si>
  <si>
    <t>MTA0154529</t>
  </si>
  <si>
    <t>MTMLA</t>
  </si>
  <si>
    <t>MALTA</t>
  </si>
  <si>
    <t>MT</t>
  </si>
  <si>
    <t>STR22230329</t>
  </si>
  <si>
    <t>MTA0192501</t>
  </si>
  <si>
    <t>DEMC - AF - KAB</t>
  </si>
  <si>
    <t>AFKBL</t>
  </si>
  <si>
    <t>Kabul</t>
  </si>
  <si>
    <t>AF</t>
  </si>
  <si>
    <t>1008</t>
  </si>
  <si>
    <t>MTA0189151</t>
  </si>
  <si>
    <t>SRC850470</t>
  </si>
  <si>
    <t>3502757654</t>
  </si>
  <si>
    <t>PCMS500510</t>
  </si>
  <si>
    <t>PCMS5</t>
  </si>
  <si>
    <t>451610 CN</t>
  </si>
  <si>
    <t>CNPEK</t>
  </si>
  <si>
    <t>Beijing</t>
  </si>
  <si>
    <t>101312</t>
  </si>
  <si>
    <t>missing rates - PCMS500510 - CEVA</t>
  </si>
  <si>
    <t>duane contacted;nobody interested</t>
  </si>
  <si>
    <t>CL40500152</t>
  </si>
  <si>
    <t>166617</t>
  </si>
  <si>
    <t>PIL121180</t>
  </si>
  <si>
    <t>CL45000071</t>
  </si>
  <si>
    <t>CL450</t>
  </si>
  <si>
    <t>Richmark Label</t>
  </si>
  <si>
    <t>Seattle</t>
  </si>
  <si>
    <t>98122</t>
  </si>
  <si>
    <t>MTA0245659</t>
  </si>
  <si>
    <t>INCCU</t>
  </si>
  <si>
    <t>SZX00135506</t>
  </si>
  <si>
    <t>MTA0196216</t>
  </si>
  <si>
    <t>SZX40103970</t>
  </si>
  <si>
    <t>CL71500015</t>
  </si>
  <si>
    <t>CL715</t>
  </si>
  <si>
    <t>Mehow Medical Limited (Air/LCL)</t>
  </si>
  <si>
    <t>Mongkok, Kowloon, HongKong</t>
  </si>
  <si>
    <t>dhl lcl shipment</t>
  </si>
  <si>
    <t>PI0004501</t>
  </si>
  <si>
    <t>CN15</t>
  </si>
  <si>
    <t>7122299</t>
  </si>
  <si>
    <t>BTH90001704</t>
  </si>
  <si>
    <t>201802</t>
  </si>
  <si>
    <t>missing rates - DB Schenker instead of DHL</t>
  </si>
  <si>
    <t>asked batam;rates not needed</t>
  </si>
  <si>
    <t>MT02100008</t>
  </si>
  <si>
    <t>EDV</t>
  </si>
  <si>
    <t>99939</t>
  </si>
  <si>
    <t>Boeblingen</t>
  </si>
  <si>
    <t>PSBJA</t>
  </si>
  <si>
    <t>RAMALLAH</t>
  </si>
  <si>
    <t>PS</t>
  </si>
  <si>
    <t>71034</t>
  </si>
  <si>
    <t>STR00000010</t>
  </si>
  <si>
    <t>missing rates - MT02100008 - DB Schenker</t>
  </si>
  <si>
    <t>asked Christian; Geertje wrote i can skip it</t>
  </si>
  <si>
    <t>SRC0410514</t>
  </si>
  <si>
    <t>SRC04</t>
  </si>
  <si>
    <t>Philips Respironics RIEW</t>
  </si>
  <si>
    <t>40422455</t>
  </si>
  <si>
    <t>BJCOO</t>
  </si>
  <si>
    <t>COTONOU</t>
  </si>
  <si>
    <t>BJ</t>
  </si>
  <si>
    <t>3750203989</t>
  </si>
  <si>
    <t>3796</t>
  </si>
  <si>
    <t>shipment organized in 2019</t>
  </si>
  <si>
    <t>CL40100007</t>
  </si>
  <si>
    <t>CL401</t>
  </si>
  <si>
    <t>Union Suppo Battery (Air/LCL)</t>
  </si>
  <si>
    <t>Anshan city</t>
  </si>
  <si>
    <t>PUNE</t>
  </si>
  <si>
    <t>410501</t>
  </si>
  <si>
    <t>SRC0606407</t>
  </si>
  <si>
    <t>SRC06</t>
  </si>
  <si>
    <t>40402567</t>
  </si>
  <si>
    <t>NZAKL</t>
  </si>
  <si>
    <t>East Tamaki  Auckland</t>
  </si>
  <si>
    <t>NZ</t>
  </si>
  <si>
    <t>417486336</t>
  </si>
  <si>
    <t>2013</t>
  </si>
  <si>
    <t>no pre-bill generator (FCA incoterm and Expeditors got cash)</t>
  </si>
  <si>
    <t>SRCUP08338</t>
  </si>
  <si>
    <t>Nashua</t>
  </si>
  <si>
    <t>415776687</t>
  </si>
  <si>
    <t>03063</t>
  </si>
  <si>
    <t>no pre-bill generator</t>
  </si>
  <si>
    <t>SRCUP08195</t>
  </si>
  <si>
    <t>TSUEN WAN</t>
  </si>
  <si>
    <t>415776616</t>
  </si>
  <si>
    <t>N.T.</t>
  </si>
  <si>
    <t>no  pre-bill generator</t>
  </si>
  <si>
    <t>CL40500162</t>
  </si>
  <si>
    <t>PIL121413</t>
  </si>
  <si>
    <t>SRC0409882</t>
  </si>
  <si>
    <t>40417997</t>
  </si>
  <si>
    <t>Mumbai</t>
  </si>
  <si>
    <t>4750444550</t>
  </si>
  <si>
    <t>DTUP003124</t>
  </si>
  <si>
    <t>5MMY822</t>
  </si>
  <si>
    <t>SRC0605838</t>
  </si>
  <si>
    <t>40422556</t>
  </si>
  <si>
    <t>IQBGW</t>
  </si>
  <si>
    <t>Baghdad</t>
  </si>
  <si>
    <t>IQ</t>
  </si>
  <si>
    <t>F3V0053556</t>
  </si>
  <si>
    <t>DAP4500969</t>
  </si>
  <si>
    <t>ZGN200111</t>
  </si>
  <si>
    <t>not under pre-bill (RE: missing rates - DAP4500969 - Panalpina)</t>
  </si>
  <si>
    <t>MTA0235867</t>
  </si>
  <si>
    <t>ORD81993825</t>
  </si>
  <si>
    <t>CL12000704</t>
  </si>
  <si>
    <t>irrelevant shipment for Iskra</t>
  </si>
  <si>
    <t>DAP2518587</t>
  </si>
  <si>
    <t>3CPF407</t>
  </si>
  <si>
    <t>DAP2518587 - SL3 - rates need to be uploaded in Infodis</t>
  </si>
  <si>
    <t>MTA0319408</t>
  </si>
  <si>
    <t>ORD82017182</t>
  </si>
  <si>
    <t>DTUP003113</t>
  </si>
  <si>
    <t>5MMY379</t>
  </si>
  <si>
    <t>MTA0173193</t>
  </si>
  <si>
    <t>DEMC - MT - TA</t>
  </si>
  <si>
    <t>STR22230384</t>
  </si>
  <si>
    <t>MTA0173187</t>
  </si>
  <si>
    <t>DIS1200573</t>
  </si>
  <si>
    <t>MTA0155852</t>
  </si>
  <si>
    <t>ORD81976201</t>
  </si>
  <si>
    <t>SRC324498</t>
  </si>
  <si>
    <t>MTA0300988</t>
  </si>
  <si>
    <t>197085</t>
  </si>
  <si>
    <t>San Antonio</t>
  </si>
  <si>
    <t>ORD82009623</t>
  </si>
  <si>
    <t>SRC861963</t>
  </si>
  <si>
    <t>3502765618</t>
  </si>
  <si>
    <t>FCA with Mount Pleasant</t>
  </si>
  <si>
    <t>SRC774380</t>
  </si>
  <si>
    <t>3502727558</t>
  </si>
  <si>
    <t>fca ( no costs needed)</t>
  </si>
  <si>
    <t>MTA0101435</t>
  </si>
  <si>
    <t>was not picked up (some hub arrival only reported)</t>
  </si>
  <si>
    <t>MTA0300990</t>
  </si>
  <si>
    <t>ORD82009636</t>
  </si>
  <si>
    <t>MTA0096630</t>
  </si>
  <si>
    <t>318875</t>
  </si>
  <si>
    <t>41N0420669</t>
  </si>
  <si>
    <t>SRCUP23012</t>
  </si>
  <si>
    <t>no prebill</t>
  </si>
  <si>
    <t>SRC505892</t>
  </si>
  <si>
    <t>missing rates - SRC505892 - UPS</t>
  </si>
  <si>
    <t>asked Duane;reminder for explanation (seems to be spot quote);FCA term (Philips is not paying)</t>
  </si>
  <si>
    <t>MTA0117883</t>
  </si>
  <si>
    <t>MTA0101806</t>
  </si>
  <si>
    <t>DBS DE9A</t>
  </si>
  <si>
    <t>Murrysville</t>
  </si>
  <si>
    <t>SRC294967</t>
  </si>
  <si>
    <t>40413639</t>
  </si>
  <si>
    <t>GBBAS</t>
  </si>
  <si>
    <t>07219</t>
  </si>
  <si>
    <t>CL15402465</t>
  </si>
  <si>
    <t>MTA0174559</t>
  </si>
  <si>
    <t>STR22230392</t>
  </si>
  <si>
    <t>SRCUP24724</t>
  </si>
  <si>
    <t>5352607832</t>
  </si>
  <si>
    <t>MTA0189169</t>
  </si>
  <si>
    <t>ORD81983205</t>
  </si>
  <si>
    <t>SRC286355</t>
  </si>
  <si>
    <t>SRC686728</t>
  </si>
  <si>
    <t>3502690389</t>
  </si>
  <si>
    <t>SRC885298</t>
  </si>
  <si>
    <t>3502780952</t>
  </si>
  <si>
    <t>fca no costs needed</t>
  </si>
  <si>
    <t>MTA0190639</t>
  </si>
  <si>
    <t>MTA0150479</t>
  </si>
  <si>
    <t>81088251343</t>
  </si>
  <si>
    <t>HKD077930</t>
  </si>
  <si>
    <t>SRC263463</t>
  </si>
  <si>
    <t>MT02100002</t>
  </si>
  <si>
    <t>480430</t>
  </si>
  <si>
    <t>4570311939</t>
  </si>
  <si>
    <t>SRC296471</t>
  </si>
  <si>
    <t>40423505</t>
  </si>
  <si>
    <t>400016</t>
  </si>
  <si>
    <t>old shipiment</t>
  </si>
  <si>
    <t>MTA0167504</t>
  </si>
  <si>
    <t>DEMC-PH90</t>
  </si>
  <si>
    <t>TAGUIG</t>
  </si>
  <si>
    <t>STR22230370</t>
  </si>
  <si>
    <t>MTA0194216</t>
  </si>
  <si>
    <t>TNTUN</t>
  </si>
  <si>
    <t>TUNIS-MONTPLAISIR</t>
  </si>
  <si>
    <t>TN</t>
  </si>
  <si>
    <t>F570600085</t>
  </si>
  <si>
    <t>1073</t>
  </si>
  <si>
    <t>pick up charges appliable but that's not my case</t>
  </si>
  <si>
    <t>SRCUP10098</t>
  </si>
  <si>
    <t>SR109</t>
  </si>
  <si>
    <t>AGORA EDGE (Air/LCL)</t>
  </si>
  <si>
    <t>SAINT PETERSBURG</t>
  </si>
  <si>
    <t>USMCO</t>
  </si>
  <si>
    <t>33713-4224</t>
  </si>
  <si>
    <t>F4OA081703</t>
  </si>
  <si>
    <t>missing rates -  SRCUP10098 - Expeditors</t>
  </si>
  <si>
    <t>asked Nadja to add spot quote rates;shared data with Expeditors (hope they will answer);nobody cares</t>
  </si>
  <si>
    <t>MTA0175972</t>
  </si>
  <si>
    <t>SWANSEA</t>
  </si>
  <si>
    <t>STR44447573</t>
  </si>
  <si>
    <t>SA2 8QA</t>
  </si>
  <si>
    <t>SRC0410726</t>
  </si>
  <si>
    <t>4750449409</t>
  </si>
  <si>
    <t>2019 shipment</t>
  </si>
  <si>
    <t>SRC0411178</t>
  </si>
  <si>
    <t>NEK11858663</t>
  </si>
  <si>
    <t>MTA0297806</t>
  </si>
  <si>
    <t>ORD82008906</t>
  </si>
  <si>
    <t>MTA0237565</t>
  </si>
  <si>
    <t>SZX40103999</t>
  </si>
  <si>
    <t>MTA0297780</t>
  </si>
  <si>
    <t>ORD82014544</t>
  </si>
  <si>
    <t>MTA0281905</t>
  </si>
  <si>
    <t>ORD82003916</t>
  </si>
  <si>
    <t>MTA0281906</t>
  </si>
  <si>
    <t>BOS18261889</t>
  </si>
  <si>
    <t>MTA0280372</t>
  </si>
  <si>
    <t>ZIP-01809</t>
  </si>
  <si>
    <t>Heidenau</t>
  </si>
  <si>
    <t>01809</t>
  </si>
  <si>
    <t>MTA0280358</t>
  </si>
  <si>
    <t>PHILIPSELEHK</t>
  </si>
  <si>
    <t>BOS18261908</t>
  </si>
  <si>
    <t>PI0015540</t>
  </si>
  <si>
    <t>7LIS926</t>
  </si>
  <si>
    <t>missing rates - PI0015540 - DHL</t>
  </si>
  <si>
    <t>asked batam;FCA (Philips not pay)</t>
  </si>
  <si>
    <t>MTA0279017</t>
  </si>
  <si>
    <t>BOS18261901</t>
  </si>
  <si>
    <t>HKD077530</t>
  </si>
  <si>
    <t>MTA0283119</t>
  </si>
  <si>
    <t>MTA0277218</t>
  </si>
  <si>
    <t>MTA0277207</t>
  </si>
  <si>
    <t>missing rates for shipments from SZX to AMS with UPS</t>
  </si>
  <si>
    <t>asked Shockley;philips not paying for freight</t>
  </si>
  <si>
    <t>DAP4501344</t>
  </si>
  <si>
    <t>720206</t>
  </si>
  <si>
    <t>missing rates from Zhuhai to WAW and KLU</t>
  </si>
  <si>
    <t>asked Kenbun;not on pre-bill</t>
  </si>
  <si>
    <t>MTA0277191</t>
  </si>
  <si>
    <t>NPKTM</t>
  </si>
  <si>
    <t>Kathmandu</t>
  </si>
  <si>
    <t>NP</t>
  </si>
  <si>
    <t>STR22230602</t>
  </si>
  <si>
    <t>186</t>
  </si>
  <si>
    <t>MTA0277190</t>
  </si>
  <si>
    <t>STR22230601</t>
  </si>
  <si>
    <t>MTA0295531</t>
  </si>
  <si>
    <t>ZIP-110121A</t>
  </si>
  <si>
    <t>ORD82008757</t>
  </si>
  <si>
    <t>110121</t>
  </si>
  <si>
    <t>DIS1200719</t>
  </si>
  <si>
    <t>MTA0275550</t>
  </si>
  <si>
    <t>BOS18261630</t>
  </si>
  <si>
    <t>MTA0277210</t>
  </si>
  <si>
    <t>MTA0275603</t>
  </si>
  <si>
    <t>ORD82002547</t>
  </si>
  <si>
    <t>MTA0283120</t>
  </si>
  <si>
    <t>DAP4501331</t>
  </si>
  <si>
    <t>DIS1200724</t>
  </si>
  <si>
    <t>DTUP002439</t>
  </si>
  <si>
    <t>DT205</t>
  </si>
  <si>
    <t>CONTROLLED POWER COMPANY (AIR)</t>
  </si>
  <si>
    <t>Troy</t>
  </si>
  <si>
    <t>48083</t>
  </si>
  <si>
    <t>5MMP249</t>
  </si>
  <si>
    <t>MTA0286362</t>
  </si>
  <si>
    <t>BOS18262698</t>
  </si>
  <si>
    <t>MTA0284815</t>
  </si>
  <si>
    <t>ZIP- HONG KONGA</t>
  </si>
  <si>
    <t>SHATIN-NEW TERRITORIES</t>
  </si>
  <si>
    <t>MTA0284845</t>
  </si>
  <si>
    <t>BOS18262747</t>
  </si>
  <si>
    <t>MTA0284817</t>
  </si>
  <si>
    <t>SRCUP23471</t>
  </si>
  <si>
    <t>5352605632</t>
  </si>
  <si>
    <t>DIS1200720</t>
  </si>
  <si>
    <t>CL12000701</t>
  </si>
  <si>
    <t>missing rates - CL12000701 - DHL</t>
  </si>
  <si>
    <t>asked  Alzbeta;reminder;reminder again;adjustment made but i do not know if we need rates here;shipment not moved</t>
  </si>
  <si>
    <t>MTA0283416</t>
  </si>
  <si>
    <t>MTA0283477</t>
  </si>
  <si>
    <t>BOS18262654</t>
  </si>
  <si>
    <t>MTA0283476</t>
  </si>
  <si>
    <t>BOS18262630</t>
  </si>
  <si>
    <t>CL11600332</t>
  </si>
  <si>
    <t>MTA0283220</t>
  </si>
  <si>
    <t>ORD82005168</t>
  </si>
  <si>
    <t>MTA0283198</t>
  </si>
  <si>
    <t>DIS1200721</t>
  </si>
  <si>
    <t>MTA0283422</t>
  </si>
  <si>
    <t>DIS1200717</t>
  </si>
  <si>
    <t>CL12000710</t>
  </si>
  <si>
    <t>outside pre-billing</t>
  </si>
  <si>
    <t>MTA0272514</t>
  </si>
  <si>
    <t>DTUP001860</t>
  </si>
  <si>
    <t>DT132</t>
  </si>
  <si>
    <t>415970137</t>
  </si>
  <si>
    <t>MTA0253744</t>
  </si>
  <si>
    <t>ORD82000037</t>
  </si>
  <si>
    <t>MTU0000018</t>
  </si>
  <si>
    <t>MU255</t>
  </si>
  <si>
    <t>Katecho (AIR)</t>
  </si>
  <si>
    <t>Des Moines</t>
  </si>
  <si>
    <t>USCHI</t>
  </si>
  <si>
    <t>CNSNZ</t>
  </si>
  <si>
    <t>50321</t>
  </si>
  <si>
    <t>MTA0250508</t>
  </si>
  <si>
    <t>SZX00135509</t>
  </si>
  <si>
    <t>MTA0250506</t>
  </si>
  <si>
    <t>SZX00135508</t>
  </si>
  <si>
    <t>MTU0000006</t>
  </si>
  <si>
    <t>MU254</t>
  </si>
  <si>
    <t>Katecho (Air)</t>
  </si>
  <si>
    <t>OMA96075638</t>
  </si>
  <si>
    <t>MTA0250399</t>
  </si>
  <si>
    <t>STR44447814</t>
  </si>
  <si>
    <t>200072</t>
  </si>
  <si>
    <t>MTA0255272</t>
  </si>
  <si>
    <t>SZX00135515</t>
  </si>
  <si>
    <t>CL08201641</t>
  </si>
  <si>
    <t>CL08201643</t>
  </si>
  <si>
    <t>MTA0247052</t>
  </si>
  <si>
    <t>DEMC - BD DHAKA</t>
  </si>
  <si>
    <t>BDDAC</t>
  </si>
  <si>
    <t>1000</t>
  </si>
  <si>
    <t>CL08201640</t>
  </si>
  <si>
    <t>MTA0264566</t>
  </si>
  <si>
    <t>MTA0264567</t>
  </si>
  <si>
    <t>MTA0246957</t>
  </si>
  <si>
    <t>331012</t>
  </si>
  <si>
    <t>ORD81996302</t>
  </si>
  <si>
    <t>090603</t>
  </si>
  <si>
    <t>CL12000731</t>
  </si>
  <si>
    <t>CL08201642</t>
  </si>
  <si>
    <t>2220770</t>
  </si>
  <si>
    <t>DAP97</t>
  </si>
  <si>
    <t>Avent Philips Centre (SAP)</t>
  </si>
  <si>
    <t>GB59</t>
  </si>
  <si>
    <t>7999348</t>
  </si>
  <si>
    <t>Glemsford</t>
  </si>
  <si>
    <t>CO10 7QS</t>
  </si>
  <si>
    <t>738960</t>
  </si>
  <si>
    <t>missing rates - 4484033 - DHL</t>
  </si>
  <si>
    <t>asked Andy;pending upload (andy shared rates)</t>
  </si>
  <si>
    <t>CL08201646</t>
  </si>
  <si>
    <t>CL43400213</t>
  </si>
  <si>
    <t>CL434</t>
  </si>
  <si>
    <t>PNE ELECTRONIC TECHNOLOGY (AIR/LCL)</t>
  </si>
  <si>
    <t>MTA0272513</t>
  </si>
  <si>
    <t>PI0014833</t>
  </si>
  <si>
    <t>7LIS816</t>
  </si>
  <si>
    <t>missing rates - Batam to BR, CN and RO</t>
  </si>
  <si>
    <t>asked batam;freight paid by customer</t>
  </si>
  <si>
    <t>DIS1200716</t>
  </si>
  <si>
    <t>MTA0270926</t>
  </si>
  <si>
    <t>DTUP003126</t>
  </si>
  <si>
    <t>5MMY707</t>
  </si>
  <si>
    <t>MTA0270951</t>
  </si>
  <si>
    <t>ZIP-70127A</t>
  </si>
  <si>
    <t>Bari</t>
  </si>
  <si>
    <t>70127</t>
  </si>
  <si>
    <t>MTA0270947</t>
  </si>
  <si>
    <t>640714</t>
  </si>
  <si>
    <t>SepangSelangor</t>
  </si>
  <si>
    <t>MTA0269131</t>
  </si>
  <si>
    <t>MTA0269104</t>
  </si>
  <si>
    <t>DIS1200714</t>
  </si>
  <si>
    <t>SRC857719</t>
  </si>
  <si>
    <t>3502763044</t>
  </si>
  <si>
    <t>SRC805412</t>
  </si>
  <si>
    <t>46210</t>
  </si>
  <si>
    <t>ESMAD</t>
  </si>
  <si>
    <t>PICANYA</t>
  </si>
  <si>
    <t>ES</t>
  </si>
  <si>
    <t>42L0103026</t>
  </si>
  <si>
    <t>MTA0264510</t>
  </si>
  <si>
    <t>681989</t>
  </si>
  <si>
    <t>Willemstad, Curacao N.A.</t>
  </si>
  <si>
    <t>ORD82000214</t>
  </si>
  <si>
    <t>11111</t>
  </si>
  <si>
    <t>DIS1200723</t>
  </si>
  <si>
    <t>MTA0263411</t>
  </si>
  <si>
    <t>ORD81999597</t>
  </si>
  <si>
    <t>MTA0259470</t>
  </si>
  <si>
    <t>ORD81998825</t>
  </si>
  <si>
    <t>MTA0258233</t>
  </si>
  <si>
    <t>ORD81998586</t>
  </si>
  <si>
    <t>MTA0286427</t>
  </si>
  <si>
    <t>ORD82005575</t>
  </si>
  <si>
    <t>MTA0286421</t>
  </si>
  <si>
    <t>ORD82005559</t>
  </si>
  <si>
    <t>PI0019367</t>
  </si>
  <si>
    <t>CH Robinson Europe BV</t>
  </si>
  <si>
    <t>PI0019369</t>
  </si>
  <si>
    <t>PI0019357</t>
  </si>
  <si>
    <t>MTA0379131</t>
  </si>
  <si>
    <t>MT025</t>
  </si>
  <si>
    <t>Philips c/o Mueller  DE9A</t>
  </si>
  <si>
    <t>MT025DE9A</t>
  </si>
  <si>
    <t>DBS  ROAD Europe</t>
  </si>
  <si>
    <t>LTL - Less Truck Load</t>
  </si>
  <si>
    <t>PI0019210</t>
  </si>
  <si>
    <t>DSV Global Transport</t>
  </si>
  <si>
    <t>PI0019353</t>
  </si>
  <si>
    <t>MTA0382283</t>
  </si>
  <si>
    <t>MT025--DE9A</t>
  </si>
  <si>
    <t>Rottweil-Neukirch</t>
  </si>
  <si>
    <t>78628</t>
  </si>
  <si>
    <t>PI0019349</t>
  </si>
  <si>
    <t>PI0019091</t>
  </si>
  <si>
    <t>PI0019093</t>
  </si>
  <si>
    <t>PI0019364</t>
  </si>
  <si>
    <t>PI0019355</t>
  </si>
  <si>
    <t>PI0019361</t>
  </si>
  <si>
    <t>MTA0379380</t>
  </si>
  <si>
    <t>MT025-DE9A-REPA</t>
  </si>
  <si>
    <t>MTA0382311</t>
  </si>
  <si>
    <t>DAP8700463</t>
  </si>
  <si>
    <t>DAP87</t>
  </si>
  <si>
    <t>Berkenhoff</t>
  </si>
  <si>
    <t>Herborn</t>
  </si>
  <si>
    <t>35745</t>
  </si>
  <si>
    <t>UP12800044</t>
  </si>
  <si>
    <t>UP128</t>
  </si>
  <si>
    <t>MAGIS SPA</t>
  </si>
  <si>
    <t>MAGIS 2</t>
  </si>
  <si>
    <t>Empoli</t>
  </si>
  <si>
    <t>50053</t>
  </si>
  <si>
    <t>DHL Romania</t>
  </si>
  <si>
    <t>PI0019350</t>
  </si>
  <si>
    <t>SR0554808</t>
  </si>
  <si>
    <t>0030380746</t>
  </si>
  <si>
    <t>Celle</t>
  </si>
  <si>
    <t>29221</t>
  </si>
  <si>
    <t>DACHSER UK</t>
  </si>
  <si>
    <t>PI0019359</t>
  </si>
  <si>
    <t>PI0019351</t>
  </si>
  <si>
    <t>MTA0382279</t>
  </si>
  <si>
    <t>MT025-DE9A</t>
  </si>
  <si>
    <t>Bad Dürrheim</t>
  </si>
  <si>
    <t>78073</t>
  </si>
  <si>
    <t>MTA0382281</t>
  </si>
  <si>
    <t>MT025---DE9A</t>
  </si>
  <si>
    <t>300000</t>
  </si>
  <si>
    <t>U010600002</t>
  </si>
  <si>
    <t>U0106</t>
  </si>
  <si>
    <t>FUTURA_SPS_ROERMOND</t>
  </si>
  <si>
    <t>NL9S</t>
  </si>
  <si>
    <t>Heerhugowaard</t>
  </si>
  <si>
    <t>1704 RX</t>
  </si>
  <si>
    <t>DHL NL SPS</t>
  </si>
  <si>
    <t>MTA0379154</t>
  </si>
  <si>
    <t>SR0546838</t>
  </si>
  <si>
    <t>SRCDR</t>
  </si>
  <si>
    <t>Philips Respironics RIDL (Air/LCL/ROAD)</t>
  </si>
  <si>
    <t>RIDL</t>
  </si>
  <si>
    <t>HERRSCHING</t>
  </si>
  <si>
    <t>DACHSER NL</t>
  </si>
  <si>
    <t>SR0546837</t>
  </si>
  <si>
    <t>2224642</t>
  </si>
  <si>
    <t>448005</t>
  </si>
  <si>
    <t>Sßrvßr</t>
  </si>
  <si>
    <t>1071891</t>
  </si>
  <si>
    <t>9600</t>
  </si>
  <si>
    <t>PI0019090</t>
  </si>
  <si>
    <t>PI0019092</t>
  </si>
  <si>
    <t>DHLPS17687</t>
  </si>
  <si>
    <t>2224547</t>
  </si>
  <si>
    <t>390002</t>
  </si>
  <si>
    <t>DHL Italy</t>
  </si>
  <si>
    <t>MTA0358922</t>
  </si>
  <si>
    <t>RE: missing rates MATC road with DSV and Expeditors</t>
  </si>
  <si>
    <t>asked Marcin;reminder</t>
  </si>
  <si>
    <t>MTA0353871</t>
  </si>
  <si>
    <t>MTA0353377</t>
  </si>
  <si>
    <t>806121</t>
  </si>
  <si>
    <t>5656 AE</t>
  </si>
  <si>
    <t>MTA0353388</t>
  </si>
  <si>
    <t>MTA0353265</t>
  </si>
  <si>
    <t>AHS</t>
  </si>
  <si>
    <t>MTA0354181</t>
  </si>
  <si>
    <t>MTA0354212</t>
  </si>
  <si>
    <t>MTA0369462</t>
  </si>
  <si>
    <t>U010600001</t>
  </si>
  <si>
    <t>U010600001 DHL</t>
  </si>
  <si>
    <t>asked Marcin</t>
  </si>
  <si>
    <t>MTA0358164</t>
  </si>
  <si>
    <t>MTA0357556</t>
  </si>
  <si>
    <t>MTA0353556</t>
  </si>
  <si>
    <t>MTA0377337</t>
  </si>
  <si>
    <t>MTA0352964</t>
  </si>
  <si>
    <t>MTA0358656</t>
  </si>
  <si>
    <t>MTA0357131</t>
  </si>
  <si>
    <t>MTA0361783</t>
  </si>
  <si>
    <t>MTA0377530</t>
  </si>
  <si>
    <t>MTA0377583</t>
  </si>
  <si>
    <t>MTA0353873</t>
  </si>
  <si>
    <t>U003000466</t>
  </si>
  <si>
    <t>U0030</t>
  </si>
  <si>
    <t>GLOBAL ENTSERV SOLUTIONS_SPS_ROERMO</t>
  </si>
  <si>
    <t>673984</t>
  </si>
  <si>
    <t>Galway</t>
  </si>
  <si>
    <t>TNT Express</t>
  </si>
  <si>
    <t>missing rates to Roermond</t>
  </si>
  <si>
    <t>DHLPS17641</t>
  </si>
  <si>
    <t>missing rates for DHLPS17641 (gap on pallets)</t>
  </si>
  <si>
    <t>MTA0375616</t>
  </si>
  <si>
    <t>MTA0377525</t>
  </si>
  <si>
    <t>MTA0353233</t>
  </si>
  <si>
    <t>MTA0352963</t>
  </si>
  <si>
    <t>MTA0353238</t>
  </si>
  <si>
    <t>U009800082</t>
  </si>
  <si>
    <t>U0098</t>
  </si>
  <si>
    <t>SCHLEIFRING_SPS_ROERMOND</t>
  </si>
  <si>
    <t>Kaufbeuren</t>
  </si>
  <si>
    <t>87600</t>
  </si>
  <si>
    <t>U009800087</t>
  </si>
  <si>
    <t>U009800088</t>
  </si>
  <si>
    <t>U019100003</t>
  </si>
  <si>
    <t>U0191</t>
  </si>
  <si>
    <t>REMA_SPS_ROERMOND</t>
  </si>
  <si>
    <t>U0015</t>
  </si>
  <si>
    <t>Maastricht</t>
  </si>
  <si>
    <t>6222 NS</t>
  </si>
  <si>
    <t>U016100004</t>
  </si>
  <si>
    <t>U0161</t>
  </si>
  <si>
    <t>MKS_SPS_ROERMOND</t>
  </si>
  <si>
    <t>München</t>
  </si>
  <si>
    <t>81829</t>
  </si>
  <si>
    <t>MTA0346178</t>
  </si>
  <si>
    <t>34513</t>
  </si>
  <si>
    <t>Expediitors Road</t>
  </si>
  <si>
    <t>MTA0351098</t>
  </si>
  <si>
    <t>MT023-DE9A</t>
  </si>
  <si>
    <t>MTA0351105</t>
  </si>
  <si>
    <t>DE9A-CZ AMPHENO</t>
  </si>
  <si>
    <t>Ostrov</t>
  </si>
  <si>
    <t>36301</t>
  </si>
  <si>
    <t>U013600021</t>
  </si>
  <si>
    <t>U0136</t>
  </si>
  <si>
    <t>FEINMECHANIK_SPS_ROERMOND</t>
  </si>
  <si>
    <t>Hamburg</t>
  </si>
  <si>
    <t>22549</t>
  </si>
  <si>
    <t>U013600026</t>
  </si>
  <si>
    <t>U009800070</t>
  </si>
  <si>
    <t>U003000482</t>
  </si>
  <si>
    <t>MTA0353117</t>
  </si>
  <si>
    <t>MTA0352926</t>
  </si>
  <si>
    <t>MTA0353118</t>
  </si>
  <si>
    <t>MT025----DE9A</t>
  </si>
  <si>
    <t>SRCUP31795</t>
  </si>
  <si>
    <t>DEA02</t>
  </si>
  <si>
    <t>W. Krömker GmbH to CHICHESTER</t>
  </si>
  <si>
    <t>CZA01</t>
  </si>
  <si>
    <t>Bückeburg</t>
  </si>
  <si>
    <t>31675</t>
  </si>
  <si>
    <t>RE: missing rates for SRCUP in Europe (Road shipments)</t>
  </si>
  <si>
    <t>asked Marcin and Justyna;reminder</t>
  </si>
  <si>
    <t>U009800079</t>
  </si>
  <si>
    <t>MTA0227260</t>
  </si>
  <si>
    <t>Herrenberg</t>
  </si>
  <si>
    <t>71083</t>
  </si>
  <si>
    <t>bgm express logistik GmbH</t>
  </si>
  <si>
    <t>some MATC shipment</t>
  </si>
  <si>
    <t>UPR5201051</t>
  </si>
  <si>
    <t>UPR52</t>
  </si>
  <si>
    <t>DS Smith Packaging Italia S.p.A.</t>
  </si>
  <si>
    <t>524810</t>
  </si>
  <si>
    <t>Cornuda (Treviso)</t>
  </si>
  <si>
    <t>31041</t>
  </si>
  <si>
    <t>MTUP000149</t>
  </si>
  <si>
    <t>MU125</t>
  </si>
  <si>
    <t>LEUZE ELECTRONICS (Air/LCL+road)</t>
  </si>
  <si>
    <t>UNTERSTADION</t>
  </si>
  <si>
    <t>89619</t>
  </si>
  <si>
    <t>SR0399734</t>
  </si>
  <si>
    <t>Spedition Helmut Müller</t>
  </si>
  <si>
    <t>src from DE</t>
  </si>
  <si>
    <t>SR0166626</t>
  </si>
  <si>
    <t>SR0185344</t>
  </si>
  <si>
    <t>30337648</t>
  </si>
  <si>
    <t>Gera</t>
  </si>
  <si>
    <t>07548</t>
  </si>
  <si>
    <t>SR0411255</t>
  </si>
  <si>
    <t>Ibbenbüren</t>
  </si>
  <si>
    <t>49477</t>
  </si>
  <si>
    <t>SRC from DE</t>
  </si>
  <si>
    <t>SR0411395</t>
  </si>
  <si>
    <t>SR0188654</t>
  </si>
  <si>
    <t>SR0218878</t>
  </si>
  <si>
    <t>DHLPS17335</t>
  </si>
  <si>
    <t>830144</t>
  </si>
  <si>
    <t>lcl shipment</t>
  </si>
  <si>
    <t>SR0240941</t>
  </si>
  <si>
    <t>SR0135865</t>
  </si>
  <si>
    <t>Kammerstein</t>
  </si>
  <si>
    <t>91126</t>
  </si>
  <si>
    <t>MTUP000173</t>
  </si>
  <si>
    <t>SR0276390</t>
  </si>
  <si>
    <t>SR0389816</t>
  </si>
  <si>
    <t>Lee-On-Solent</t>
  </si>
  <si>
    <t>PO13 9FL</t>
  </si>
  <si>
    <t>TNT Same day UK</t>
  </si>
  <si>
    <t>tnt shipment</t>
  </si>
  <si>
    <t>SR0333048</t>
  </si>
  <si>
    <t>40416186</t>
  </si>
  <si>
    <t>VILA NOVA DE GAIA</t>
  </si>
  <si>
    <t>PT</t>
  </si>
  <si>
    <t>4430-662</t>
  </si>
  <si>
    <t>SR0279478</t>
  </si>
  <si>
    <t>1183</t>
  </si>
  <si>
    <t>src shit with SHM</t>
  </si>
  <si>
    <t>SR0282796</t>
  </si>
  <si>
    <t>SR0293731</t>
  </si>
  <si>
    <t>SR0312939</t>
  </si>
  <si>
    <t>SR0385842</t>
  </si>
  <si>
    <t>O Porriño</t>
  </si>
  <si>
    <t>36400</t>
  </si>
  <si>
    <t>SR0324730</t>
  </si>
  <si>
    <t>40416278</t>
  </si>
  <si>
    <t>MAIA</t>
  </si>
  <si>
    <t>4470-909</t>
  </si>
  <si>
    <t>SR0376196</t>
  </si>
  <si>
    <t>Dijon</t>
  </si>
  <si>
    <t>21000</t>
  </si>
  <si>
    <t>DHLPS17514</t>
  </si>
  <si>
    <t>SR0328764</t>
  </si>
  <si>
    <t>SR0235533</t>
  </si>
  <si>
    <t>2219423</t>
  </si>
  <si>
    <t>814201</t>
  </si>
  <si>
    <t>DHL Freight WAW S</t>
  </si>
  <si>
    <t>Via Line haul</t>
  </si>
  <si>
    <t>VIA LINE HAUL</t>
  </si>
  <si>
    <t>billable indicator NO</t>
  </si>
  <si>
    <t>UPR5200942</t>
  </si>
  <si>
    <t>missing rates - UPR5200942 - DHL Italy</t>
  </si>
  <si>
    <t>asked Artur;reminder;asked again;FCA and Philips is not paying for that</t>
  </si>
  <si>
    <t>SR0127813</t>
  </si>
  <si>
    <t>SR0070251</t>
  </si>
  <si>
    <t>SR0033763</t>
  </si>
  <si>
    <t>missing rates for SHM - GB and RO</t>
  </si>
  <si>
    <t>SR0080701</t>
  </si>
  <si>
    <t>Gelsenkirchen</t>
  </si>
  <si>
    <t>45891</t>
  </si>
  <si>
    <t>DHLPS16832</t>
  </si>
  <si>
    <t>missing rates (DHL consol to Edison)</t>
  </si>
  <si>
    <t>asked Jantjse;some shit with DHL LCL</t>
  </si>
  <si>
    <t>SRC0411365</t>
  </si>
  <si>
    <t>SRC41</t>
  </si>
  <si>
    <t>Philips Respironics EU3P (Road)</t>
  </si>
  <si>
    <t>40422900</t>
  </si>
  <si>
    <t>Alcochete</t>
  </si>
  <si>
    <t>2894-002</t>
  </si>
  <si>
    <t>DACHSER Limited</t>
  </si>
  <si>
    <t>nobody cares about these shipments</t>
  </si>
  <si>
    <t>DHLPS16873</t>
  </si>
  <si>
    <t>HIP01</t>
  </si>
  <si>
    <t>Hi-P Poland Sp. z o.o.</t>
  </si>
  <si>
    <t>Bielany Wroclawskie</t>
  </si>
  <si>
    <t>55040</t>
  </si>
  <si>
    <t>MTA0117806</t>
  </si>
  <si>
    <t>JÄRFÄLLA</t>
  </si>
  <si>
    <t>SE</t>
  </si>
  <si>
    <t>17543</t>
  </si>
  <si>
    <t>MTA0140819</t>
  </si>
  <si>
    <t>AEDMAX PL</t>
  </si>
  <si>
    <t>Warszawa</t>
  </si>
  <si>
    <t>02-295</t>
  </si>
  <si>
    <t>CL02005352</t>
  </si>
  <si>
    <t>OIT01</t>
  </si>
  <si>
    <t>Philips Espresso Industries</t>
  </si>
  <si>
    <t>CL759</t>
  </si>
  <si>
    <t>Langres</t>
  </si>
  <si>
    <t>52201</t>
  </si>
  <si>
    <t>RE: request create new template</t>
  </si>
  <si>
    <t>asked Artur for rates;asked for update from Artur;asked artur again;reminder;artur does not give a damn about it</t>
  </si>
  <si>
    <t>PI0015953</t>
  </si>
  <si>
    <t>DREI-D</t>
  </si>
  <si>
    <t>ELMSHORN</t>
  </si>
  <si>
    <t>25337</t>
  </si>
  <si>
    <t>SRC789663</t>
  </si>
  <si>
    <t>CB2 0AY</t>
  </si>
  <si>
    <t>not a case for PCT</t>
  </si>
  <si>
    <t>DTUP000199</t>
  </si>
  <si>
    <t>DT003</t>
  </si>
  <si>
    <t>Oy Darekon Ltd (Road)</t>
  </si>
  <si>
    <t>Klaukkala</t>
  </si>
  <si>
    <t>FI</t>
  </si>
  <si>
    <t>01800</t>
  </si>
  <si>
    <t>DHL NL</t>
  </si>
  <si>
    <t>SR0072933</t>
  </si>
  <si>
    <t>0030302113</t>
  </si>
  <si>
    <t>Laupheim</t>
  </si>
  <si>
    <t>Hattingen</t>
  </si>
  <si>
    <t>88471</t>
  </si>
  <si>
    <t>45525</t>
  </si>
  <si>
    <t>SRC0411264</t>
  </si>
  <si>
    <t>MARYPORT</t>
  </si>
  <si>
    <t>CA15 7BY</t>
  </si>
  <si>
    <t>rates for TNT Same day UK</t>
  </si>
  <si>
    <t>asked Stuart;reminder;reminder again;asked if charges can be added;reminder;useless chase</t>
  </si>
  <si>
    <t>SRC816493</t>
  </si>
  <si>
    <t>40422708</t>
  </si>
  <si>
    <t>Bleiswijk</t>
  </si>
  <si>
    <t>2665 NZ</t>
  </si>
  <si>
    <t>TNT Express  (S)</t>
  </si>
  <si>
    <t>SRC811126</t>
  </si>
  <si>
    <t>missing rates - SRC811126 - Spedition</t>
  </si>
  <si>
    <t>asked DE;asked again;DE not interested</t>
  </si>
  <si>
    <t>SR0159775</t>
  </si>
  <si>
    <t>MECO-PARCELA 7, SAU 11</t>
  </si>
  <si>
    <t>28880</t>
  </si>
  <si>
    <t>DHLPS17084</t>
  </si>
  <si>
    <t>SRC252417</t>
  </si>
  <si>
    <t>London</t>
  </si>
  <si>
    <t>W2 2EA</t>
  </si>
  <si>
    <t>SR0054715</t>
  </si>
  <si>
    <t>SRC828291</t>
  </si>
  <si>
    <t>Concorezzo</t>
  </si>
  <si>
    <t>20049</t>
  </si>
  <si>
    <t>missing rates - SRC828291 - Expeditors</t>
  </si>
  <si>
    <t>asked UK;some virtual shipment</t>
  </si>
  <si>
    <t>DHLPS16884</t>
  </si>
  <si>
    <t>DAP1806284</t>
  </si>
  <si>
    <t>FM Polska</t>
  </si>
  <si>
    <t>SR0120674</t>
  </si>
  <si>
    <t>GELSENKIRCHEN</t>
  </si>
  <si>
    <t>SR0117193</t>
  </si>
  <si>
    <t>SLATINA OLT</t>
  </si>
  <si>
    <t>230113</t>
  </si>
  <si>
    <t>DHLPS17056</t>
  </si>
  <si>
    <t>SRC903355</t>
  </si>
  <si>
    <t>NW1 2BU</t>
  </si>
  <si>
    <t>SR0076588</t>
  </si>
  <si>
    <t>SRC3106009</t>
  </si>
  <si>
    <t>SRC31</t>
  </si>
  <si>
    <t>Philips Respironics (Air/LCL/Road)</t>
  </si>
  <si>
    <t>30329170</t>
  </si>
  <si>
    <t>Belgrade</t>
  </si>
  <si>
    <t>RS</t>
  </si>
  <si>
    <t>DHL Freight GmbH</t>
  </si>
  <si>
    <t>SR0042971</t>
  </si>
  <si>
    <t>SRC0410997</t>
  </si>
  <si>
    <t>Canterbury</t>
  </si>
  <si>
    <t>CT1 3NG</t>
  </si>
  <si>
    <t>SRC0410996</t>
  </si>
  <si>
    <t>Ashford</t>
  </si>
  <si>
    <t>TN24 0LZ</t>
  </si>
  <si>
    <t>DAP5305975</t>
  </si>
  <si>
    <t>missing rates - DHL Freight WAW fro TR, HU and PL</t>
  </si>
  <si>
    <t>asked Alzbeta and Erwin; wrong template used (go via dispute)</t>
  </si>
  <si>
    <t>UPR5200847</t>
  </si>
  <si>
    <t>FCA and Philips is not paying for that</t>
  </si>
  <si>
    <t>SR0411726</t>
  </si>
  <si>
    <t>SRC3200364</t>
  </si>
  <si>
    <t>SRC32</t>
  </si>
  <si>
    <t>Philips France Commercial -RIFR SRC</t>
  </si>
  <si>
    <t>RIFR</t>
  </si>
  <si>
    <t>30301997</t>
  </si>
  <si>
    <t>CARQUEFOU  CEDEX</t>
  </si>
  <si>
    <t>AJACCIO</t>
  </si>
  <si>
    <t>44475</t>
  </si>
  <si>
    <t>20000</t>
  </si>
  <si>
    <t>BRELET Transport</t>
  </si>
  <si>
    <t>rated properly (with 0)</t>
  </si>
  <si>
    <t>DAP1806256</t>
  </si>
  <si>
    <t>FM Logistics</t>
  </si>
  <si>
    <t>FTL - Full Truck Load</t>
  </si>
  <si>
    <t>SRC0410600</t>
  </si>
  <si>
    <t>NORWICH</t>
  </si>
  <si>
    <t>NR4 7UY</t>
  </si>
  <si>
    <t>UPR1900097</t>
  </si>
  <si>
    <t>UPR19</t>
  </si>
  <si>
    <t>UNIGASKET SRL</t>
  </si>
  <si>
    <t>VILLONGO</t>
  </si>
  <si>
    <t>24060</t>
  </si>
  <si>
    <t>DAP8407794</t>
  </si>
  <si>
    <t>DAP84</t>
  </si>
  <si>
    <t>Avent IPC (SAP)</t>
  </si>
  <si>
    <t>CHEP</t>
  </si>
  <si>
    <t>SOUTH OCKENDON</t>
  </si>
  <si>
    <t>RM15 6RL</t>
  </si>
  <si>
    <t>CO107QS</t>
  </si>
  <si>
    <t>Westrope Bros Ltd</t>
  </si>
  <si>
    <t>sub shipment (not billable)</t>
  </si>
  <si>
    <t>SRC0410420</t>
  </si>
  <si>
    <t>Bishops Stortford</t>
  </si>
  <si>
    <t>CM22 6EY</t>
  </si>
  <si>
    <t>SR0132362</t>
  </si>
  <si>
    <t>SRC0410299</t>
  </si>
  <si>
    <t>Norwich</t>
  </si>
  <si>
    <t>NR2 4EJ</t>
  </si>
  <si>
    <t>SRC3107258</t>
  </si>
  <si>
    <t>SRC3107186</t>
  </si>
  <si>
    <t>6535095182</t>
  </si>
  <si>
    <t>805222</t>
  </si>
  <si>
    <t>449503</t>
  </si>
  <si>
    <t>Sachseln</t>
  </si>
  <si>
    <t>6072</t>
  </si>
  <si>
    <t>not billable (seems like sub where master is rated)</t>
  </si>
  <si>
    <t>SRC0409631</t>
  </si>
  <si>
    <t>N1 1PE</t>
  </si>
  <si>
    <t>SRC3106371</t>
  </si>
  <si>
    <t>SRC3106362</t>
  </si>
  <si>
    <t>SRC3106321</t>
  </si>
  <si>
    <t>UPR9600027</t>
  </si>
  <si>
    <t>UPR96</t>
  </si>
  <si>
    <t>F.B.F. SRL</t>
  </si>
  <si>
    <t>VEROLAVECCHIA BS</t>
  </si>
  <si>
    <t>Poggiorusco</t>
  </si>
  <si>
    <t>25029</t>
  </si>
  <si>
    <t>46025</t>
  </si>
  <si>
    <t>SRC3106595</t>
  </si>
  <si>
    <t>UPR9800030</t>
  </si>
  <si>
    <t>UPR98</t>
  </si>
  <si>
    <t>CHIAVELLI GIOVANNI SRL</t>
  </si>
  <si>
    <t>POGGIO RUSCO (MN)</t>
  </si>
  <si>
    <t>UPR9600023</t>
  </si>
  <si>
    <t>UPR5200711</t>
  </si>
  <si>
    <t>CL02004854</t>
  </si>
  <si>
    <t>UPR46</t>
  </si>
  <si>
    <t>CINISELLO BALSAMO (MI)</t>
  </si>
  <si>
    <t>20092</t>
  </si>
  <si>
    <t>SC RHENUS LOGISTICS SRL</t>
  </si>
  <si>
    <t>SR0411403</t>
  </si>
  <si>
    <t>CL15000651</t>
  </si>
  <si>
    <t>CL150</t>
  </si>
  <si>
    <t>ECOBLISS B.V.  (Air/LCL)</t>
  </si>
  <si>
    <t>DRUKKERIJ VRIES</t>
  </si>
  <si>
    <t>Sneek</t>
  </si>
  <si>
    <t>8606 JP</t>
  </si>
  <si>
    <t>SR0437630</t>
  </si>
  <si>
    <t>0030302437</t>
  </si>
  <si>
    <t>Co Westmeath</t>
  </si>
  <si>
    <t>EXW incoterm</t>
  </si>
  <si>
    <t>SR0497368</t>
  </si>
  <si>
    <t>U008500002</t>
  </si>
  <si>
    <t>U0085</t>
  </si>
  <si>
    <t>DDD DIAGNOSTIC_SPS_ROERMOND</t>
  </si>
  <si>
    <t>Stovring</t>
  </si>
  <si>
    <t>DK</t>
  </si>
  <si>
    <t>DK-9530</t>
  </si>
  <si>
    <t>SR0204186</t>
  </si>
  <si>
    <t>UPR5200808</t>
  </si>
  <si>
    <t>DAP7300822</t>
  </si>
  <si>
    <t>DAP73</t>
  </si>
  <si>
    <t>Scheuermann &amp; heilig Gmbh</t>
  </si>
  <si>
    <t>BWB</t>
  </si>
  <si>
    <t>Stans-Oberdorf</t>
  </si>
  <si>
    <t>Buchen-Hainstadt</t>
  </si>
  <si>
    <t>6370</t>
  </si>
  <si>
    <t>74722</t>
  </si>
  <si>
    <t>missing rates - Consignee and Shipper Drachten (DSV Global Transport)</t>
  </si>
  <si>
    <t>asked Klaas;freight charge correction to be applied</t>
  </si>
  <si>
    <t>SRC0409073</t>
  </si>
  <si>
    <t>NW3 2QG</t>
  </si>
  <si>
    <t>PI0018942</t>
  </si>
  <si>
    <t>Heerenveen</t>
  </si>
  <si>
    <t>8445 PM</t>
  </si>
  <si>
    <t>P000700071</t>
  </si>
  <si>
    <t>P0007</t>
  </si>
  <si>
    <t>Mavig (road)</t>
  </si>
  <si>
    <t>DX90</t>
  </si>
  <si>
    <t>Erlangen</t>
  </si>
  <si>
    <t>9156</t>
  </si>
  <si>
    <t>DHL Freight NL</t>
  </si>
  <si>
    <t>UPR5200920</t>
  </si>
  <si>
    <t>PL_T7162699</t>
  </si>
  <si>
    <t>Brwinow</t>
  </si>
  <si>
    <t>PLCON</t>
  </si>
  <si>
    <t>CL02005109</t>
  </si>
  <si>
    <t>CL76800015</t>
  </si>
  <si>
    <t>CL768</t>
  </si>
  <si>
    <t>GRAPHIC PACKAGING ( K&amp;N) (ROAD)</t>
  </si>
  <si>
    <t>Bardon</t>
  </si>
  <si>
    <t>LE67 1PE</t>
  </si>
  <si>
    <t>DHLPS17068</t>
  </si>
  <si>
    <t>DHLPS17139</t>
  </si>
  <si>
    <t>SR0444473</t>
  </si>
  <si>
    <t>Ibenbüren</t>
  </si>
  <si>
    <t>SRC384547</t>
  </si>
  <si>
    <t>Margate</t>
  </si>
  <si>
    <t>CT9 4AN</t>
  </si>
  <si>
    <t>SR0478354</t>
  </si>
  <si>
    <t>SR0510247</t>
  </si>
  <si>
    <t>CL76800012</t>
  </si>
  <si>
    <t>SR0500351</t>
  </si>
  <si>
    <t>5807</t>
  </si>
  <si>
    <t>SR0324406</t>
  </si>
  <si>
    <t>Oradea Bihor</t>
  </si>
  <si>
    <t>410610</t>
  </si>
  <si>
    <t>SR0376195</t>
  </si>
  <si>
    <t>Sucy En Brie</t>
  </si>
  <si>
    <t>94370</t>
  </si>
  <si>
    <t>MTUP000151</t>
  </si>
  <si>
    <t>M0001</t>
  </si>
  <si>
    <t>Kunststoff Christel GmbH &amp; Co. KG</t>
  </si>
  <si>
    <t>Bad Duerrheim</t>
  </si>
  <si>
    <t>DSV DE Munchen</t>
  </si>
  <si>
    <t>CL02005317</t>
  </si>
  <si>
    <t>UPR72</t>
  </si>
  <si>
    <t>CARBONATE</t>
  </si>
  <si>
    <t>22070</t>
  </si>
  <si>
    <t>irrevelant shipment (FCA - Philips not paying)</t>
  </si>
  <si>
    <t>DAP2119433</t>
  </si>
  <si>
    <t>TRUCK NORMAL TN</t>
  </si>
  <si>
    <t>DAP2119445</t>
  </si>
  <si>
    <t>Kropa</t>
  </si>
  <si>
    <t>4245</t>
  </si>
  <si>
    <t>missing rates - DAP2119445 - DHL</t>
  </si>
  <si>
    <t>9008729911</t>
  </si>
  <si>
    <t>DHL Freight WAW (SUB)</t>
  </si>
  <si>
    <t>CL76800014</t>
  </si>
  <si>
    <t>SR0514422</t>
  </si>
  <si>
    <t>SRC3107212</t>
  </si>
  <si>
    <t>40417172</t>
  </si>
  <si>
    <t>01-445</t>
  </si>
  <si>
    <t>shipment from April (should go via dispute)</t>
  </si>
  <si>
    <t>UPR5200773</t>
  </si>
  <si>
    <t>SRC3106284</t>
  </si>
  <si>
    <t>SR0249806</t>
  </si>
  <si>
    <t>9008724198</t>
  </si>
  <si>
    <t>Mars Logistics ROAD</t>
  </si>
  <si>
    <t>UPR1900082</t>
  </si>
  <si>
    <t>UPR9800029</t>
  </si>
  <si>
    <t>SR0014248</t>
  </si>
  <si>
    <t>40422994</t>
  </si>
  <si>
    <t>Dolj (Casia Park)</t>
  </si>
  <si>
    <t>207206</t>
  </si>
  <si>
    <t>SR0372538</t>
  </si>
  <si>
    <t>SR0349764</t>
  </si>
  <si>
    <t>SRC836590</t>
  </si>
  <si>
    <t>Schwerin</t>
  </si>
  <si>
    <t>Saarbrücken</t>
  </si>
  <si>
    <t>19061</t>
  </si>
  <si>
    <t>66119</t>
  </si>
  <si>
    <t>no codes (full manual shipment)</t>
  </si>
  <si>
    <t>SR0097238</t>
  </si>
  <si>
    <t>Wien</t>
  </si>
  <si>
    <t>1210</t>
  </si>
  <si>
    <t>U001500909</t>
  </si>
  <si>
    <t>U0089</t>
  </si>
  <si>
    <t>FORCE ENGINEERING_SPS_ROERMOND</t>
  </si>
  <si>
    <t>SHEPSHED, LEICS</t>
  </si>
  <si>
    <t>UPR5200887</t>
  </si>
  <si>
    <t>UPR5200975</t>
  </si>
  <si>
    <t>SRC3106027</t>
  </si>
  <si>
    <t>40422871</t>
  </si>
  <si>
    <t>Homburg</t>
  </si>
  <si>
    <t>66424</t>
  </si>
  <si>
    <t>SR0426907</t>
  </si>
  <si>
    <t>PL_T7238901</t>
  </si>
  <si>
    <t>OHU32</t>
  </si>
  <si>
    <t>Flextronics International KFT AIR/</t>
  </si>
  <si>
    <t>Truck (1,5 ton)</t>
  </si>
  <si>
    <t>peter/tjalling changed something</t>
  </si>
  <si>
    <t>9008725409</t>
  </si>
  <si>
    <t>SR0521126</t>
  </si>
  <si>
    <t>DUMMY00001</t>
  </si>
  <si>
    <t>DUM01</t>
  </si>
  <si>
    <t>Dummy booker for Prebills</t>
  </si>
  <si>
    <t>dummy shipment</t>
  </si>
  <si>
    <t>9008628424</t>
  </si>
  <si>
    <t>7999346</t>
  </si>
  <si>
    <t>FISCHLHAM</t>
  </si>
  <si>
    <t>4652</t>
  </si>
  <si>
    <t>DSV (sub)</t>
  </si>
  <si>
    <t>9008725411</t>
  </si>
  <si>
    <t>9008723515</t>
  </si>
  <si>
    <t>U009800057</t>
  </si>
  <si>
    <t>DAP8700462</t>
  </si>
  <si>
    <t>SR0540236</t>
  </si>
  <si>
    <t>SR0485155</t>
  </si>
  <si>
    <t>0030399369</t>
  </si>
  <si>
    <t>CL76800013</t>
  </si>
  <si>
    <t>SR0484982</t>
  </si>
  <si>
    <t>PI0017926</t>
  </si>
  <si>
    <t>CL76800010</t>
  </si>
  <si>
    <t>SR0453610</t>
  </si>
  <si>
    <t>SR0452279</t>
  </si>
  <si>
    <t>CL76800008</t>
  </si>
  <si>
    <t>SR0444929</t>
  </si>
  <si>
    <t>313689</t>
  </si>
  <si>
    <t>Ahlen</t>
  </si>
  <si>
    <t>59227</t>
  </si>
  <si>
    <t>CL76800007</t>
  </si>
  <si>
    <t>SR0437352</t>
  </si>
  <si>
    <t>DHLPS17680</t>
  </si>
  <si>
    <t>SR0105496</t>
  </si>
  <si>
    <t>9008721404</t>
  </si>
  <si>
    <t>SRC711700</t>
  </si>
  <si>
    <t>40416907</t>
  </si>
  <si>
    <t>Ganderkesee</t>
  </si>
  <si>
    <t>27777</t>
  </si>
  <si>
    <t>12627</t>
  </si>
  <si>
    <t>missing rates - SRC711700 - SHM</t>
  </si>
  <si>
    <t>asked Christina;nobody cares</t>
  </si>
  <si>
    <t>MTA0210499</t>
  </si>
  <si>
    <t>DE9A - D - GWW</t>
  </si>
  <si>
    <t>SR0540112</t>
  </si>
  <si>
    <t>SR0510286</t>
  </si>
  <si>
    <t>SRC808653</t>
  </si>
  <si>
    <t>DHLPS17242</t>
  </si>
  <si>
    <t>U008500001</t>
  </si>
  <si>
    <t>Horsholm</t>
  </si>
  <si>
    <t>DK-2970</t>
  </si>
  <si>
    <t>SR0226236</t>
  </si>
  <si>
    <t>UPR5201099</t>
  </si>
  <si>
    <t>SR0424534</t>
  </si>
  <si>
    <t>40409784</t>
  </si>
  <si>
    <t>28307</t>
  </si>
  <si>
    <t>SR0484601</t>
  </si>
  <si>
    <t>SR0047397</t>
  </si>
  <si>
    <t>SR0481605</t>
  </si>
  <si>
    <t>SR0477939</t>
  </si>
  <si>
    <t>40418337</t>
  </si>
  <si>
    <t>Avintes</t>
  </si>
  <si>
    <t>4430-755</t>
  </si>
  <si>
    <t>SR0307279</t>
  </si>
  <si>
    <t>SR0272611</t>
  </si>
  <si>
    <t>SR0530542</t>
  </si>
  <si>
    <t>SR0530547</t>
  </si>
  <si>
    <t>SRC864672</t>
  </si>
  <si>
    <t>DARTFORD</t>
  </si>
  <si>
    <t>DA2 8DA</t>
  </si>
  <si>
    <t>SRC0408881</t>
  </si>
  <si>
    <t>SRC0408857</t>
  </si>
  <si>
    <t>SW1X 8AE</t>
  </si>
  <si>
    <t>SRC0410650</t>
  </si>
  <si>
    <t>CL76800011</t>
  </si>
  <si>
    <t>SRC403951</t>
  </si>
  <si>
    <t>SE1 7EH</t>
  </si>
  <si>
    <t>Landstar Ranger</t>
  </si>
  <si>
    <t>SR341</t>
  </si>
  <si>
    <t>Megmeet USA, Inc (Road)</t>
  </si>
  <si>
    <t>SR122</t>
  </si>
  <si>
    <t>FLEXIBLE TECHNOLOGIES, INC (FTL)</t>
  </si>
  <si>
    <t>ABBEVILLE</t>
  </si>
  <si>
    <t>RE: Question regarding Landstar and RoundTrips</t>
  </si>
  <si>
    <t>asked Andrea;reminder;reminder;reminder;sent to Panama mailbox;reminder</t>
  </si>
  <si>
    <t>29620-9996</t>
  </si>
  <si>
    <t>SRCUP28603</t>
  </si>
  <si>
    <t>SRCUP28410</t>
  </si>
  <si>
    <t>SRCUP28522</t>
  </si>
  <si>
    <t>SRCUP28348</t>
  </si>
  <si>
    <t>SRCUP28188</t>
  </si>
  <si>
    <t>SRCUP31468</t>
  </si>
  <si>
    <t>PUS11</t>
  </si>
  <si>
    <t>Philips DC Columbus</t>
  </si>
  <si>
    <t>SR157</t>
  </si>
  <si>
    <t>AGORA EDGE (Road)</t>
  </si>
  <si>
    <t>Shipper_id</t>
  </si>
  <si>
    <t>Consignee_id</t>
  </si>
  <si>
    <t>Pickup_city</t>
  </si>
  <si>
    <t>Pickup_country</t>
  </si>
  <si>
    <t>Port_of_loading</t>
  </si>
  <si>
    <t>Port_of_discharge</t>
  </si>
  <si>
    <t>Delivery_city</t>
  </si>
  <si>
    <t>Delivery_country</t>
  </si>
  <si>
    <t>Del_terms</t>
  </si>
  <si>
    <t>Container_number</t>
  </si>
  <si>
    <t>Bill_of_lading</t>
  </si>
  <si>
    <t>Pickup_ZIP_code</t>
  </si>
  <si>
    <t>Delivery_ZIP_code</t>
  </si>
  <si>
    <t>Booking_date</t>
  </si>
  <si>
    <t>Leg_1_Pickup_Planned</t>
  </si>
  <si>
    <t>Leg_1_Pickup_Actual</t>
  </si>
  <si>
    <t>Leg_2_Pickup_Planned</t>
  </si>
  <si>
    <t>Leg_2_Pickup_Actual</t>
  </si>
  <si>
    <t>Leg_3_Delivery_Actual</t>
  </si>
  <si>
    <t>Leg_1_Carrier_Name</t>
  </si>
  <si>
    <t>Leg_2_Carrier_Name</t>
  </si>
  <si>
    <t>Leg_3_Carrier_Name</t>
  </si>
  <si>
    <t>Billable_Indicator_Leg_1</t>
  </si>
  <si>
    <t>Billable_Indicator_Leg_2</t>
  </si>
  <si>
    <t>Billable_Indicator_Leg_3</t>
  </si>
  <si>
    <t>Container_type</t>
  </si>
  <si>
    <t>Leg_1_Transport_Mode</t>
  </si>
  <si>
    <t>Leg_2_Transport_Mode</t>
  </si>
  <si>
    <t>Leg_3_Transport_Mode</t>
  </si>
  <si>
    <t>Domain_Code</t>
  </si>
  <si>
    <t>Total_costs_Sales</t>
  </si>
  <si>
    <t>Leg_1,_Total_costs_Purchase</t>
  </si>
  <si>
    <t>Leg_2,_Total_costs_Purchase</t>
  </si>
  <si>
    <t>Leg_3,_Total_costs_Purchase</t>
  </si>
  <si>
    <t>Action_taken</t>
  </si>
  <si>
    <t>Mail_sent_to_IMS/Key-user</t>
  </si>
  <si>
    <t>Date_of_email</t>
  </si>
  <si>
    <t>Email_subject</t>
  </si>
  <si>
    <t>Delay_in_answer</t>
  </si>
  <si>
    <t>PHILIPS COLOMBIA COCAINUM</t>
  </si>
  <si>
    <t>SRA11</t>
  </si>
  <si>
    <t>RYJE</t>
  </si>
  <si>
    <t>SRCUP12345</t>
  </si>
  <si>
    <t>SRCUP12346</t>
  </si>
  <si>
    <t>SRCUP12347</t>
  </si>
  <si>
    <t>SRCUP12348</t>
  </si>
  <si>
    <t>SRCUP12349</t>
  </si>
  <si>
    <t>SRCUP12350</t>
  </si>
  <si>
    <t>SRCUP12351</t>
  </si>
  <si>
    <t>SRCUP12352</t>
  </si>
  <si>
    <t>SRCUP12353</t>
  </si>
  <si>
    <t>SRCUP12354</t>
  </si>
  <si>
    <t>SRCUP12355</t>
  </si>
  <si>
    <t>SRCUP12356</t>
  </si>
  <si>
    <t>SRCUP12357</t>
  </si>
  <si>
    <t>SRCUP12358</t>
  </si>
  <si>
    <t>SRCUP12359</t>
  </si>
  <si>
    <t>SRCUP12360</t>
  </si>
  <si>
    <t>6690553</t>
  </si>
  <si>
    <t>VAR01</t>
  </si>
  <si>
    <t>Philips do Brasil AIR LCL</t>
  </si>
  <si>
    <t>YES</t>
  </si>
  <si>
    <t>PENDING</t>
  </si>
  <si>
    <t>6683615</t>
  </si>
  <si>
    <t>6687298</t>
  </si>
  <si>
    <t>6680019</t>
  </si>
  <si>
    <t>6672957</t>
  </si>
  <si>
    <t>6823441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</si>
</sst>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CFCFA"/>
      <name val="Calibri"/>
      <family val="2"/>
      <charset val="238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E9D23"/>
      </patternFill>
    </fill>
    <fill>
      <patternFill patternType="solid">
        <fgColor rgb="FF407832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0" xfId="0" applyFont="1" applyFill="1"/>
    <xf numFmtId="164" fontId="3" fillId="2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49" fontId="4" fillId="4" borderId="0" xfId="0" applyNumberFormat="1" applyFont="1" applyFill="1"/>
    <xf numFmtId="0" fontId="4" fillId="4" borderId="0" xfId="0" applyFont="1" applyFill="1"/>
    <xf numFmtId="164" fontId="4" fillId="4" borderId="0" xfId="0" applyNumberFormat="1" applyFont="1" applyFill="1"/>
    <xf numFmtId="0" fontId="1" fillId="4" borderId="0" xfId="0" applyFont="1" applyFill="1"/>
    <xf numFmtId="0" fontId="0" fillId="0" borderId="0" xfId="0"/>
    <xf numFmtId="0" fontId="3" fillId="2" borderId="0" xfId="0" applyFont="1" applyFill="1"/>
    <xf numFmtId="164" fontId="3" fillId="2" borderId="0" xfId="0" applyNumberFormat="1" applyFon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0"/>
  <sheetViews>
    <sheetView topLeftCell="A10" zoomScale="75" workbookViewId="0">
      <selection activeCell="A7" sqref="A7"/>
    </sheetView>
  </sheetViews>
  <sheetFormatPr defaultRowHeight="14.4" x14ac:dyDescent="0.55000000000000004"/>
  <cols>
    <col min="1" max="49" width="21.68359375" customWidth="1"/>
  </cols>
  <sheetData>
    <row r="1" spans="1:4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55000000000000004">
      <c r="A2" t="str">
        <f>HYPERLINK("https://www.infodis.net/philips/net/Shipment/Details?InfodisNumber=4558795&amp;DomainCode=DAP", "4558795")</f>
        <v>4558795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R2" t="s">
        <v>64</v>
      </c>
      <c r="S2" s="2">
        <v>44151</v>
      </c>
      <c r="T2" s="2">
        <v>44157</v>
      </c>
      <c r="V2" s="2">
        <v>44158</v>
      </c>
      <c r="Y2" t="s">
        <v>65</v>
      </c>
      <c r="Z2" t="s">
        <v>65</v>
      </c>
      <c r="AA2" t="s">
        <v>66</v>
      </c>
      <c r="AB2" t="s">
        <v>67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>
        <v>0</v>
      </c>
      <c r="AK2">
        <v>0</v>
      </c>
      <c r="AL2">
        <v>0</v>
      </c>
      <c r="AM2">
        <v>0</v>
      </c>
      <c r="AN2">
        <v>0</v>
      </c>
      <c r="AO2">
        <v>3396</v>
      </c>
      <c r="AP2">
        <v>35.816000000000003</v>
      </c>
      <c r="AV2">
        <v>-1</v>
      </c>
    </row>
    <row r="3" spans="1:49" x14ac:dyDescent="0.55000000000000004">
      <c r="A3" t="str">
        <f>HYPERLINK("https://www.infodis.net/philips/net/Shipment/Details?InfodisNumber=4563214&amp;DomainCode=DAP", "4563214")</f>
        <v>4563214</v>
      </c>
      <c r="B3" t="s">
        <v>74</v>
      </c>
      <c r="C3" t="s">
        <v>75</v>
      </c>
      <c r="D3" t="s">
        <v>76</v>
      </c>
      <c r="E3" t="s">
        <v>75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P3" t="s">
        <v>86</v>
      </c>
      <c r="R3" t="s">
        <v>87</v>
      </c>
      <c r="S3" s="2">
        <v>44155</v>
      </c>
      <c r="T3" s="2">
        <v>44158</v>
      </c>
      <c r="V3" s="2">
        <v>44163</v>
      </c>
      <c r="Y3" t="s">
        <v>88</v>
      </c>
      <c r="Z3" t="s">
        <v>89</v>
      </c>
      <c r="AA3" t="s">
        <v>89</v>
      </c>
      <c r="AB3" t="s">
        <v>67</v>
      </c>
      <c r="AC3" t="s">
        <v>67</v>
      </c>
      <c r="AD3" t="s">
        <v>67</v>
      </c>
      <c r="AE3" t="s">
        <v>90</v>
      </c>
      <c r="AF3" t="s">
        <v>70</v>
      </c>
      <c r="AG3" t="s">
        <v>71</v>
      </c>
      <c r="AH3" t="s">
        <v>72</v>
      </c>
      <c r="AI3" t="s">
        <v>73</v>
      </c>
      <c r="AJ3">
        <v>0</v>
      </c>
      <c r="AK3">
        <v>0</v>
      </c>
      <c r="AL3">
        <v>0</v>
      </c>
      <c r="AM3">
        <v>0</v>
      </c>
      <c r="AN3">
        <v>48</v>
      </c>
      <c r="AO3">
        <v>9593.6</v>
      </c>
      <c r="AP3">
        <v>48</v>
      </c>
      <c r="AV3">
        <v>-1</v>
      </c>
    </row>
    <row r="4" spans="1:49" x14ac:dyDescent="0.55000000000000004">
      <c r="A4" t="str">
        <f>HYPERLINK("https://www.infodis.net/philips/net/Shipment/Details?InfodisNumber=4557982&amp;DomainCode=DAP", "4557982")</f>
        <v>4557982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79</v>
      </c>
      <c r="I4" t="s">
        <v>97</v>
      </c>
      <c r="J4" t="s">
        <v>98</v>
      </c>
      <c r="K4" t="s">
        <v>99</v>
      </c>
      <c r="L4" t="s">
        <v>100</v>
      </c>
      <c r="M4" t="s">
        <v>60</v>
      </c>
      <c r="N4" t="s">
        <v>101</v>
      </c>
      <c r="O4" t="s">
        <v>102</v>
      </c>
      <c r="P4" t="s">
        <v>103</v>
      </c>
      <c r="R4" t="s">
        <v>104</v>
      </c>
      <c r="S4" s="2">
        <v>44150</v>
      </c>
      <c r="T4" s="2">
        <v>44153</v>
      </c>
      <c r="U4" s="2">
        <v>44153</v>
      </c>
      <c r="V4" s="2">
        <v>44158</v>
      </c>
      <c r="Y4" t="s">
        <v>89</v>
      </c>
      <c r="Z4" t="s">
        <v>105</v>
      </c>
      <c r="AA4" t="s">
        <v>106</v>
      </c>
      <c r="AB4" t="s">
        <v>67</v>
      </c>
      <c r="AC4" t="s">
        <v>67</v>
      </c>
      <c r="AD4" t="s">
        <v>67</v>
      </c>
      <c r="AE4" t="s">
        <v>90</v>
      </c>
      <c r="AF4" t="s">
        <v>70</v>
      </c>
      <c r="AG4" t="s">
        <v>71</v>
      </c>
      <c r="AH4" t="s">
        <v>72</v>
      </c>
      <c r="AI4" t="s">
        <v>73</v>
      </c>
      <c r="AJ4">
        <v>0</v>
      </c>
      <c r="AK4">
        <v>0</v>
      </c>
      <c r="AL4">
        <v>0</v>
      </c>
      <c r="AM4">
        <v>0</v>
      </c>
      <c r="AN4">
        <v>18</v>
      </c>
      <c r="AO4">
        <v>3261.87</v>
      </c>
      <c r="AP4">
        <v>32.078000000000003</v>
      </c>
      <c r="AV4">
        <v>-1</v>
      </c>
    </row>
    <row r="5" spans="1:49" x14ac:dyDescent="0.55000000000000004">
      <c r="A5" t="str">
        <f>HYPERLINK("https://www.infodis.net/philips/net/Shipment/Details?InfodisNumber=4558082&amp;DomainCode=DAP", "4558082")</f>
        <v>4558082</v>
      </c>
      <c r="B5" t="s">
        <v>107</v>
      </c>
      <c r="C5" t="s">
        <v>108</v>
      </c>
      <c r="D5" t="s">
        <v>109</v>
      </c>
      <c r="E5" t="s">
        <v>94</v>
      </c>
      <c r="F5" t="s">
        <v>110</v>
      </c>
      <c r="G5" t="s">
        <v>111</v>
      </c>
      <c r="H5" t="s">
        <v>79</v>
      </c>
      <c r="I5" t="s">
        <v>112</v>
      </c>
      <c r="J5" t="s">
        <v>113</v>
      </c>
      <c r="K5" t="s">
        <v>114</v>
      </c>
      <c r="L5" t="s">
        <v>59</v>
      </c>
      <c r="M5" t="s">
        <v>60</v>
      </c>
      <c r="N5" t="s">
        <v>115</v>
      </c>
      <c r="P5" t="s">
        <v>116</v>
      </c>
      <c r="R5" t="s">
        <v>117</v>
      </c>
      <c r="S5" s="2">
        <v>44151</v>
      </c>
      <c r="T5" s="2">
        <v>44161</v>
      </c>
      <c r="V5" s="2">
        <v>44169</v>
      </c>
      <c r="Y5" t="s">
        <v>89</v>
      </c>
      <c r="Z5" t="s">
        <v>118</v>
      </c>
      <c r="AA5" t="s">
        <v>118</v>
      </c>
      <c r="AB5" t="s">
        <v>67</v>
      </c>
      <c r="AC5" t="s">
        <v>67</v>
      </c>
      <c r="AD5" t="s">
        <v>67</v>
      </c>
      <c r="AE5" t="s">
        <v>119</v>
      </c>
      <c r="AF5" t="s">
        <v>70</v>
      </c>
      <c r="AG5" t="s">
        <v>71</v>
      </c>
      <c r="AH5" t="s">
        <v>72</v>
      </c>
      <c r="AI5" t="s">
        <v>73</v>
      </c>
      <c r="AJ5">
        <v>0</v>
      </c>
      <c r="AK5">
        <v>0</v>
      </c>
      <c r="AL5">
        <v>0</v>
      </c>
      <c r="AM5">
        <v>0</v>
      </c>
      <c r="AN5">
        <v>0</v>
      </c>
      <c r="AO5">
        <v>13000</v>
      </c>
      <c r="AP5">
        <v>116</v>
      </c>
      <c r="AV5">
        <v>-1</v>
      </c>
    </row>
    <row r="6" spans="1:49" x14ac:dyDescent="0.55000000000000004">
      <c r="A6" t="str">
        <f>HYPERLINK("https://www.infodis.net/philips/net/Shipment/Details?InfodisNumber=4558097&amp;DomainCode=DAP", "4558097")</f>
        <v>4558097</v>
      </c>
      <c r="B6" t="s">
        <v>120</v>
      </c>
      <c r="C6" t="s">
        <v>108</v>
      </c>
      <c r="D6" t="s">
        <v>109</v>
      </c>
      <c r="E6" t="s">
        <v>94</v>
      </c>
      <c r="F6" t="s">
        <v>121</v>
      </c>
      <c r="G6" t="s">
        <v>111</v>
      </c>
      <c r="H6" t="s">
        <v>79</v>
      </c>
      <c r="I6" t="s">
        <v>122</v>
      </c>
      <c r="J6" t="s">
        <v>123</v>
      </c>
      <c r="K6" t="s">
        <v>124</v>
      </c>
      <c r="L6" t="s">
        <v>125</v>
      </c>
      <c r="M6" t="s">
        <v>60</v>
      </c>
      <c r="P6" t="s">
        <v>116</v>
      </c>
      <c r="R6" t="s">
        <v>126</v>
      </c>
      <c r="S6" s="2">
        <v>44151</v>
      </c>
      <c r="T6" s="2">
        <v>44152</v>
      </c>
      <c r="V6" s="2">
        <v>44157</v>
      </c>
      <c r="Y6" t="s">
        <v>89</v>
      </c>
      <c r="Z6" t="s">
        <v>127</v>
      </c>
      <c r="AA6" t="s">
        <v>127</v>
      </c>
      <c r="AB6" t="s">
        <v>67</v>
      </c>
      <c r="AC6" t="s">
        <v>67</v>
      </c>
      <c r="AD6" t="s">
        <v>67</v>
      </c>
      <c r="AE6" t="s">
        <v>90</v>
      </c>
      <c r="AF6" t="s">
        <v>70</v>
      </c>
      <c r="AG6" t="s">
        <v>71</v>
      </c>
      <c r="AH6" t="s">
        <v>72</v>
      </c>
      <c r="AI6" t="s">
        <v>73</v>
      </c>
      <c r="AJ6">
        <v>0</v>
      </c>
      <c r="AK6">
        <v>0</v>
      </c>
      <c r="AL6">
        <v>0</v>
      </c>
      <c r="AM6">
        <v>0</v>
      </c>
      <c r="AN6">
        <v>0</v>
      </c>
      <c r="AO6">
        <v>5000</v>
      </c>
      <c r="AP6">
        <v>50</v>
      </c>
      <c r="AV6">
        <v>-1</v>
      </c>
    </row>
    <row r="7" spans="1:49" x14ac:dyDescent="0.55000000000000004">
      <c r="A7" t="str">
        <f>HYPERLINK("https://www.infodis.net/philips/net/Shipment/Details?InfodisNumber=4558100&amp;DomainCode=DAP", "4558100")</f>
        <v>4558100</v>
      </c>
      <c r="B7" t="s">
        <v>128</v>
      </c>
      <c r="C7" t="s">
        <v>108</v>
      </c>
      <c r="D7" t="s">
        <v>109</v>
      </c>
      <c r="E7" t="s">
        <v>94</v>
      </c>
      <c r="F7" t="s">
        <v>129</v>
      </c>
      <c r="G7" t="s">
        <v>111</v>
      </c>
      <c r="H7" t="s">
        <v>79</v>
      </c>
      <c r="I7" t="s">
        <v>112</v>
      </c>
      <c r="J7" t="s">
        <v>130</v>
      </c>
      <c r="K7" t="s">
        <v>131</v>
      </c>
      <c r="L7" t="s">
        <v>132</v>
      </c>
      <c r="M7" t="s">
        <v>133</v>
      </c>
      <c r="N7" t="s">
        <v>115</v>
      </c>
      <c r="P7" t="s">
        <v>116</v>
      </c>
      <c r="R7" t="s">
        <v>134</v>
      </c>
      <c r="S7" s="2">
        <v>44151</v>
      </c>
      <c r="T7" s="2">
        <v>44161</v>
      </c>
      <c r="V7" s="2">
        <v>44166</v>
      </c>
      <c r="Y7" t="s">
        <v>89</v>
      </c>
      <c r="Z7" t="s">
        <v>135</v>
      </c>
      <c r="AA7" t="s">
        <v>135</v>
      </c>
      <c r="AB7" t="s">
        <v>67</v>
      </c>
      <c r="AC7" t="s">
        <v>67</v>
      </c>
      <c r="AD7" t="s">
        <v>67</v>
      </c>
      <c r="AE7" t="s">
        <v>136</v>
      </c>
      <c r="AF7" t="s">
        <v>70</v>
      </c>
      <c r="AG7" t="s">
        <v>71</v>
      </c>
      <c r="AH7" t="s">
        <v>72</v>
      </c>
      <c r="AI7" t="s">
        <v>73</v>
      </c>
      <c r="AJ7">
        <v>0</v>
      </c>
      <c r="AK7">
        <v>0</v>
      </c>
      <c r="AL7">
        <v>0</v>
      </c>
      <c r="AM7">
        <v>0</v>
      </c>
      <c r="AN7">
        <v>0</v>
      </c>
      <c r="AO7">
        <v>17800</v>
      </c>
      <c r="AP7">
        <v>136</v>
      </c>
      <c r="AV7">
        <v>-1</v>
      </c>
    </row>
    <row r="8" spans="1:49" x14ac:dyDescent="0.55000000000000004">
      <c r="A8" t="str">
        <f>HYPERLINK("https://www.infodis.net/philips/net/Shipment/Details?InfodisNumber=4558140&amp;DomainCode=DAP", "4558140")</f>
        <v>4558140</v>
      </c>
      <c r="B8" t="s">
        <v>137</v>
      </c>
      <c r="C8" t="s">
        <v>108</v>
      </c>
      <c r="D8" t="s">
        <v>109</v>
      </c>
      <c r="E8" t="s">
        <v>94</v>
      </c>
      <c r="F8" t="s">
        <v>129</v>
      </c>
      <c r="G8" t="s">
        <v>111</v>
      </c>
      <c r="H8" t="s">
        <v>79</v>
      </c>
      <c r="I8" t="s">
        <v>112</v>
      </c>
      <c r="J8" t="s">
        <v>130</v>
      </c>
      <c r="K8" t="s">
        <v>131</v>
      </c>
      <c r="L8" t="s">
        <v>132</v>
      </c>
      <c r="M8" t="s">
        <v>133</v>
      </c>
      <c r="P8" t="s">
        <v>116</v>
      </c>
      <c r="R8" t="s">
        <v>134</v>
      </c>
      <c r="S8" s="2">
        <v>44151</v>
      </c>
      <c r="T8" s="2">
        <v>44175</v>
      </c>
      <c r="V8" s="2">
        <v>44180</v>
      </c>
      <c r="Y8" t="s">
        <v>89</v>
      </c>
      <c r="Z8" t="s">
        <v>138</v>
      </c>
      <c r="AA8" t="s">
        <v>138</v>
      </c>
      <c r="AB8" t="s">
        <v>67</v>
      </c>
      <c r="AC8" t="s">
        <v>67</v>
      </c>
      <c r="AD8" t="s">
        <v>67</v>
      </c>
      <c r="AE8" t="s">
        <v>69</v>
      </c>
      <c r="AF8" t="s">
        <v>70</v>
      </c>
      <c r="AG8" t="s">
        <v>71</v>
      </c>
      <c r="AH8" t="s">
        <v>72</v>
      </c>
      <c r="AI8" t="s">
        <v>73</v>
      </c>
      <c r="AJ8">
        <v>0</v>
      </c>
      <c r="AK8">
        <v>0</v>
      </c>
      <c r="AL8">
        <v>0</v>
      </c>
      <c r="AM8">
        <v>0</v>
      </c>
      <c r="AN8">
        <v>0</v>
      </c>
      <c r="AO8">
        <v>8900</v>
      </c>
      <c r="AP8">
        <v>68</v>
      </c>
      <c r="AV8">
        <v>-1</v>
      </c>
    </row>
    <row r="9" spans="1:49" x14ac:dyDescent="0.55000000000000004">
      <c r="A9" t="str">
        <f>HYPERLINK("https://www.infodis.net/philips/net/Shipment/Details?InfodisNumber=4558893&amp;DomainCode=DAP", "4558893")</f>
        <v>4558893</v>
      </c>
      <c r="B9" t="s">
        <v>139</v>
      </c>
      <c r="C9" t="s">
        <v>108</v>
      </c>
      <c r="D9" t="s">
        <v>109</v>
      </c>
      <c r="E9" t="s">
        <v>94</v>
      </c>
      <c r="F9" t="s">
        <v>110</v>
      </c>
      <c r="G9" t="s">
        <v>111</v>
      </c>
      <c r="H9" t="s">
        <v>79</v>
      </c>
      <c r="I9" t="s">
        <v>112</v>
      </c>
      <c r="J9" t="s">
        <v>113</v>
      </c>
      <c r="K9" t="s">
        <v>114</v>
      </c>
      <c r="L9" t="s">
        <v>59</v>
      </c>
      <c r="M9" t="s">
        <v>60</v>
      </c>
      <c r="N9" t="s">
        <v>115</v>
      </c>
      <c r="P9" t="s">
        <v>116</v>
      </c>
      <c r="R9" t="s">
        <v>117</v>
      </c>
      <c r="S9" s="2">
        <v>44152</v>
      </c>
      <c r="T9" s="2">
        <v>44181</v>
      </c>
      <c r="V9" s="2">
        <v>44186</v>
      </c>
      <c r="Y9" t="s">
        <v>89</v>
      </c>
      <c r="Z9" t="s">
        <v>138</v>
      </c>
      <c r="AA9" t="s">
        <v>138</v>
      </c>
      <c r="AB9" t="s">
        <v>67</v>
      </c>
      <c r="AC9" t="s">
        <v>67</v>
      </c>
      <c r="AD9" t="s">
        <v>67</v>
      </c>
      <c r="AE9" t="s">
        <v>119</v>
      </c>
      <c r="AF9" t="s">
        <v>70</v>
      </c>
      <c r="AG9" t="s">
        <v>71</v>
      </c>
      <c r="AH9" t="s">
        <v>72</v>
      </c>
      <c r="AI9" t="s">
        <v>73</v>
      </c>
      <c r="AJ9">
        <v>0</v>
      </c>
      <c r="AK9">
        <v>0</v>
      </c>
      <c r="AL9">
        <v>0</v>
      </c>
      <c r="AM9">
        <v>0</v>
      </c>
      <c r="AN9">
        <v>0</v>
      </c>
      <c r="AO9">
        <v>11200</v>
      </c>
      <c r="AP9">
        <v>116</v>
      </c>
      <c r="AV9">
        <v>-1</v>
      </c>
    </row>
    <row r="10" spans="1:49" x14ac:dyDescent="0.55000000000000004">
      <c r="A10" t="str">
        <f>HYPERLINK("https://www.infodis.net/philips/net/Shipment/Details?InfodisNumber=4559221&amp;DomainCode=DAP", "4559221")</f>
        <v>4559221</v>
      </c>
      <c r="B10" t="s">
        <v>140</v>
      </c>
      <c r="C10" t="s">
        <v>108</v>
      </c>
      <c r="D10" t="s">
        <v>109</v>
      </c>
      <c r="E10" t="s">
        <v>94</v>
      </c>
      <c r="F10" t="s">
        <v>141</v>
      </c>
      <c r="G10" t="s">
        <v>111</v>
      </c>
      <c r="H10" t="s">
        <v>79</v>
      </c>
      <c r="I10" t="s">
        <v>122</v>
      </c>
      <c r="J10" t="s">
        <v>142</v>
      </c>
      <c r="K10" t="s">
        <v>143</v>
      </c>
      <c r="L10" t="s">
        <v>83</v>
      </c>
      <c r="M10" t="s">
        <v>60</v>
      </c>
      <c r="N10" t="s">
        <v>115</v>
      </c>
      <c r="P10" t="s">
        <v>116</v>
      </c>
      <c r="R10" t="s">
        <v>144</v>
      </c>
      <c r="S10" s="2">
        <v>44152</v>
      </c>
      <c r="T10" s="2">
        <v>44188</v>
      </c>
      <c r="V10" s="2">
        <v>44196</v>
      </c>
      <c r="Y10" t="s">
        <v>89</v>
      </c>
      <c r="Z10" t="s">
        <v>105</v>
      </c>
      <c r="AA10" t="s">
        <v>105</v>
      </c>
      <c r="AB10" t="s">
        <v>67</v>
      </c>
      <c r="AC10" t="s">
        <v>67</v>
      </c>
      <c r="AD10" t="s">
        <v>67</v>
      </c>
      <c r="AE10" t="s">
        <v>145</v>
      </c>
      <c r="AF10" t="s">
        <v>70</v>
      </c>
      <c r="AG10" t="s">
        <v>71</v>
      </c>
      <c r="AH10" t="s">
        <v>72</v>
      </c>
      <c r="AI10" t="s">
        <v>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26700</v>
      </c>
      <c r="AP10">
        <v>194</v>
      </c>
      <c r="AV10">
        <v>-1</v>
      </c>
    </row>
    <row r="11" spans="1:49" x14ac:dyDescent="0.55000000000000004">
      <c r="A11" t="str">
        <f>HYPERLINK("https://www.infodis.net/philips/net/Shipment/Details?InfodisNumber=4559216&amp;DomainCode=DAP", "4559216")</f>
        <v>4559216</v>
      </c>
      <c r="B11" t="s">
        <v>146</v>
      </c>
      <c r="C11" t="s">
        <v>108</v>
      </c>
      <c r="D11" t="s">
        <v>109</v>
      </c>
      <c r="E11" t="s">
        <v>94</v>
      </c>
      <c r="F11" t="s">
        <v>110</v>
      </c>
      <c r="G11" t="s">
        <v>111</v>
      </c>
      <c r="H11" t="s">
        <v>79</v>
      </c>
      <c r="I11" t="s">
        <v>112</v>
      </c>
      <c r="J11" t="s">
        <v>113</v>
      </c>
      <c r="K11" t="s">
        <v>114</v>
      </c>
      <c r="L11" t="s">
        <v>59</v>
      </c>
      <c r="M11" t="s">
        <v>60</v>
      </c>
      <c r="N11" t="s">
        <v>115</v>
      </c>
      <c r="P11" t="s">
        <v>116</v>
      </c>
      <c r="R11" t="s">
        <v>117</v>
      </c>
      <c r="S11" s="2">
        <v>44152</v>
      </c>
      <c r="T11" s="2">
        <v>44188</v>
      </c>
      <c r="V11" s="2">
        <v>44193</v>
      </c>
      <c r="Y11" t="s">
        <v>89</v>
      </c>
      <c r="Z11" t="s">
        <v>138</v>
      </c>
      <c r="AA11" t="s">
        <v>138</v>
      </c>
      <c r="AB11" t="s">
        <v>67</v>
      </c>
      <c r="AC11" t="s">
        <v>67</v>
      </c>
      <c r="AD11" t="s">
        <v>67</v>
      </c>
      <c r="AE11" t="s">
        <v>119</v>
      </c>
      <c r="AF11" t="s">
        <v>70</v>
      </c>
      <c r="AG11" t="s">
        <v>71</v>
      </c>
      <c r="AH11" t="s">
        <v>72</v>
      </c>
      <c r="AI11" t="s">
        <v>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17800</v>
      </c>
      <c r="AP11">
        <v>116</v>
      </c>
      <c r="AV11">
        <v>-1</v>
      </c>
    </row>
    <row r="12" spans="1:49" x14ac:dyDescent="0.55000000000000004">
      <c r="A12" t="str">
        <f>HYPERLINK("https://www.infodis.net/philips/net/Shipment/Details?InfodisNumber=4559226&amp;DomainCode=DAP", "4559226")</f>
        <v>4559226</v>
      </c>
      <c r="B12" t="s">
        <v>147</v>
      </c>
      <c r="C12" t="s">
        <v>108</v>
      </c>
      <c r="D12" t="s">
        <v>109</v>
      </c>
      <c r="E12" t="s">
        <v>94</v>
      </c>
      <c r="F12" t="s">
        <v>141</v>
      </c>
      <c r="G12" t="s">
        <v>111</v>
      </c>
      <c r="H12" t="s">
        <v>79</v>
      </c>
      <c r="I12" t="s">
        <v>112</v>
      </c>
      <c r="J12" t="s">
        <v>142</v>
      </c>
      <c r="K12" t="s">
        <v>143</v>
      </c>
      <c r="L12" t="s">
        <v>83</v>
      </c>
      <c r="M12" t="s">
        <v>60</v>
      </c>
      <c r="N12" t="s">
        <v>115</v>
      </c>
      <c r="P12" t="s">
        <v>116</v>
      </c>
      <c r="R12" t="s">
        <v>144</v>
      </c>
      <c r="S12" s="2">
        <v>44152</v>
      </c>
      <c r="T12" s="2">
        <v>44188</v>
      </c>
      <c r="V12" s="2">
        <v>44193</v>
      </c>
      <c r="Y12" t="s">
        <v>89</v>
      </c>
      <c r="Z12" t="s">
        <v>118</v>
      </c>
      <c r="AA12" t="s">
        <v>118</v>
      </c>
      <c r="AB12" t="s">
        <v>67</v>
      </c>
      <c r="AC12" t="s">
        <v>67</v>
      </c>
      <c r="AD12" t="s">
        <v>67</v>
      </c>
      <c r="AE12" t="s">
        <v>145</v>
      </c>
      <c r="AF12" t="s">
        <v>70</v>
      </c>
      <c r="AG12" t="s">
        <v>71</v>
      </c>
      <c r="AH12" t="s">
        <v>72</v>
      </c>
      <c r="AI12" t="s">
        <v>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26700</v>
      </c>
      <c r="AP12">
        <v>194</v>
      </c>
      <c r="AV12">
        <v>-1</v>
      </c>
    </row>
    <row r="13" spans="1:49" x14ac:dyDescent="0.55000000000000004">
      <c r="A13" t="str">
        <f>HYPERLINK("https://www.infodis.net/philips/net/Shipment/Details?InfodisNumber=4559254&amp;DomainCode=DAP", "4559254")</f>
        <v>4559254</v>
      </c>
      <c r="B13" t="s">
        <v>148</v>
      </c>
      <c r="C13" t="s">
        <v>108</v>
      </c>
      <c r="D13" t="s">
        <v>109</v>
      </c>
      <c r="E13" t="s">
        <v>94</v>
      </c>
      <c r="F13" t="s">
        <v>129</v>
      </c>
      <c r="G13" t="s">
        <v>111</v>
      </c>
      <c r="H13" t="s">
        <v>79</v>
      </c>
      <c r="I13" t="s">
        <v>112</v>
      </c>
      <c r="J13" t="s">
        <v>130</v>
      </c>
      <c r="K13" t="s">
        <v>131</v>
      </c>
      <c r="L13" t="s">
        <v>132</v>
      </c>
      <c r="M13" t="s">
        <v>133</v>
      </c>
      <c r="P13" t="s">
        <v>116</v>
      </c>
      <c r="R13" t="s">
        <v>134</v>
      </c>
      <c r="S13" s="2">
        <v>44152</v>
      </c>
      <c r="T13" s="2">
        <v>44188</v>
      </c>
      <c r="V13" s="2">
        <v>44193</v>
      </c>
      <c r="Y13" t="s">
        <v>89</v>
      </c>
      <c r="Z13" t="s">
        <v>138</v>
      </c>
      <c r="AA13" t="s">
        <v>138</v>
      </c>
      <c r="AB13" t="s">
        <v>67</v>
      </c>
      <c r="AC13" t="s">
        <v>67</v>
      </c>
      <c r="AD13" t="s">
        <v>67</v>
      </c>
      <c r="AE13" t="s">
        <v>69</v>
      </c>
      <c r="AF13" t="s">
        <v>70</v>
      </c>
      <c r="AG13" t="s">
        <v>71</v>
      </c>
      <c r="AH13" t="s">
        <v>72</v>
      </c>
      <c r="AI13" t="s">
        <v>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8900</v>
      </c>
      <c r="AP13">
        <v>68</v>
      </c>
      <c r="AV13">
        <v>-1</v>
      </c>
    </row>
    <row r="14" spans="1:49" x14ac:dyDescent="0.55000000000000004">
      <c r="A14" t="str">
        <f>HYPERLINK("https://www.infodis.net/philips/net/Shipment/Details?InfodisNumber=4558901&amp;DomainCode=DAP", "4558901")</f>
        <v>4558901</v>
      </c>
      <c r="B14" t="s">
        <v>149</v>
      </c>
      <c r="C14" t="s">
        <v>108</v>
      </c>
      <c r="D14" t="s">
        <v>109</v>
      </c>
      <c r="E14" t="s">
        <v>94</v>
      </c>
      <c r="F14" t="s">
        <v>141</v>
      </c>
      <c r="G14" t="s">
        <v>111</v>
      </c>
      <c r="H14" t="s">
        <v>79</v>
      </c>
      <c r="I14" t="s">
        <v>122</v>
      </c>
      <c r="J14" t="s">
        <v>142</v>
      </c>
      <c r="K14" t="s">
        <v>143</v>
      </c>
      <c r="L14" t="s">
        <v>83</v>
      </c>
      <c r="M14" t="s">
        <v>60</v>
      </c>
      <c r="N14" t="s">
        <v>115</v>
      </c>
      <c r="P14" t="s">
        <v>116</v>
      </c>
      <c r="R14" t="s">
        <v>144</v>
      </c>
      <c r="S14" s="2">
        <v>44152</v>
      </c>
      <c r="T14" s="2">
        <v>44180</v>
      </c>
      <c r="V14" s="2">
        <v>44189</v>
      </c>
      <c r="Y14" t="s">
        <v>89</v>
      </c>
      <c r="Z14" t="s">
        <v>105</v>
      </c>
      <c r="AA14" t="s">
        <v>105</v>
      </c>
      <c r="AB14" t="s">
        <v>67</v>
      </c>
      <c r="AC14" t="s">
        <v>67</v>
      </c>
      <c r="AD14" t="s">
        <v>67</v>
      </c>
      <c r="AE14" t="s">
        <v>145</v>
      </c>
      <c r="AF14" t="s">
        <v>70</v>
      </c>
      <c r="AG14" t="s">
        <v>71</v>
      </c>
      <c r="AH14" t="s">
        <v>72</v>
      </c>
      <c r="AI14" t="s">
        <v>73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24300</v>
      </c>
      <c r="AP14">
        <v>194</v>
      </c>
      <c r="AV14">
        <v>-1</v>
      </c>
    </row>
    <row r="15" spans="1:49" x14ac:dyDescent="0.55000000000000004">
      <c r="A15" t="str">
        <f>HYPERLINK("https://www.infodis.net/philips/net/Shipment/Details?InfodisNumber=4558905&amp;DomainCode=DAP", "4558905")</f>
        <v>4558905</v>
      </c>
      <c r="B15" t="s">
        <v>150</v>
      </c>
      <c r="C15" t="s">
        <v>108</v>
      </c>
      <c r="D15" t="s">
        <v>109</v>
      </c>
      <c r="E15" t="s">
        <v>94</v>
      </c>
      <c r="F15" t="s">
        <v>141</v>
      </c>
      <c r="G15" t="s">
        <v>111</v>
      </c>
      <c r="H15" t="s">
        <v>79</v>
      </c>
      <c r="I15" t="s">
        <v>112</v>
      </c>
      <c r="J15" t="s">
        <v>142</v>
      </c>
      <c r="K15" t="s">
        <v>143</v>
      </c>
      <c r="L15" t="s">
        <v>83</v>
      </c>
      <c r="M15" t="s">
        <v>60</v>
      </c>
      <c r="N15" t="s">
        <v>115</v>
      </c>
      <c r="P15" t="s">
        <v>116</v>
      </c>
      <c r="R15" t="s">
        <v>144</v>
      </c>
      <c r="S15" s="2">
        <v>44152</v>
      </c>
      <c r="T15" s="2">
        <v>44180</v>
      </c>
      <c r="V15" s="2">
        <v>44185</v>
      </c>
      <c r="Y15" t="s">
        <v>89</v>
      </c>
      <c r="Z15" t="s">
        <v>118</v>
      </c>
      <c r="AA15" t="s">
        <v>118</v>
      </c>
      <c r="AB15" t="s">
        <v>67</v>
      </c>
      <c r="AC15" t="s">
        <v>67</v>
      </c>
      <c r="AD15" t="s">
        <v>67</v>
      </c>
      <c r="AE15" t="s">
        <v>145</v>
      </c>
      <c r="AF15" t="s">
        <v>70</v>
      </c>
      <c r="AG15" t="s">
        <v>71</v>
      </c>
      <c r="AH15" t="s">
        <v>72</v>
      </c>
      <c r="AI15" t="s">
        <v>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25800</v>
      </c>
      <c r="AP15">
        <v>194</v>
      </c>
      <c r="AV15">
        <v>-1</v>
      </c>
    </row>
    <row r="16" spans="1:49" x14ac:dyDescent="0.55000000000000004">
      <c r="A16" t="str">
        <f>HYPERLINK("https://www.infodis.net/philips/net/Shipment/Details?InfodisNumber=4558924&amp;DomainCode=DAP", "4558924")</f>
        <v>4558924</v>
      </c>
      <c r="B16" t="s">
        <v>151</v>
      </c>
      <c r="C16" t="s">
        <v>108</v>
      </c>
      <c r="D16" t="s">
        <v>109</v>
      </c>
      <c r="E16" t="s">
        <v>94</v>
      </c>
      <c r="F16" t="s">
        <v>129</v>
      </c>
      <c r="G16" t="s">
        <v>111</v>
      </c>
      <c r="H16" t="s">
        <v>79</v>
      </c>
      <c r="I16" t="s">
        <v>112</v>
      </c>
      <c r="J16" t="s">
        <v>130</v>
      </c>
      <c r="K16" t="s">
        <v>131</v>
      </c>
      <c r="L16" t="s">
        <v>132</v>
      </c>
      <c r="M16" t="s">
        <v>133</v>
      </c>
      <c r="P16" t="s">
        <v>116</v>
      </c>
      <c r="R16" t="s">
        <v>134</v>
      </c>
      <c r="S16" s="2">
        <v>44152</v>
      </c>
      <c r="T16" s="2">
        <v>44180</v>
      </c>
      <c r="V16" s="2">
        <v>44185</v>
      </c>
      <c r="Y16" t="s">
        <v>89</v>
      </c>
      <c r="Z16" t="s">
        <v>138</v>
      </c>
      <c r="AA16" t="s">
        <v>138</v>
      </c>
      <c r="AB16" t="s">
        <v>67</v>
      </c>
      <c r="AC16" t="s">
        <v>67</v>
      </c>
      <c r="AD16" t="s">
        <v>67</v>
      </c>
      <c r="AE16" t="s">
        <v>69</v>
      </c>
      <c r="AF16" t="s">
        <v>70</v>
      </c>
      <c r="AG16" t="s">
        <v>71</v>
      </c>
      <c r="AH16" t="s">
        <v>72</v>
      </c>
      <c r="AI16" t="s">
        <v>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8900</v>
      </c>
      <c r="AP16">
        <v>68</v>
      </c>
      <c r="AV16">
        <v>-1</v>
      </c>
    </row>
    <row r="17" spans="1:48" x14ac:dyDescent="0.55000000000000004">
      <c r="A17" t="str">
        <f>HYPERLINK("https://www.infodis.net/philips/net/Shipment/Details?InfodisNumber=4559023&amp;DomainCode=DAP", "4559023")</f>
        <v>4559023</v>
      </c>
      <c r="B17" t="s">
        <v>152</v>
      </c>
      <c r="C17" t="s">
        <v>153</v>
      </c>
      <c r="D17" t="s">
        <v>154</v>
      </c>
      <c r="E17" t="s">
        <v>94</v>
      </c>
      <c r="F17" t="s">
        <v>155</v>
      </c>
      <c r="G17" t="s">
        <v>82</v>
      </c>
      <c r="H17" t="s">
        <v>83</v>
      </c>
      <c r="I17" t="s">
        <v>156</v>
      </c>
      <c r="J17" t="s">
        <v>157</v>
      </c>
      <c r="K17" t="s">
        <v>158</v>
      </c>
      <c r="L17" t="s">
        <v>159</v>
      </c>
      <c r="M17" t="s">
        <v>133</v>
      </c>
      <c r="N17" t="s">
        <v>160</v>
      </c>
      <c r="P17" t="s">
        <v>87</v>
      </c>
      <c r="R17" t="s">
        <v>161</v>
      </c>
      <c r="S17" s="2">
        <v>44152</v>
      </c>
      <c r="T17" s="2">
        <v>44161</v>
      </c>
      <c r="V17" s="2">
        <v>44161</v>
      </c>
      <c r="Y17" t="s">
        <v>65</v>
      </c>
      <c r="Z17" t="s">
        <v>65</v>
      </c>
      <c r="AA17" t="s">
        <v>66</v>
      </c>
      <c r="AB17" t="s">
        <v>67</v>
      </c>
      <c r="AC17" t="s">
        <v>67</v>
      </c>
      <c r="AD17" t="s">
        <v>68</v>
      </c>
      <c r="AE17" t="s">
        <v>162</v>
      </c>
      <c r="AF17" t="s">
        <v>70</v>
      </c>
      <c r="AG17" t="s">
        <v>71</v>
      </c>
      <c r="AH17" t="s">
        <v>72</v>
      </c>
      <c r="AI17" t="s">
        <v>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2415.1120000000001</v>
      </c>
      <c r="AP17">
        <v>21.934999999999999</v>
      </c>
      <c r="AV17">
        <v>-1</v>
      </c>
    </row>
    <row r="18" spans="1:48" x14ac:dyDescent="0.55000000000000004">
      <c r="A18" t="str">
        <f>HYPERLINK("https://www.infodis.net/philips/net/Shipment/Details?InfodisNumber=4559024&amp;DomainCode=DAP", "4559024")</f>
        <v>4559024</v>
      </c>
      <c r="B18" t="s">
        <v>163</v>
      </c>
      <c r="C18" t="s">
        <v>153</v>
      </c>
      <c r="D18" t="s">
        <v>154</v>
      </c>
      <c r="E18" t="s">
        <v>94</v>
      </c>
      <c r="F18" t="s">
        <v>155</v>
      </c>
      <c r="G18" t="s">
        <v>82</v>
      </c>
      <c r="H18" t="s">
        <v>83</v>
      </c>
      <c r="I18" t="s">
        <v>156</v>
      </c>
      <c r="J18" t="s">
        <v>157</v>
      </c>
      <c r="K18" t="s">
        <v>158</v>
      </c>
      <c r="L18" t="s">
        <v>159</v>
      </c>
      <c r="M18" t="s">
        <v>133</v>
      </c>
      <c r="P18" t="s">
        <v>87</v>
      </c>
      <c r="R18" t="s">
        <v>161</v>
      </c>
      <c r="S18" s="2">
        <v>44152</v>
      </c>
      <c r="T18" s="2">
        <v>44165</v>
      </c>
      <c r="V18" s="2">
        <v>44165</v>
      </c>
      <c r="Y18" t="s">
        <v>65</v>
      </c>
      <c r="Z18" t="s">
        <v>65</v>
      </c>
      <c r="AA18" t="s">
        <v>66</v>
      </c>
      <c r="AB18" t="s">
        <v>67</v>
      </c>
      <c r="AC18" t="s">
        <v>67</v>
      </c>
      <c r="AD18" t="s">
        <v>68</v>
      </c>
      <c r="AE18" t="s">
        <v>162</v>
      </c>
      <c r="AF18" t="s">
        <v>70</v>
      </c>
      <c r="AG18" t="s">
        <v>71</v>
      </c>
      <c r="AH18" t="s">
        <v>72</v>
      </c>
      <c r="AI18" t="s">
        <v>73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5000</v>
      </c>
      <c r="AP18">
        <v>25</v>
      </c>
      <c r="AV18">
        <v>-1</v>
      </c>
    </row>
    <row r="19" spans="1:48" x14ac:dyDescent="0.55000000000000004">
      <c r="A19" t="str">
        <f>HYPERLINK("https://www.infodis.net/philips/net/Shipment/Details?InfodisNumber=4559085&amp;DomainCode=DAP", "4559085")</f>
        <v>4559085</v>
      </c>
      <c r="B19" t="s">
        <v>164</v>
      </c>
      <c r="C19" t="s">
        <v>165</v>
      </c>
      <c r="D19" t="s">
        <v>166</v>
      </c>
      <c r="E19" t="s">
        <v>167</v>
      </c>
      <c r="F19" t="s">
        <v>167</v>
      </c>
      <c r="G19" t="s">
        <v>168</v>
      </c>
      <c r="H19" t="s">
        <v>79</v>
      </c>
      <c r="I19" t="s">
        <v>169</v>
      </c>
      <c r="J19" t="s">
        <v>170</v>
      </c>
      <c r="K19" t="s">
        <v>171</v>
      </c>
      <c r="L19" t="s">
        <v>172</v>
      </c>
      <c r="M19" t="s">
        <v>84</v>
      </c>
      <c r="P19" t="s">
        <v>173</v>
      </c>
      <c r="R19" t="s">
        <v>174</v>
      </c>
      <c r="S19" s="2">
        <v>44152</v>
      </c>
      <c r="T19" s="2">
        <v>44155</v>
      </c>
      <c r="V19" s="2">
        <v>44160</v>
      </c>
      <c r="Y19" t="s">
        <v>175</v>
      </c>
      <c r="Z19" t="s">
        <v>175</v>
      </c>
      <c r="AA19" t="s">
        <v>175</v>
      </c>
      <c r="AB19" t="s">
        <v>67</v>
      </c>
      <c r="AC19" t="s">
        <v>67</v>
      </c>
      <c r="AD19" t="s">
        <v>67</v>
      </c>
      <c r="AE19" t="s">
        <v>162</v>
      </c>
      <c r="AF19" t="s">
        <v>70</v>
      </c>
      <c r="AG19" t="s">
        <v>71</v>
      </c>
      <c r="AH19" t="s">
        <v>72</v>
      </c>
      <c r="AI19" t="s">
        <v>73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2889</v>
      </c>
      <c r="AP19">
        <v>16.3</v>
      </c>
      <c r="AV19">
        <v>-1</v>
      </c>
    </row>
    <row r="20" spans="1:48" x14ac:dyDescent="0.55000000000000004">
      <c r="A20" t="str">
        <f>HYPERLINK("https://www.infodis.net/philips/net/Shipment/Details?InfodisNumber=4558856&amp;DomainCode=DAP", "4558856")</f>
        <v>4558856</v>
      </c>
      <c r="B20" t="s">
        <v>176</v>
      </c>
      <c r="C20" t="s">
        <v>177</v>
      </c>
      <c r="D20" t="s">
        <v>178</v>
      </c>
      <c r="E20" t="s">
        <v>177</v>
      </c>
      <c r="F20" t="s">
        <v>167</v>
      </c>
      <c r="G20" t="s">
        <v>179</v>
      </c>
      <c r="H20" t="s">
        <v>180</v>
      </c>
      <c r="I20" t="s">
        <v>181</v>
      </c>
      <c r="J20" t="s">
        <v>182</v>
      </c>
      <c r="K20" t="s">
        <v>171</v>
      </c>
      <c r="L20" t="s">
        <v>172</v>
      </c>
      <c r="M20" t="s">
        <v>84</v>
      </c>
      <c r="P20" t="s">
        <v>183</v>
      </c>
      <c r="R20" t="s">
        <v>174</v>
      </c>
      <c r="S20" s="2">
        <v>44151</v>
      </c>
      <c r="T20" s="2">
        <v>44152</v>
      </c>
      <c r="U20" s="2">
        <v>44153</v>
      </c>
      <c r="V20" s="2">
        <v>44157</v>
      </c>
      <c r="Y20" t="s">
        <v>89</v>
      </c>
      <c r="Z20" t="s">
        <v>89</v>
      </c>
      <c r="AA20" t="s">
        <v>89</v>
      </c>
      <c r="AB20" t="s">
        <v>67</v>
      </c>
      <c r="AC20" t="s">
        <v>67</v>
      </c>
      <c r="AD20" t="s">
        <v>67</v>
      </c>
      <c r="AE20" t="s">
        <v>162</v>
      </c>
      <c r="AF20" t="s">
        <v>70</v>
      </c>
      <c r="AG20" t="s">
        <v>71</v>
      </c>
      <c r="AH20" t="s">
        <v>72</v>
      </c>
      <c r="AI20" t="s">
        <v>73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877.7</v>
      </c>
      <c r="AP20">
        <v>1.9510000000000001</v>
      </c>
      <c r="AV20">
        <v>-1</v>
      </c>
    </row>
    <row r="21" spans="1:48" x14ac:dyDescent="0.55000000000000004">
      <c r="A21" t="str">
        <f>HYPERLINK("https://www.infodis.net/philips/net/Shipment/Details?InfodisNumber=4559793&amp;DomainCode=DAP", "4559793")</f>
        <v>4559793</v>
      </c>
      <c r="B21" t="s">
        <v>184</v>
      </c>
      <c r="C21" t="s">
        <v>108</v>
      </c>
      <c r="D21" t="s">
        <v>109</v>
      </c>
      <c r="E21" t="s">
        <v>94</v>
      </c>
      <c r="F21" t="s">
        <v>141</v>
      </c>
      <c r="G21" t="s">
        <v>111</v>
      </c>
      <c r="H21" t="s">
        <v>79</v>
      </c>
      <c r="I21" t="s">
        <v>122</v>
      </c>
      <c r="J21" t="s">
        <v>142</v>
      </c>
      <c r="K21" t="s">
        <v>143</v>
      </c>
      <c r="L21" t="s">
        <v>83</v>
      </c>
      <c r="M21" t="s">
        <v>60</v>
      </c>
      <c r="N21" t="s">
        <v>115</v>
      </c>
      <c r="P21" t="s">
        <v>116</v>
      </c>
      <c r="R21" t="s">
        <v>144</v>
      </c>
      <c r="S21" s="2">
        <v>44153</v>
      </c>
      <c r="T21" s="2">
        <v>44195</v>
      </c>
      <c r="V21" s="2">
        <v>44203</v>
      </c>
      <c r="Y21" t="s">
        <v>89</v>
      </c>
      <c r="Z21" t="s">
        <v>105</v>
      </c>
      <c r="AA21" t="s">
        <v>105</v>
      </c>
      <c r="AB21" t="s">
        <v>67</v>
      </c>
      <c r="AC21" t="s">
        <v>67</v>
      </c>
      <c r="AD21" t="s">
        <v>67</v>
      </c>
      <c r="AE21" t="s">
        <v>145</v>
      </c>
      <c r="AF21" t="s">
        <v>70</v>
      </c>
      <c r="AG21" t="s">
        <v>71</v>
      </c>
      <c r="AH21" t="s">
        <v>72</v>
      </c>
      <c r="AI21" t="s">
        <v>73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23400</v>
      </c>
      <c r="AP21">
        <v>194</v>
      </c>
      <c r="AV21">
        <v>-1</v>
      </c>
    </row>
    <row r="22" spans="1:48" x14ac:dyDescent="0.55000000000000004">
      <c r="A22" t="str">
        <f>HYPERLINK("https://www.infodis.net/philips/net/Shipment/Details?InfodisNumber=4559784&amp;DomainCode=DAP", "4559784")</f>
        <v>4559784</v>
      </c>
      <c r="B22" t="s">
        <v>185</v>
      </c>
      <c r="C22" t="s">
        <v>108</v>
      </c>
      <c r="D22" t="s">
        <v>109</v>
      </c>
      <c r="E22" t="s">
        <v>94</v>
      </c>
      <c r="F22" t="s">
        <v>110</v>
      </c>
      <c r="G22" t="s">
        <v>111</v>
      </c>
      <c r="H22" t="s">
        <v>79</v>
      </c>
      <c r="I22" t="s">
        <v>112</v>
      </c>
      <c r="J22" t="s">
        <v>113</v>
      </c>
      <c r="K22" t="s">
        <v>114</v>
      </c>
      <c r="L22" t="s">
        <v>59</v>
      </c>
      <c r="M22" t="s">
        <v>60</v>
      </c>
      <c r="N22" t="s">
        <v>115</v>
      </c>
      <c r="P22" t="s">
        <v>116</v>
      </c>
      <c r="R22" t="s">
        <v>117</v>
      </c>
      <c r="S22" s="2">
        <v>44153</v>
      </c>
      <c r="T22" s="2">
        <v>44195</v>
      </c>
      <c r="V22" s="2">
        <v>44200</v>
      </c>
      <c r="Y22" t="s">
        <v>89</v>
      </c>
      <c r="Z22" t="s">
        <v>138</v>
      </c>
      <c r="AA22" t="s">
        <v>138</v>
      </c>
      <c r="AB22" t="s">
        <v>67</v>
      </c>
      <c r="AC22" t="s">
        <v>67</v>
      </c>
      <c r="AD22" t="s">
        <v>67</v>
      </c>
      <c r="AE22" t="s">
        <v>119</v>
      </c>
      <c r="AF22" t="s">
        <v>70</v>
      </c>
      <c r="AG22" t="s">
        <v>71</v>
      </c>
      <c r="AH22" t="s">
        <v>72</v>
      </c>
      <c r="AI22" t="s">
        <v>73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13000</v>
      </c>
      <c r="AP22">
        <v>116</v>
      </c>
      <c r="AV22">
        <v>-1</v>
      </c>
    </row>
    <row r="23" spans="1:48" x14ac:dyDescent="0.55000000000000004">
      <c r="A23" t="str">
        <f>HYPERLINK("https://www.infodis.net/philips/net/Shipment/Details?InfodisNumber=4559794&amp;DomainCode=DAP", "4559794")</f>
        <v>4559794</v>
      </c>
      <c r="B23" t="s">
        <v>186</v>
      </c>
      <c r="C23" t="s">
        <v>108</v>
      </c>
      <c r="D23" t="s">
        <v>109</v>
      </c>
      <c r="E23" t="s">
        <v>94</v>
      </c>
      <c r="F23" t="s">
        <v>141</v>
      </c>
      <c r="G23" t="s">
        <v>111</v>
      </c>
      <c r="H23" t="s">
        <v>79</v>
      </c>
      <c r="I23" t="s">
        <v>112</v>
      </c>
      <c r="J23" t="s">
        <v>142</v>
      </c>
      <c r="K23" t="s">
        <v>143</v>
      </c>
      <c r="L23" t="s">
        <v>83</v>
      </c>
      <c r="M23" t="s">
        <v>60</v>
      </c>
      <c r="N23" t="s">
        <v>115</v>
      </c>
      <c r="P23" t="s">
        <v>116</v>
      </c>
      <c r="R23" t="s">
        <v>144</v>
      </c>
      <c r="S23" s="2">
        <v>44153</v>
      </c>
      <c r="T23" s="2">
        <v>44195</v>
      </c>
      <c r="V23" s="2">
        <v>44200</v>
      </c>
      <c r="Y23" t="s">
        <v>89</v>
      </c>
      <c r="Z23" t="s">
        <v>118</v>
      </c>
      <c r="AA23" t="s">
        <v>118</v>
      </c>
      <c r="AB23" t="s">
        <v>67</v>
      </c>
      <c r="AC23" t="s">
        <v>67</v>
      </c>
      <c r="AD23" t="s">
        <v>67</v>
      </c>
      <c r="AE23" t="s">
        <v>145</v>
      </c>
      <c r="AF23" t="s">
        <v>70</v>
      </c>
      <c r="AG23" t="s">
        <v>71</v>
      </c>
      <c r="AH23" t="s">
        <v>72</v>
      </c>
      <c r="AI23" t="s">
        <v>73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23400</v>
      </c>
      <c r="AP23">
        <v>194</v>
      </c>
      <c r="AV23">
        <v>-1</v>
      </c>
    </row>
    <row r="24" spans="1:48" x14ac:dyDescent="0.55000000000000004">
      <c r="A24" t="str">
        <f>HYPERLINK("https://www.infodis.net/philips/net/Shipment/Details?InfodisNumber=4559825&amp;DomainCode=DAP", "4559825")</f>
        <v>4559825</v>
      </c>
      <c r="B24" t="s">
        <v>187</v>
      </c>
      <c r="C24" t="s">
        <v>108</v>
      </c>
      <c r="D24" t="s">
        <v>109</v>
      </c>
      <c r="E24" t="s">
        <v>94</v>
      </c>
      <c r="F24" t="s">
        <v>129</v>
      </c>
      <c r="G24" t="s">
        <v>111</v>
      </c>
      <c r="H24" t="s">
        <v>79</v>
      </c>
      <c r="I24" t="s">
        <v>122</v>
      </c>
      <c r="J24" t="s">
        <v>130</v>
      </c>
      <c r="K24" t="s">
        <v>131</v>
      </c>
      <c r="L24" t="s">
        <v>132</v>
      </c>
      <c r="M24" t="s">
        <v>133</v>
      </c>
      <c r="P24" t="s">
        <v>116</v>
      </c>
      <c r="R24" t="s">
        <v>134</v>
      </c>
      <c r="S24" s="2">
        <v>44153</v>
      </c>
      <c r="T24" s="2">
        <v>44195</v>
      </c>
      <c r="V24" s="2">
        <v>44200</v>
      </c>
      <c r="Y24" t="s">
        <v>89</v>
      </c>
      <c r="Z24" t="s">
        <v>138</v>
      </c>
      <c r="AA24" t="s">
        <v>138</v>
      </c>
      <c r="AB24" t="s">
        <v>67</v>
      </c>
      <c r="AC24" t="s">
        <v>67</v>
      </c>
      <c r="AD24" t="s">
        <v>67</v>
      </c>
      <c r="AE24" t="s">
        <v>69</v>
      </c>
      <c r="AF24" t="s">
        <v>70</v>
      </c>
      <c r="AG24" t="s">
        <v>71</v>
      </c>
      <c r="AH24" t="s">
        <v>72</v>
      </c>
      <c r="AI24" t="s">
        <v>73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8900</v>
      </c>
      <c r="AP24">
        <v>68</v>
      </c>
      <c r="AV24">
        <v>-1</v>
      </c>
    </row>
    <row r="25" spans="1:48" x14ac:dyDescent="0.55000000000000004">
      <c r="A25" t="str">
        <f>HYPERLINK("https://www.infodis.net/philips/net/Shipment/Details?InfodisNumber=4560247&amp;DomainCode=DAP", "4560247")</f>
        <v>4560247</v>
      </c>
      <c r="B25" t="s">
        <v>188</v>
      </c>
      <c r="C25" t="s">
        <v>189</v>
      </c>
      <c r="D25" t="s">
        <v>190</v>
      </c>
      <c r="E25" t="s">
        <v>191</v>
      </c>
      <c r="F25" t="s">
        <v>191</v>
      </c>
      <c r="G25" t="s">
        <v>192</v>
      </c>
      <c r="H25" t="s">
        <v>79</v>
      </c>
      <c r="I25" t="s">
        <v>193</v>
      </c>
      <c r="J25" t="s">
        <v>194</v>
      </c>
      <c r="K25" t="s">
        <v>195</v>
      </c>
      <c r="L25" t="s">
        <v>180</v>
      </c>
      <c r="M25" t="s">
        <v>84</v>
      </c>
      <c r="P25" t="s">
        <v>196</v>
      </c>
      <c r="R25" t="s">
        <v>197</v>
      </c>
      <c r="S25" s="2">
        <v>44153</v>
      </c>
      <c r="T25" s="2">
        <v>44169</v>
      </c>
      <c r="V25" s="2">
        <v>44174</v>
      </c>
      <c r="Y25" t="s">
        <v>66</v>
      </c>
      <c r="Z25" t="s">
        <v>65</v>
      </c>
      <c r="AA25" t="s">
        <v>198</v>
      </c>
      <c r="AB25" t="s">
        <v>68</v>
      </c>
      <c r="AC25" t="s">
        <v>67</v>
      </c>
      <c r="AD25" t="s">
        <v>67</v>
      </c>
      <c r="AE25" t="s">
        <v>69</v>
      </c>
      <c r="AF25" t="s">
        <v>70</v>
      </c>
      <c r="AG25" t="s">
        <v>71</v>
      </c>
      <c r="AH25" t="s">
        <v>199</v>
      </c>
      <c r="AI25" t="s">
        <v>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3366</v>
      </c>
      <c r="AP25">
        <v>55</v>
      </c>
      <c r="AV25">
        <v>-1</v>
      </c>
    </row>
    <row r="26" spans="1:48" x14ac:dyDescent="0.55000000000000004">
      <c r="A26" t="str">
        <f>HYPERLINK("https://www.infodis.net/philips/net/Shipment/Details?InfodisNumber=4560269&amp;DomainCode=DAP", "4560269")</f>
        <v>4560269</v>
      </c>
      <c r="B26" t="s">
        <v>200</v>
      </c>
      <c r="C26" t="s">
        <v>201</v>
      </c>
      <c r="D26" t="s">
        <v>202</v>
      </c>
      <c r="E26" t="s">
        <v>94</v>
      </c>
      <c r="F26" t="s">
        <v>203</v>
      </c>
      <c r="G26" t="s">
        <v>204</v>
      </c>
      <c r="H26" t="s">
        <v>79</v>
      </c>
      <c r="I26" t="s">
        <v>112</v>
      </c>
      <c r="J26" t="s">
        <v>205</v>
      </c>
      <c r="K26" t="s">
        <v>206</v>
      </c>
      <c r="L26" t="s">
        <v>207</v>
      </c>
      <c r="M26" t="s">
        <v>60</v>
      </c>
      <c r="N26" t="s">
        <v>115</v>
      </c>
      <c r="P26" t="s">
        <v>208</v>
      </c>
      <c r="R26" t="s">
        <v>209</v>
      </c>
      <c r="S26" s="2">
        <v>44153</v>
      </c>
      <c r="T26" s="2">
        <v>44155</v>
      </c>
      <c r="V26" s="2">
        <v>44160</v>
      </c>
      <c r="Y26" t="s">
        <v>89</v>
      </c>
      <c r="Z26" t="s">
        <v>138</v>
      </c>
      <c r="AA26" t="s">
        <v>210</v>
      </c>
      <c r="AB26" t="s">
        <v>67</v>
      </c>
      <c r="AC26" t="s">
        <v>67</v>
      </c>
      <c r="AD26" t="s">
        <v>67</v>
      </c>
      <c r="AE26" t="s">
        <v>136</v>
      </c>
      <c r="AF26" t="s">
        <v>70</v>
      </c>
      <c r="AG26" t="s">
        <v>71</v>
      </c>
      <c r="AH26" t="s">
        <v>72</v>
      </c>
      <c r="AI26" t="s">
        <v>73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17776</v>
      </c>
      <c r="AP26">
        <v>136</v>
      </c>
      <c r="AV26">
        <v>-1</v>
      </c>
    </row>
    <row r="27" spans="1:48" x14ac:dyDescent="0.55000000000000004">
      <c r="A27" t="str">
        <f>HYPERLINK("https://www.infodis.net/philips/net/Shipment/Details?InfodisNumber=4560338&amp;DomainCode=DAP", "4560338")</f>
        <v>4560338</v>
      </c>
      <c r="B27" t="s">
        <v>211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55</v>
      </c>
      <c r="I27" t="s">
        <v>217</v>
      </c>
      <c r="J27" t="s">
        <v>218</v>
      </c>
      <c r="K27" t="s">
        <v>219</v>
      </c>
      <c r="L27" t="s">
        <v>180</v>
      </c>
      <c r="M27" t="s">
        <v>60</v>
      </c>
      <c r="N27" t="s">
        <v>220</v>
      </c>
      <c r="O27" t="s">
        <v>221</v>
      </c>
      <c r="P27" t="s">
        <v>222</v>
      </c>
      <c r="R27" t="s">
        <v>223</v>
      </c>
      <c r="S27" s="2">
        <v>44153</v>
      </c>
      <c r="T27" s="2">
        <v>44158</v>
      </c>
      <c r="U27" s="2">
        <v>44158</v>
      </c>
      <c r="V27" s="2">
        <v>44161</v>
      </c>
      <c r="Y27" t="s">
        <v>65</v>
      </c>
      <c r="Z27" t="s">
        <v>65</v>
      </c>
      <c r="AA27" t="s">
        <v>65</v>
      </c>
      <c r="AB27" t="s">
        <v>67</v>
      </c>
      <c r="AC27" t="s">
        <v>67</v>
      </c>
      <c r="AD27" t="s">
        <v>67</v>
      </c>
      <c r="AE27" t="s">
        <v>69</v>
      </c>
      <c r="AF27" t="s">
        <v>70</v>
      </c>
      <c r="AG27" t="s">
        <v>71</v>
      </c>
      <c r="AH27" t="s">
        <v>72</v>
      </c>
      <c r="AI27" t="s">
        <v>73</v>
      </c>
      <c r="AJ27">
        <v>0</v>
      </c>
      <c r="AK27">
        <v>0</v>
      </c>
      <c r="AL27">
        <v>0</v>
      </c>
      <c r="AM27">
        <v>0</v>
      </c>
      <c r="AN27">
        <v>30</v>
      </c>
      <c r="AO27">
        <v>3463.7959999999998</v>
      </c>
      <c r="AP27">
        <v>31.277000000000001</v>
      </c>
      <c r="AV27">
        <v>-1</v>
      </c>
    </row>
    <row r="28" spans="1:48" x14ac:dyDescent="0.55000000000000004">
      <c r="A28" t="str">
        <f>HYPERLINK("https://www.infodis.net/philips/net/Shipment/Details?InfodisNumber=4560550&amp;DomainCode=DAP", "4560550")</f>
        <v>4560550</v>
      </c>
      <c r="B28" t="s">
        <v>224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231</v>
      </c>
      <c r="J28" t="s">
        <v>232</v>
      </c>
      <c r="K28" t="s">
        <v>233</v>
      </c>
      <c r="L28" t="s">
        <v>234</v>
      </c>
      <c r="M28" t="s">
        <v>60</v>
      </c>
      <c r="P28" t="s">
        <v>235</v>
      </c>
      <c r="R28" t="s">
        <v>236</v>
      </c>
      <c r="S28" s="2">
        <v>44153</v>
      </c>
      <c r="T28" s="2">
        <v>44162</v>
      </c>
      <c r="V28" s="2">
        <v>44176</v>
      </c>
      <c r="Y28" t="s">
        <v>237</v>
      </c>
      <c r="Z28" t="s">
        <v>238</v>
      </c>
      <c r="AA28" t="s">
        <v>66</v>
      </c>
      <c r="AB28" t="s">
        <v>67</v>
      </c>
      <c r="AC28" t="s">
        <v>67</v>
      </c>
      <c r="AD28" t="s">
        <v>68</v>
      </c>
      <c r="AE28" t="s">
        <v>69</v>
      </c>
      <c r="AF28" t="s">
        <v>70</v>
      </c>
      <c r="AG28" t="s">
        <v>71</v>
      </c>
      <c r="AH28" t="s">
        <v>72</v>
      </c>
      <c r="AI28" t="s">
        <v>73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3000</v>
      </c>
      <c r="AP28">
        <v>60</v>
      </c>
      <c r="AV28">
        <v>-1</v>
      </c>
    </row>
    <row r="29" spans="1:48" x14ac:dyDescent="0.55000000000000004">
      <c r="A29" t="str">
        <f>HYPERLINK("https://www.infodis.net/philips/net/Shipment/Details?InfodisNumber=6992794&amp;DomainCode=PHILIPSR1", "6992794")</f>
        <v>6992794</v>
      </c>
      <c r="B29" t="s">
        <v>239</v>
      </c>
      <c r="C29" t="s">
        <v>240</v>
      </c>
      <c r="D29" t="s">
        <v>241</v>
      </c>
      <c r="E29" t="s">
        <v>240</v>
      </c>
      <c r="F29" t="s">
        <v>242</v>
      </c>
      <c r="G29" t="s">
        <v>243</v>
      </c>
      <c r="H29" t="s">
        <v>244</v>
      </c>
      <c r="I29" t="s">
        <v>245</v>
      </c>
      <c r="J29" t="s">
        <v>246</v>
      </c>
      <c r="K29" t="s">
        <v>247</v>
      </c>
      <c r="L29" t="s">
        <v>180</v>
      </c>
      <c r="M29" t="s">
        <v>84</v>
      </c>
      <c r="N29" t="s">
        <v>248</v>
      </c>
      <c r="O29" t="s">
        <v>249</v>
      </c>
      <c r="P29" t="s">
        <v>250</v>
      </c>
      <c r="R29" t="s">
        <v>251</v>
      </c>
      <c r="S29" s="2">
        <v>44153</v>
      </c>
      <c r="T29" s="2">
        <v>44161</v>
      </c>
      <c r="V29" s="2">
        <v>44164</v>
      </c>
      <c r="Y29" t="s">
        <v>65</v>
      </c>
      <c r="Z29" t="s">
        <v>65</v>
      </c>
      <c r="AA29" t="s">
        <v>65</v>
      </c>
      <c r="AB29" t="s">
        <v>67</v>
      </c>
      <c r="AC29" t="s">
        <v>67</v>
      </c>
      <c r="AD29" t="s">
        <v>67</v>
      </c>
      <c r="AE29" t="s">
        <v>90</v>
      </c>
      <c r="AF29" t="s">
        <v>70</v>
      </c>
      <c r="AG29" t="s">
        <v>71</v>
      </c>
      <c r="AH29" t="s">
        <v>72</v>
      </c>
      <c r="AI29" t="s">
        <v>252</v>
      </c>
      <c r="AJ29">
        <v>0</v>
      </c>
      <c r="AK29">
        <v>0</v>
      </c>
      <c r="AL29">
        <v>0</v>
      </c>
      <c r="AM29">
        <v>0</v>
      </c>
      <c r="AN29">
        <v>18</v>
      </c>
      <c r="AO29">
        <v>1630</v>
      </c>
      <c r="AP29">
        <v>40</v>
      </c>
      <c r="AV29">
        <v>-1</v>
      </c>
    </row>
    <row r="30" spans="1:48" x14ac:dyDescent="0.55000000000000004">
      <c r="A30" t="str">
        <f>HYPERLINK("https://www.infodis.net/philips/net/Shipment/Details?InfodisNumber=4560664&amp;DomainCode=DAP", "4560664")</f>
        <v>4560664</v>
      </c>
      <c r="B30" t="s">
        <v>253</v>
      </c>
      <c r="C30" t="s">
        <v>254</v>
      </c>
      <c r="D30" t="s">
        <v>255</v>
      </c>
      <c r="E30" t="s">
        <v>254</v>
      </c>
      <c r="F30" t="s">
        <v>256</v>
      </c>
      <c r="G30" t="s">
        <v>192</v>
      </c>
      <c r="H30" t="s">
        <v>79</v>
      </c>
      <c r="I30" t="s">
        <v>257</v>
      </c>
      <c r="J30" t="s">
        <v>258</v>
      </c>
      <c r="K30" t="s">
        <v>259</v>
      </c>
      <c r="L30" t="s">
        <v>260</v>
      </c>
      <c r="M30" t="s">
        <v>261</v>
      </c>
      <c r="P30" t="s">
        <v>196</v>
      </c>
      <c r="R30" t="s">
        <v>262</v>
      </c>
      <c r="S30" s="2">
        <v>44154</v>
      </c>
      <c r="T30" s="2">
        <v>44178</v>
      </c>
      <c r="V30" s="2">
        <v>44179</v>
      </c>
      <c r="Y30" t="s">
        <v>65</v>
      </c>
      <c r="Z30" t="s">
        <v>65</v>
      </c>
      <c r="AA30" t="s">
        <v>65</v>
      </c>
      <c r="AB30" t="s">
        <v>67</v>
      </c>
      <c r="AC30" t="s">
        <v>67</v>
      </c>
      <c r="AD30" t="s">
        <v>67</v>
      </c>
      <c r="AE30" t="s">
        <v>90</v>
      </c>
      <c r="AF30" t="s">
        <v>70</v>
      </c>
      <c r="AG30" t="s">
        <v>71</v>
      </c>
      <c r="AH30" t="s">
        <v>72</v>
      </c>
      <c r="AI30" t="s">
        <v>73</v>
      </c>
      <c r="AJ30">
        <v>0</v>
      </c>
      <c r="AK30">
        <v>0</v>
      </c>
      <c r="AL30">
        <v>0</v>
      </c>
      <c r="AM30">
        <v>0</v>
      </c>
      <c r="AN30">
        <v>17</v>
      </c>
      <c r="AO30">
        <v>1932.95</v>
      </c>
      <c r="AP30">
        <v>16.417999999999999</v>
      </c>
      <c r="AV30">
        <v>-1</v>
      </c>
    </row>
    <row r="31" spans="1:48" x14ac:dyDescent="0.55000000000000004">
      <c r="A31" t="str">
        <f>HYPERLINK("https://www.infodis.net/philips/net/Shipment/Details?InfodisNumber=4560733&amp;DomainCode=DAP", "4560733")</f>
        <v>4560733</v>
      </c>
      <c r="B31" t="s">
        <v>263</v>
      </c>
      <c r="C31" t="s">
        <v>264</v>
      </c>
      <c r="D31" t="s">
        <v>265</v>
      </c>
      <c r="E31" t="s">
        <v>94</v>
      </c>
      <c r="F31" t="s">
        <v>191</v>
      </c>
      <c r="G31" t="s">
        <v>266</v>
      </c>
      <c r="H31" t="s">
        <v>267</v>
      </c>
      <c r="I31" t="s">
        <v>268</v>
      </c>
      <c r="J31" t="s">
        <v>246</v>
      </c>
      <c r="K31" t="s">
        <v>269</v>
      </c>
      <c r="L31" t="s">
        <v>180</v>
      </c>
      <c r="M31" t="s">
        <v>60</v>
      </c>
      <c r="O31" t="s">
        <v>270</v>
      </c>
      <c r="P31" t="s">
        <v>268</v>
      </c>
      <c r="R31" t="s">
        <v>271</v>
      </c>
      <c r="S31" s="2">
        <v>44154</v>
      </c>
      <c r="T31" s="2">
        <v>44153</v>
      </c>
      <c r="U31" s="2">
        <v>44153</v>
      </c>
      <c r="V31" s="2">
        <v>44158</v>
      </c>
      <c r="W31" s="2">
        <v>44160</v>
      </c>
      <c r="Y31" t="s">
        <v>272</v>
      </c>
      <c r="Z31" t="s">
        <v>273</v>
      </c>
      <c r="AA31" t="s">
        <v>198</v>
      </c>
      <c r="AB31" t="s">
        <v>67</v>
      </c>
      <c r="AC31" t="s">
        <v>67</v>
      </c>
      <c r="AD31" t="s">
        <v>67</v>
      </c>
      <c r="AE31" t="s">
        <v>90</v>
      </c>
      <c r="AF31" t="s">
        <v>70</v>
      </c>
      <c r="AG31" t="s">
        <v>71</v>
      </c>
      <c r="AH31" t="s">
        <v>72</v>
      </c>
      <c r="AI31" t="s">
        <v>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15833</v>
      </c>
      <c r="AP31">
        <v>51.133000000000003</v>
      </c>
      <c r="AV31">
        <v>-1</v>
      </c>
    </row>
    <row r="32" spans="1:48" x14ac:dyDescent="0.55000000000000004">
      <c r="A32" t="str">
        <f>HYPERLINK("https://www.infodis.net/philips/net/Shipment/Details?InfodisNumber=4560747&amp;DomainCode=DAP", "4560747")</f>
        <v>4560747</v>
      </c>
      <c r="B32" t="s">
        <v>274</v>
      </c>
      <c r="C32" t="s">
        <v>264</v>
      </c>
      <c r="D32" t="s">
        <v>265</v>
      </c>
      <c r="E32" t="s">
        <v>94</v>
      </c>
      <c r="F32" t="s">
        <v>191</v>
      </c>
      <c r="G32" t="s">
        <v>266</v>
      </c>
      <c r="H32" t="s">
        <v>267</v>
      </c>
      <c r="I32" t="s">
        <v>268</v>
      </c>
      <c r="J32" t="s">
        <v>246</v>
      </c>
      <c r="K32" t="s">
        <v>195</v>
      </c>
      <c r="L32" t="s">
        <v>180</v>
      </c>
      <c r="M32" t="s">
        <v>60</v>
      </c>
      <c r="O32" t="s">
        <v>275</v>
      </c>
      <c r="P32" t="s">
        <v>268</v>
      </c>
      <c r="R32" t="s">
        <v>197</v>
      </c>
      <c r="S32" s="2">
        <v>44154</v>
      </c>
      <c r="T32" s="2">
        <v>44153</v>
      </c>
      <c r="U32" s="2">
        <v>44153</v>
      </c>
      <c r="V32" s="2">
        <v>44158</v>
      </c>
      <c r="W32" s="2">
        <v>44160</v>
      </c>
      <c r="Y32" t="s">
        <v>272</v>
      </c>
      <c r="Z32" t="s">
        <v>273</v>
      </c>
      <c r="AA32" t="s">
        <v>198</v>
      </c>
      <c r="AB32" t="s">
        <v>67</v>
      </c>
      <c r="AC32" t="s">
        <v>67</v>
      </c>
      <c r="AD32" t="s">
        <v>67</v>
      </c>
      <c r="AE32" t="s">
        <v>276</v>
      </c>
      <c r="AF32" t="s">
        <v>70</v>
      </c>
      <c r="AG32" t="s">
        <v>71</v>
      </c>
      <c r="AH32" t="s">
        <v>199</v>
      </c>
      <c r="AI32" t="s">
        <v>73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39710</v>
      </c>
      <c r="AP32">
        <v>175.732</v>
      </c>
      <c r="AV32">
        <v>-1</v>
      </c>
    </row>
    <row r="33" spans="1:48" x14ac:dyDescent="0.55000000000000004">
      <c r="A33" t="str">
        <f>HYPERLINK("https://www.infodis.net/philips/net/Shipment/Details?InfodisNumber=4560905&amp;DomainCode=DAP", "4560905")</f>
        <v>4560905</v>
      </c>
      <c r="B33" t="s">
        <v>277</v>
      </c>
      <c r="C33" t="s">
        <v>278</v>
      </c>
      <c r="D33" t="s">
        <v>279</v>
      </c>
      <c r="E33" t="s">
        <v>278</v>
      </c>
      <c r="F33" t="s">
        <v>280</v>
      </c>
      <c r="G33" t="s">
        <v>281</v>
      </c>
      <c r="H33" t="s">
        <v>79</v>
      </c>
      <c r="I33" t="s">
        <v>282</v>
      </c>
      <c r="J33" t="s">
        <v>283</v>
      </c>
      <c r="K33" t="s">
        <v>284</v>
      </c>
      <c r="L33" t="s">
        <v>285</v>
      </c>
      <c r="M33" t="s">
        <v>261</v>
      </c>
      <c r="P33" t="s">
        <v>286</v>
      </c>
      <c r="R33" t="s">
        <v>287</v>
      </c>
      <c r="S33" s="2">
        <v>44154</v>
      </c>
      <c r="T33" s="2">
        <v>44159</v>
      </c>
      <c r="V33" s="2">
        <v>44164</v>
      </c>
      <c r="Y33" t="s">
        <v>66</v>
      </c>
      <c r="Z33" t="s">
        <v>273</v>
      </c>
      <c r="AA33" t="s">
        <v>273</v>
      </c>
      <c r="AB33" t="s">
        <v>68</v>
      </c>
      <c r="AC33" t="s">
        <v>67</v>
      </c>
      <c r="AD33" t="s">
        <v>67</v>
      </c>
      <c r="AE33" t="s">
        <v>162</v>
      </c>
      <c r="AF33" t="s">
        <v>70</v>
      </c>
      <c r="AG33" t="s">
        <v>71</v>
      </c>
      <c r="AH33" t="s">
        <v>72</v>
      </c>
      <c r="AI33" t="s">
        <v>73</v>
      </c>
      <c r="AJ33">
        <v>0</v>
      </c>
      <c r="AK33">
        <v>0</v>
      </c>
      <c r="AL33">
        <v>0</v>
      </c>
      <c r="AM33">
        <v>0</v>
      </c>
      <c r="AN33">
        <v>25</v>
      </c>
      <c r="AO33">
        <v>50000</v>
      </c>
      <c r="AP33">
        <v>25</v>
      </c>
      <c r="AV33">
        <v>-1</v>
      </c>
    </row>
    <row r="34" spans="1:48" x14ac:dyDescent="0.55000000000000004">
      <c r="A34" t="str">
        <f>HYPERLINK("https://www.infodis.net/philips/net/Shipment/Details?InfodisNumber=4503723&amp;DomainCode=DAP", "4503723")</f>
        <v>4503723</v>
      </c>
      <c r="B34" t="s">
        <v>288</v>
      </c>
      <c r="C34" t="s">
        <v>289</v>
      </c>
      <c r="D34" t="s">
        <v>290</v>
      </c>
      <c r="E34" t="s">
        <v>289</v>
      </c>
      <c r="F34" t="s">
        <v>291</v>
      </c>
      <c r="G34" t="s">
        <v>292</v>
      </c>
      <c r="H34" t="s">
        <v>207</v>
      </c>
      <c r="I34" t="s">
        <v>293</v>
      </c>
      <c r="J34" t="s">
        <v>294</v>
      </c>
      <c r="K34" t="s">
        <v>295</v>
      </c>
      <c r="L34" t="s">
        <v>296</v>
      </c>
      <c r="M34" t="s">
        <v>84</v>
      </c>
      <c r="N34" t="s">
        <v>297</v>
      </c>
      <c r="O34" t="s">
        <v>298</v>
      </c>
      <c r="P34" t="s">
        <v>299</v>
      </c>
      <c r="R34" t="s">
        <v>300</v>
      </c>
      <c r="S34" s="2">
        <v>44076</v>
      </c>
      <c r="T34" s="2">
        <v>44161</v>
      </c>
      <c r="V34" s="2">
        <v>44163</v>
      </c>
      <c r="W34" s="2">
        <v>44110</v>
      </c>
      <c r="X34" s="2">
        <v>44153</v>
      </c>
      <c r="Y34" t="s">
        <v>65</v>
      </c>
      <c r="Z34" t="s">
        <v>65</v>
      </c>
      <c r="AA34" t="s">
        <v>65</v>
      </c>
      <c r="AB34" t="s">
        <v>67</v>
      </c>
      <c r="AC34" t="s">
        <v>67</v>
      </c>
      <c r="AD34" t="s">
        <v>67</v>
      </c>
      <c r="AE34" t="s">
        <v>90</v>
      </c>
      <c r="AF34" t="s">
        <v>70</v>
      </c>
      <c r="AG34" t="s">
        <v>71</v>
      </c>
      <c r="AH34" t="s">
        <v>72</v>
      </c>
      <c r="AI34" t="s">
        <v>73</v>
      </c>
      <c r="AJ34">
        <v>0</v>
      </c>
      <c r="AK34">
        <v>0</v>
      </c>
      <c r="AL34">
        <v>0</v>
      </c>
      <c r="AM34">
        <v>0</v>
      </c>
      <c r="AN34">
        <v>22</v>
      </c>
      <c r="AO34">
        <v>4792</v>
      </c>
      <c r="AP34">
        <v>67.2</v>
      </c>
      <c r="AV34">
        <v>-1</v>
      </c>
    </row>
    <row r="35" spans="1:48" x14ac:dyDescent="0.55000000000000004">
      <c r="A35" t="str">
        <f>HYPERLINK("https://www.infodis.net/philips/net/Shipment/Details?InfodisNumber=4507150&amp;DomainCode=DAP", "4507150")</f>
        <v>4507150</v>
      </c>
      <c r="B35" t="s">
        <v>301</v>
      </c>
      <c r="C35" t="s">
        <v>302</v>
      </c>
      <c r="D35" t="s">
        <v>303</v>
      </c>
      <c r="E35" t="s">
        <v>304</v>
      </c>
      <c r="F35" t="s">
        <v>305</v>
      </c>
      <c r="G35" t="s">
        <v>306</v>
      </c>
      <c r="H35" t="s">
        <v>307</v>
      </c>
      <c r="I35" t="s">
        <v>245</v>
      </c>
      <c r="J35" t="s">
        <v>218</v>
      </c>
      <c r="K35" t="s">
        <v>308</v>
      </c>
      <c r="L35" t="s">
        <v>180</v>
      </c>
      <c r="M35" t="s">
        <v>309</v>
      </c>
      <c r="N35" t="s">
        <v>310</v>
      </c>
      <c r="O35" t="s">
        <v>311</v>
      </c>
      <c r="P35" t="s">
        <v>312</v>
      </c>
      <c r="R35" t="s">
        <v>313</v>
      </c>
      <c r="S35" s="2">
        <v>44078</v>
      </c>
      <c r="T35" s="2">
        <v>44083</v>
      </c>
      <c r="V35" s="2">
        <v>44094</v>
      </c>
      <c r="W35" s="2">
        <v>44094</v>
      </c>
      <c r="Y35" t="s">
        <v>65</v>
      </c>
      <c r="Z35" t="s">
        <v>65</v>
      </c>
      <c r="AA35" t="s">
        <v>198</v>
      </c>
      <c r="AB35" t="s">
        <v>67</v>
      </c>
      <c r="AC35" t="s">
        <v>67</v>
      </c>
      <c r="AD35" t="s">
        <v>67</v>
      </c>
      <c r="AE35" t="s">
        <v>90</v>
      </c>
      <c r="AF35" t="s">
        <v>70</v>
      </c>
      <c r="AG35" t="s">
        <v>71</v>
      </c>
      <c r="AH35" t="s">
        <v>199</v>
      </c>
      <c r="AI35" t="s">
        <v>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4528.6400000000003</v>
      </c>
      <c r="AP35">
        <v>42.24</v>
      </c>
      <c r="AV35">
        <v>-1</v>
      </c>
    </row>
    <row r="36" spans="1:48" x14ac:dyDescent="0.55000000000000004">
      <c r="A36" t="str">
        <f>HYPERLINK("https://www.infodis.net/philips/net/Shipment/Details?InfodisNumber=4512468&amp;DomainCode=DAP", "4512468")</f>
        <v>4512468</v>
      </c>
      <c r="B36" t="s">
        <v>314</v>
      </c>
      <c r="C36" t="s">
        <v>289</v>
      </c>
      <c r="D36" t="s">
        <v>290</v>
      </c>
      <c r="E36" t="s">
        <v>289</v>
      </c>
      <c r="F36" t="s">
        <v>291</v>
      </c>
      <c r="G36" t="s">
        <v>292</v>
      </c>
      <c r="H36" t="s">
        <v>207</v>
      </c>
      <c r="I36" t="s">
        <v>293</v>
      </c>
      <c r="J36" t="s">
        <v>294</v>
      </c>
      <c r="K36" t="s">
        <v>295</v>
      </c>
      <c r="L36" t="s">
        <v>296</v>
      </c>
      <c r="M36" t="s">
        <v>84</v>
      </c>
      <c r="N36" t="s">
        <v>315</v>
      </c>
      <c r="O36" t="s">
        <v>316</v>
      </c>
      <c r="P36" t="s">
        <v>299</v>
      </c>
      <c r="R36" t="s">
        <v>300</v>
      </c>
      <c r="S36" s="2">
        <v>44088</v>
      </c>
      <c r="T36" s="2">
        <v>44161</v>
      </c>
      <c r="V36" s="2">
        <v>44163</v>
      </c>
      <c r="W36" s="2">
        <v>44131</v>
      </c>
      <c r="Y36" t="s">
        <v>65</v>
      </c>
      <c r="Z36" t="s">
        <v>65</v>
      </c>
      <c r="AA36" t="s">
        <v>65</v>
      </c>
      <c r="AB36" t="s">
        <v>67</v>
      </c>
      <c r="AC36" t="s">
        <v>67</v>
      </c>
      <c r="AD36" t="s">
        <v>67</v>
      </c>
      <c r="AE36" t="s">
        <v>162</v>
      </c>
      <c r="AF36" t="s">
        <v>70</v>
      </c>
      <c r="AG36" t="s">
        <v>71</v>
      </c>
      <c r="AH36" t="s">
        <v>72</v>
      </c>
      <c r="AI36" t="s">
        <v>73</v>
      </c>
      <c r="AJ36">
        <v>0</v>
      </c>
      <c r="AK36">
        <v>0</v>
      </c>
      <c r="AL36">
        <v>0</v>
      </c>
      <c r="AM36">
        <v>0</v>
      </c>
      <c r="AN36">
        <v>11</v>
      </c>
      <c r="AO36">
        <v>1512</v>
      </c>
      <c r="AP36">
        <v>33.1</v>
      </c>
      <c r="AV36">
        <v>-1</v>
      </c>
    </row>
    <row r="37" spans="1:48" x14ac:dyDescent="0.55000000000000004">
      <c r="A37" t="str">
        <f>HYPERLINK("https://www.infodis.net/philips/net/Shipment/Details?InfodisNumber=4561123&amp;DomainCode=DAP", "4561123")</f>
        <v>4561123</v>
      </c>
      <c r="B37" t="s">
        <v>317</v>
      </c>
      <c r="C37" t="s">
        <v>318</v>
      </c>
      <c r="D37" t="s">
        <v>319</v>
      </c>
      <c r="E37" t="s">
        <v>240</v>
      </c>
      <c r="F37" t="s">
        <v>77</v>
      </c>
      <c r="G37" t="s">
        <v>320</v>
      </c>
      <c r="H37" t="s">
        <v>321</v>
      </c>
      <c r="I37" t="s">
        <v>322</v>
      </c>
      <c r="J37" t="s">
        <v>156</v>
      </c>
      <c r="K37" t="s">
        <v>82</v>
      </c>
      <c r="L37" t="s">
        <v>83</v>
      </c>
      <c r="M37" t="s">
        <v>84</v>
      </c>
      <c r="N37" t="s">
        <v>115</v>
      </c>
      <c r="P37" t="s">
        <v>323</v>
      </c>
      <c r="R37" t="s">
        <v>87</v>
      </c>
      <c r="S37" s="2">
        <v>44154</v>
      </c>
      <c r="T37" s="2">
        <v>44162</v>
      </c>
      <c r="V37" s="2">
        <v>44167</v>
      </c>
      <c r="Y37" t="s">
        <v>65</v>
      </c>
      <c r="Z37" t="s">
        <v>65</v>
      </c>
      <c r="AA37" t="s">
        <v>65</v>
      </c>
      <c r="AB37" t="s">
        <v>67</v>
      </c>
      <c r="AC37" t="s">
        <v>67</v>
      </c>
      <c r="AD37" t="s">
        <v>67</v>
      </c>
      <c r="AE37" t="s">
        <v>119</v>
      </c>
      <c r="AF37" t="s">
        <v>70</v>
      </c>
      <c r="AG37" t="s">
        <v>71</v>
      </c>
      <c r="AH37" t="s">
        <v>72</v>
      </c>
      <c r="AI37" t="s">
        <v>73</v>
      </c>
      <c r="AJ37">
        <v>0</v>
      </c>
      <c r="AK37">
        <v>0</v>
      </c>
      <c r="AL37">
        <v>0</v>
      </c>
      <c r="AM37">
        <v>0</v>
      </c>
      <c r="AN37">
        <v>36</v>
      </c>
      <c r="AO37">
        <v>50638</v>
      </c>
      <c r="AP37">
        <v>134</v>
      </c>
      <c r="AV37">
        <v>-1</v>
      </c>
    </row>
    <row r="38" spans="1:48" x14ac:dyDescent="0.55000000000000004">
      <c r="A38" t="str">
        <f>HYPERLINK("https://www.infodis.net/philips/net/Shipment/Details?InfodisNumber=4561144&amp;DomainCode=DAP", "4561144")</f>
        <v>4561144</v>
      </c>
      <c r="B38" t="s">
        <v>324</v>
      </c>
      <c r="C38" t="s">
        <v>302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 t="s">
        <v>245</v>
      </c>
      <c r="J38" t="s">
        <v>218</v>
      </c>
      <c r="K38" t="s">
        <v>308</v>
      </c>
      <c r="L38" t="s">
        <v>180</v>
      </c>
      <c r="M38" t="s">
        <v>60</v>
      </c>
      <c r="N38" t="s">
        <v>325</v>
      </c>
      <c r="O38" t="s">
        <v>326</v>
      </c>
      <c r="P38" t="s">
        <v>312</v>
      </c>
      <c r="R38" t="s">
        <v>313</v>
      </c>
      <c r="S38" s="2">
        <v>44154</v>
      </c>
      <c r="T38" s="2">
        <v>44159</v>
      </c>
      <c r="V38" s="2">
        <v>44166</v>
      </c>
      <c r="Y38" t="s">
        <v>65</v>
      </c>
      <c r="Z38" t="s">
        <v>65</v>
      </c>
      <c r="AA38" t="s">
        <v>198</v>
      </c>
      <c r="AB38" t="s">
        <v>67</v>
      </c>
      <c r="AC38" t="s">
        <v>67</v>
      </c>
      <c r="AD38" t="s">
        <v>67</v>
      </c>
      <c r="AE38" t="s">
        <v>90</v>
      </c>
      <c r="AF38" t="s">
        <v>70</v>
      </c>
      <c r="AG38" t="s">
        <v>71</v>
      </c>
      <c r="AH38" t="s">
        <v>72</v>
      </c>
      <c r="AI38" t="s">
        <v>73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3955.35</v>
      </c>
      <c r="AP38">
        <v>38.9</v>
      </c>
      <c r="AV38">
        <v>-1</v>
      </c>
    </row>
    <row r="39" spans="1:48" x14ac:dyDescent="0.55000000000000004">
      <c r="A39" t="str">
        <f>HYPERLINK("https://www.infodis.net/philips/net/Shipment/Details?InfodisNumber=4561146&amp;DomainCode=DAP", "4561146")</f>
        <v>4561146</v>
      </c>
      <c r="B39" t="s">
        <v>327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245</v>
      </c>
      <c r="J39" t="s">
        <v>218</v>
      </c>
      <c r="K39" t="s">
        <v>219</v>
      </c>
      <c r="L39" t="s">
        <v>180</v>
      </c>
      <c r="M39" t="s">
        <v>60</v>
      </c>
      <c r="N39" t="s">
        <v>328</v>
      </c>
      <c r="P39" t="s">
        <v>312</v>
      </c>
      <c r="R39" t="s">
        <v>223</v>
      </c>
      <c r="S39" s="2">
        <v>44154</v>
      </c>
      <c r="T39" s="2">
        <v>44158</v>
      </c>
      <c r="V39" s="2">
        <v>44166</v>
      </c>
      <c r="Y39" t="s">
        <v>65</v>
      </c>
      <c r="Z39" t="s">
        <v>65</v>
      </c>
      <c r="AA39" t="s">
        <v>198</v>
      </c>
      <c r="AB39" t="s">
        <v>67</v>
      </c>
      <c r="AC39" t="s">
        <v>67</v>
      </c>
      <c r="AD39" t="s">
        <v>67</v>
      </c>
      <c r="AE39" t="s">
        <v>90</v>
      </c>
      <c r="AF39" t="s">
        <v>70</v>
      </c>
      <c r="AG39" t="s">
        <v>71</v>
      </c>
      <c r="AH39" t="s">
        <v>72</v>
      </c>
      <c r="AI39" t="s">
        <v>73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4838.6139999999996</v>
      </c>
      <c r="AP39">
        <v>46.463999999999999</v>
      </c>
      <c r="AV39">
        <v>-1</v>
      </c>
    </row>
    <row r="40" spans="1:48" x14ac:dyDescent="0.55000000000000004">
      <c r="A40" t="str">
        <f>HYPERLINK("https://www.infodis.net/philips/net/Shipment/Details?InfodisNumber=4561152&amp;DomainCode=DAP", "4561152")</f>
        <v>4561152</v>
      </c>
      <c r="B40" t="s">
        <v>329</v>
      </c>
      <c r="C40" t="s">
        <v>302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245</v>
      </c>
      <c r="J40" t="s">
        <v>218</v>
      </c>
      <c r="K40" t="s">
        <v>219</v>
      </c>
      <c r="L40" t="s">
        <v>180</v>
      </c>
      <c r="M40" t="s">
        <v>309</v>
      </c>
      <c r="N40" t="s">
        <v>330</v>
      </c>
      <c r="O40" t="s">
        <v>331</v>
      </c>
      <c r="P40" t="s">
        <v>312</v>
      </c>
      <c r="R40" t="s">
        <v>223</v>
      </c>
      <c r="S40" s="2">
        <v>44154</v>
      </c>
      <c r="T40" s="2">
        <v>44158</v>
      </c>
      <c r="V40" s="2">
        <v>44166</v>
      </c>
      <c r="Y40" t="s">
        <v>65</v>
      </c>
      <c r="Z40" t="s">
        <v>65</v>
      </c>
      <c r="AA40" t="s">
        <v>198</v>
      </c>
      <c r="AB40" t="s">
        <v>67</v>
      </c>
      <c r="AC40" t="s">
        <v>67</v>
      </c>
      <c r="AD40" t="s">
        <v>67</v>
      </c>
      <c r="AE40" t="s">
        <v>90</v>
      </c>
      <c r="AF40" t="s">
        <v>70</v>
      </c>
      <c r="AG40" t="s">
        <v>71</v>
      </c>
      <c r="AH40" t="s">
        <v>72</v>
      </c>
      <c r="AI40" t="s">
        <v>73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4955.8890000000001</v>
      </c>
      <c r="AP40">
        <v>46.463999999999999</v>
      </c>
      <c r="AV40">
        <v>-1</v>
      </c>
    </row>
    <row r="41" spans="1:48" x14ac:dyDescent="0.55000000000000004">
      <c r="A41" t="str">
        <f>HYPERLINK("https://www.infodis.net/philips/net/Shipment/Details?InfodisNumber=4561158&amp;DomainCode=DAP", "4561158")</f>
        <v>4561158</v>
      </c>
      <c r="B41" t="s">
        <v>332</v>
      </c>
      <c r="C41" t="s">
        <v>302</v>
      </c>
      <c r="D41" t="s">
        <v>303</v>
      </c>
      <c r="E41" t="s">
        <v>304</v>
      </c>
      <c r="F41" t="s">
        <v>333</v>
      </c>
      <c r="G41" t="s">
        <v>306</v>
      </c>
      <c r="H41" t="s">
        <v>307</v>
      </c>
      <c r="I41" t="s">
        <v>245</v>
      </c>
      <c r="J41" t="s">
        <v>334</v>
      </c>
      <c r="K41" t="s">
        <v>269</v>
      </c>
      <c r="L41" t="s">
        <v>180</v>
      </c>
      <c r="M41" t="s">
        <v>309</v>
      </c>
      <c r="P41" t="s">
        <v>312</v>
      </c>
      <c r="R41" t="s">
        <v>271</v>
      </c>
      <c r="S41" s="2">
        <v>44154</v>
      </c>
      <c r="T41" s="2">
        <v>44166</v>
      </c>
      <c r="V41" s="2">
        <v>44173</v>
      </c>
      <c r="Y41" t="s">
        <v>65</v>
      </c>
      <c r="Z41" t="s">
        <v>65</v>
      </c>
      <c r="AA41" t="s">
        <v>66</v>
      </c>
      <c r="AB41" t="s">
        <v>67</v>
      </c>
      <c r="AC41" t="s">
        <v>67</v>
      </c>
      <c r="AD41" t="s">
        <v>68</v>
      </c>
      <c r="AE41" t="s">
        <v>90</v>
      </c>
      <c r="AF41" t="s">
        <v>70</v>
      </c>
      <c r="AG41" t="s">
        <v>71</v>
      </c>
      <c r="AH41" t="s">
        <v>72</v>
      </c>
      <c r="AI41" t="s">
        <v>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4912.7250000000004</v>
      </c>
      <c r="AP41">
        <v>47.218000000000004</v>
      </c>
      <c r="AV41">
        <v>-1</v>
      </c>
    </row>
    <row r="42" spans="1:48" x14ac:dyDescent="0.55000000000000004">
      <c r="A42" t="str">
        <f>HYPERLINK("https://www.infodis.net/philips/net/Shipment/Details?InfodisNumber=4561167&amp;DomainCode=DAP", "4561167")</f>
        <v>4561167</v>
      </c>
      <c r="B42" t="s">
        <v>335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245</v>
      </c>
      <c r="J42" t="s">
        <v>334</v>
      </c>
      <c r="K42" t="s">
        <v>308</v>
      </c>
      <c r="L42" t="s">
        <v>180</v>
      </c>
      <c r="M42" t="s">
        <v>309</v>
      </c>
      <c r="P42" t="s">
        <v>312</v>
      </c>
      <c r="R42" t="s">
        <v>313</v>
      </c>
      <c r="S42" s="2">
        <v>44154</v>
      </c>
      <c r="T42" s="2">
        <v>44166</v>
      </c>
      <c r="V42" s="2">
        <v>44173</v>
      </c>
      <c r="Y42" t="s">
        <v>65</v>
      </c>
      <c r="Z42" t="s">
        <v>65</v>
      </c>
      <c r="AA42" t="s">
        <v>198</v>
      </c>
      <c r="AB42" t="s">
        <v>67</v>
      </c>
      <c r="AC42" t="s">
        <v>67</v>
      </c>
      <c r="AD42" t="s">
        <v>67</v>
      </c>
      <c r="AE42" t="s">
        <v>90</v>
      </c>
      <c r="AF42" t="s">
        <v>70</v>
      </c>
      <c r="AG42" t="s">
        <v>71</v>
      </c>
      <c r="AH42" t="s">
        <v>72</v>
      </c>
      <c r="AI42" t="s">
        <v>73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5172</v>
      </c>
      <c r="AP42">
        <v>43.48</v>
      </c>
      <c r="AV42">
        <v>-1</v>
      </c>
    </row>
    <row r="43" spans="1:48" x14ac:dyDescent="0.55000000000000004">
      <c r="A43" t="str">
        <f>HYPERLINK("https://www.infodis.net/philips/net/Shipment/Details?InfodisNumber=4561178&amp;DomainCode=DAP", "4561178")</f>
        <v>4561178</v>
      </c>
      <c r="B43" t="s">
        <v>336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 t="s">
        <v>245</v>
      </c>
      <c r="J43" t="s">
        <v>334</v>
      </c>
      <c r="K43" t="s">
        <v>308</v>
      </c>
      <c r="L43" t="s">
        <v>180</v>
      </c>
      <c r="M43" t="s">
        <v>60</v>
      </c>
      <c r="P43" t="s">
        <v>312</v>
      </c>
      <c r="R43" t="s">
        <v>313</v>
      </c>
      <c r="S43" s="2">
        <v>44154</v>
      </c>
      <c r="T43" s="2">
        <v>44166</v>
      </c>
      <c r="V43" s="2">
        <v>44173</v>
      </c>
      <c r="Y43" t="s">
        <v>65</v>
      </c>
      <c r="Z43" t="s">
        <v>65</v>
      </c>
      <c r="AA43" t="s">
        <v>198</v>
      </c>
      <c r="AB43" t="s">
        <v>67</v>
      </c>
      <c r="AC43" t="s">
        <v>67</v>
      </c>
      <c r="AD43" t="s">
        <v>67</v>
      </c>
      <c r="AE43" t="s">
        <v>90</v>
      </c>
      <c r="AF43" t="s">
        <v>70</v>
      </c>
      <c r="AG43" t="s">
        <v>71</v>
      </c>
      <c r="AH43" t="s">
        <v>72</v>
      </c>
      <c r="AI43" t="s">
        <v>73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2476.444</v>
      </c>
      <c r="AP43">
        <v>24.533000000000001</v>
      </c>
      <c r="AV43">
        <v>-1</v>
      </c>
    </row>
    <row r="44" spans="1:48" x14ac:dyDescent="0.55000000000000004">
      <c r="A44" t="str">
        <f>HYPERLINK("https://www.infodis.net/philips/net/Shipment/Details?InfodisNumber=4561192&amp;DomainCode=DAP", "4561192")</f>
        <v>4561192</v>
      </c>
      <c r="B44" t="s">
        <v>337</v>
      </c>
      <c r="C44" t="s">
        <v>302</v>
      </c>
      <c r="D44" t="s">
        <v>303</v>
      </c>
      <c r="E44" t="s">
        <v>304</v>
      </c>
      <c r="F44" t="s">
        <v>338</v>
      </c>
      <c r="G44" t="s">
        <v>306</v>
      </c>
      <c r="H44" t="s">
        <v>307</v>
      </c>
      <c r="I44" t="s">
        <v>245</v>
      </c>
      <c r="J44" t="s">
        <v>339</v>
      </c>
      <c r="K44" t="s">
        <v>340</v>
      </c>
      <c r="L44" t="s">
        <v>341</v>
      </c>
      <c r="M44" t="s">
        <v>60</v>
      </c>
      <c r="P44" t="s">
        <v>312</v>
      </c>
      <c r="R44" t="s">
        <v>342</v>
      </c>
      <c r="S44" s="2">
        <v>44154</v>
      </c>
      <c r="T44" s="2">
        <v>44166</v>
      </c>
      <c r="V44" s="2">
        <v>44174</v>
      </c>
      <c r="Y44" t="s">
        <v>65</v>
      </c>
      <c r="Z44" t="s">
        <v>65</v>
      </c>
      <c r="AA44" t="s">
        <v>65</v>
      </c>
      <c r="AB44" t="s">
        <v>67</v>
      </c>
      <c r="AC44" t="s">
        <v>67</v>
      </c>
      <c r="AD44" t="s">
        <v>67</v>
      </c>
      <c r="AE44" t="s">
        <v>90</v>
      </c>
      <c r="AF44" t="s">
        <v>70</v>
      </c>
      <c r="AG44" t="s">
        <v>71</v>
      </c>
      <c r="AH44" t="s">
        <v>72</v>
      </c>
      <c r="AI44" t="s">
        <v>73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2411.7420000000002</v>
      </c>
      <c r="AP44">
        <v>22.22</v>
      </c>
      <c r="AV44">
        <v>-1</v>
      </c>
    </row>
    <row r="45" spans="1:48" x14ac:dyDescent="0.55000000000000004">
      <c r="A45" t="str">
        <f>HYPERLINK("https://www.infodis.net/philips/net/Shipment/Details?InfodisNumber=4563488&amp;DomainCode=DAP", "4563488")</f>
        <v>4563488</v>
      </c>
      <c r="B45" t="s">
        <v>343</v>
      </c>
      <c r="C45" t="s">
        <v>344</v>
      </c>
      <c r="D45" t="s">
        <v>345</v>
      </c>
      <c r="E45" t="s">
        <v>344</v>
      </c>
      <c r="F45" t="s">
        <v>77</v>
      </c>
      <c r="G45" t="s">
        <v>346</v>
      </c>
      <c r="H45" t="s">
        <v>79</v>
      </c>
      <c r="I45" t="s">
        <v>80</v>
      </c>
      <c r="J45" t="s">
        <v>81</v>
      </c>
      <c r="K45" t="s">
        <v>82</v>
      </c>
      <c r="L45" t="s">
        <v>83</v>
      </c>
      <c r="M45" t="s">
        <v>84</v>
      </c>
      <c r="N45" t="s">
        <v>115</v>
      </c>
      <c r="O45" t="s">
        <v>347</v>
      </c>
      <c r="P45" t="s">
        <v>348</v>
      </c>
      <c r="R45" t="s">
        <v>87</v>
      </c>
      <c r="S45" s="2">
        <v>44155</v>
      </c>
      <c r="T45" s="2">
        <v>44162</v>
      </c>
      <c r="V45" s="2">
        <v>44167</v>
      </c>
      <c r="Y45" t="s">
        <v>66</v>
      </c>
      <c r="Z45" t="s">
        <v>89</v>
      </c>
      <c r="AA45" t="s">
        <v>89</v>
      </c>
      <c r="AB45" t="s">
        <v>68</v>
      </c>
      <c r="AC45" t="s">
        <v>67</v>
      </c>
      <c r="AD45" t="s">
        <v>67</v>
      </c>
      <c r="AE45" t="s">
        <v>349</v>
      </c>
      <c r="AF45" t="s">
        <v>70</v>
      </c>
      <c r="AG45" t="s">
        <v>71</v>
      </c>
      <c r="AH45" t="s">
        <v>72</v>
      </c>
      <c r="AI45" t="s">
        <v>73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4839.8</v>
      </c>
      <c r="AP45">
        <v>61.228000000000002</v>
      </c>
      <c r="AV45">
        <v>-1</v>
      </c>
    </row>
    <row r="46" spans="1:48" x14ac:dyDescent="0.55000000000000004">
      <c r="A46" t="str">
        <f>HYPERLINK("https://www.infodis.net/philips/net/Shipment/Details?InfodisNumber=4537016&amp;DomainCode=DAP", "4537016")</f>
        <v>4537016</v>
      </c>
      <c r="B46" t="s">
        <v>350</v>
      </c>
      <c r="C46" t="s">
        <v>351</v>
      </c>
      <c r="D46" t="s">
        <v>352</v>
      </c>
      <c r="E46" t="s">
        <v>94</v>
      </c>
      <c r="F46" t="s">
        <v>353</v>
      </c>
      <c r="G46" t="s">
        <v>354</v>
      </c>
      <c r="H46" t="s">
        <v>79</v>
      </c>
      <c r="I46" t="s">
        <v>122</v>
      </c>
      <c r="J46" t="s">
        <v>355</v>
      </c>
      <c r="K46" t="s">
        <v>356</v>
      </c>
      <c r="L46" t="s">
        <v>357</v>
      </c>
      <c r="M46" t="s">
        <v>358</v>
      </c>
      <c r="N46" t="s">
        <v>115</v>
      </c>
      <c r="O46" t="s">
        <v>359</v>
      </c>
      <c r="P46" t="s">
        <v>360</v>
      </c>
      <c r="R46" t="s">
        <v>361</v>
      </c>
      <c r="S46" s="2">
        <v>44123</v>
      </c>
      <c r="T46" s="2">
        <v>44138</v>
      </c>
      <c r="U46" s="2">
        <v>44155</v>
      </c>
      <c r="V46" s="2">
        <v>44175</v>
      </c>
      <c r="W46" s="2">
        <v>44158</v>
      </c>
      <c r="Y46" t="s">
        <v>89</v>
      </c>
      <c r="Z46" t="s">
        <v>65</v>
      </c>
      <c r="AA46" t="s">
        <v>65</v>
      </c>
      <c r="AB46" t="s">
        <v>67</v>
      </c>
      <c r="AC46" t="s">
        <v>67</v>
      </c>
      <c r="AD46" t="s">
        <v>67</v>
      </c>
      <c r="AE46" t="s">
        <v>69</v>
      </c>
      <c r="AF46" t="s">
        <v>70</v>
      </c>
      <c r="AG46" t="s">
        <v>71</v>
      </c>
      <c r="AH46" t="s">
        <v>72</v>
      </c>
      <c r="AI46" t="s">
        <v>73</v>
      </c>
      <c r="AJ46">
        <v>0</v>
      </c>
      <c r="AK46">
        <v>0</v>
      </c>
      <c r="AL46">
        <v>0</v>
      </c>
      <c r="AM46">
        <v>0</v>
      </c>
      <c r="AN46">
        <v>58</v>
      </c>
      <c r="AO46">
        <v>5790.14</v>
      </c>
      <c r="AP46">
        <v>56.216000000000001</v>
      </c>
      <c r="AV46">
        <v>-1</v>
      </c>
    </row>
    <row r="47" spans="1:48" x14ac:dyDescent="0.55000000000000004">
      <c r="A47" t="str">
        <f>HYPERLINK("https://www.infodis.net/philips/net/Shipment/Details?InfodisNumber=4563027&amp;DomainCode=DAP", "4563027")</f>
        <v>4563027</v>
      </c>
      <c r="B47" t="s">
        <v>362</v>
      </c>
      <c r="C47" t="s">
        <v>153</v>
      </c>
      <c r="D47" t="s">
        <v>154</v>
      </c>
      <c r="E47" t="s">
        <v>94</v>
      </c>
      <c r="F47" t="s">
        <v>363</v>
      </c>
      <c r="G47" t="s">
        <v>82</v>
      </c>
      <c r="H47" t="s">
        <v>83</v>
      </c>
      <c r="I47" t="s">
        <v>156</v>
      </c>
      <c r="J47" t="s">
        <v>130</v>
      </c>
      <c r="K47" t="s">
        <v>131</v>
      </c>
      <c r="L47" t="s">
        <v>132</v>
      </c>
      <c r="M47" t="s">
        <v>133</v>
      </c>
      <c r="N47" t="s">
        <v>364</v>
      </c>
      <c r="O47" t="s">
        <v>365</v>
      </c>
      <c r="P47" t="s">
        <v>87</v>
      </c>
      <c r="R47" t="s">
        <v>134</v>
      </c>
      <c r="S47" s="2">
        <v>44155</v>
      </c>
      <c r="T47" s="2">
        <v>44165</v>
      </c>
      <c r="V47" s="2">
        <v>44168</v>
      </c>
      <c r="Y47" t="s">
        <v>127</v>
      </c>
      <c r="Z47" t="s">
        <v>127</v>
      </c>
      <c r="AA47" t="s">
        <v>127</v>
      </c>
      <c r="AB47" t="s">
        <v>67</v>
      </c>
      <c r="AC47" t="s">
        <v>67</v>
      </c>
      <c r="AD47" t="s">
        <v>67</v>
      </c>
      <c r="AE47" t="s">
        <v>69</v>
      </c>
      <c r="AF47" t="s">
        <v>70</v>
      </c>
      <c r="AG47" t="s">
        <v>71</v>
      </c>
      <c r="AH47" t="s">
        <v>72</v>
      </c>
      <c r="AI47" t="s">
        <v>73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10000</v>
      </c>
      <c r="AP47">
        <v>45</v>
      </c>
      <c r="AV47">
        <v>-1</v>
      </c>
    </row>
    <row r="48" spans="1:48" x14ac:dyDescent="0.55000000000000004">
      <c r="A48" t="str">
        <f>HYPERLINK("https://www.infodis.net/philips/net/Shipment/Details?InfodisNumber=4563023&amp;DomainCode=DAP", "4563023")</f>
        <v>4563023</v>
      </c>
      <c r="B48" t="s">
        <v>366</v>
      </c>
      <c r="C48" t="s">
        <v>153</v>
      </c>
      <c r="D48" t="s">
        <v>154</v>
      </c>
      <c r="E48" t="s">
        <v>94</v>
      </c>
      <c r="F48" t="s">
        <v>367</v>
      </c>
      <c r="G48" t="s">
        <v>82</v>
      </c>
      <c r="H48" t="s">
        <v>83</v>
      </c>
      <c r="I48" t="s">
        <v>81</v>
      </c>
      <c r="J48" t="s">
        <v>368</v>
      </c>
      <c r="K48" t="s">
        <v>369</v>
      </c>
      <c r="L48" t="s">
        <v>159</v>
      </c>
      <c r="M48" t="s">
        <v>60</v>
      </c>
      <c r="P48" t="s">
        <v>87</v>
      </c>
      <c r="R48" t="s">
        <v>370</v>
      </c>
      <c r="S48" s="2">
        <v>44155</v>
      </c>
      <c r="T48" s="2">
        <v>44165</v>
      </c>
      <c r="V48" s="2">
        <v>44161</v>
      </c>
      <c r="Y48" t="s">
        <v>273</v>
      </c>
      <c r="Z48" t="s">
        <v>273</v>
      </c>
      <c r="AA48" t="s">
        <v>371</v>
      </c>
      <c r="AB48" t="s">
        <v>67</v>
      </c>
      <c r="AC48" t="s">
        <v>67</v>
      </c>
      <c r="AD48" t="s">
        <v>67</v>
      </c>
      <c r="AE48" t="s">
        <v>90</v>
      </c>
      <c r="AF48" t="s">
        <v>70</v>
      </c>
      <c r="AG48" t="s">
        <v>71</v>
      </c>
      <c r="AH48" t="s">
        <v>72</v>
      </c>
      <c r="AI48" t="s">
        <v>73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10000</v>
      </c>
      <c r="AP48">
        <v>0</v>
      </c>
      <c r="AV48">
        <v>-1</v>
      </c>
    </row>
    <row r="49" spans="1:48" x14ac:dyDescent="0.55000000000000004">
      <c r="A49" t="str">
        <f>HYPERLINK("https://www.infodis.net/philips/net/Shipment/Details?InfodisNumber=4563028&amp;DomainCode=DAP", "4563028")</f>
        <v>4563028</v>
      </c>
      <c r="B49" t="s">
        <v>372</v>
      </c>
      <c r="C49" t="s">
        <v>153</v>
      </c>
      <c r="D49" t="s">
        <v>154</v>
      </c>
      <c r="E49" t="s">
        <v>94</v>
      </c>
      <c r="F49" t="s">
        <v>363</v>
      </c>
      <c r="G49" t="s">
        <v>82</v>
      </c>
      <c r="H49" t="s">
        <v>83</v>
      </c>
      <c r="I49" t="s">
        <v>156</v>
      </c>
      <c r="J49" t="s">
        <v>130</v>
      </c>
      <c r="K49" t="s">
        <v>131</v>
      </c>
      <c r="L49" t="s">
        <v>132</v>
      </c>
      <c r="M49" t="s">
        <v>133</v>
      </c>
      <c r="N49" t="s">
        <v>373</v>
      </c>
      <c r="O49" t="s">
        <v>374</v>
      </c>
      <c r="P49" t="s">
        <v>87</v>
      </c>
      <c r="R49" t="s">
        <v>134</v>
      </c>
      <c r="S49" s="2">
        <v>44155</v>
      </c>
      <c r="T49" s="2">
        <v>44165</v>
      </c>
      <c r="V49" s="2">
        <v>44165</v>
      </c>
      <c r="Y49" t="s">
        <v>127</v>
      </c>
      <c r="Z49" t="s">
        <v>127</v>
      </c>
      <c r="AA49" t="s">
        <v>127</v>
      </c>
      <c r="AB49" t="s">
        <v>67</v>
      </c>
      <c r="AC49" t="s">
        <v>67</v>
      </c>
      <c r="AD49" t="s">
        <v>67</v>
      </c>
      <c r="AE49" t="s">
        <v>69</v>
      </c>
      <c r="AF49" t="s">
        <v>70</v>
      </c>
      <c r="AG49" t="s">
        <v>71</v>
      </c>
      <c r="AH49" t="s">
        <v>72</v>
      </c>
      <c r="AI49" t="s">
        <v>73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10000</v>
      </c>
      <c r="AP49">
        <v>45</v>
      </c>
      <c r="AV49">
        <v>-1</v>
      </c>
    </row>
    <row r="50" spans="1:48" x14ac:dyDescent="0.55000000000000004">
      <c r="A50" t="str">
        <f>HYPERLINK("https://www.infodis.net/philips/net/Shipment/Details?InfodisNumber=4550721&amp;DomainCode=DAP", "4550721")</f>
        <v>4550721</v>
      </c>
      <c r="B50" t="s">
        <v>375</v>
      </c>
      <c r="C50" t="s">
        <v>376</v>
      </c>
      <c r="D50" t="s">
        <v>377</v>
      </c>
      <c r="E50" t="s">
        <v>304</v>
      </c>
      <c r="F50" t="s">
        <v>378</v>
      </c>
      <c r="G50" t="s">
        <v>379</v>
      </c>
      <c r="H50" t="s">
        <v>380</v>
      </c>
      <c r="I50" t="s">
        <v>381</v>
      </c>
      <c r="J50" t="s">
        <v>382</v>
      </c>
      <c r="K50" t="s">
        <v>383</v>
      </c>
      <c r="L50" t="s">
        <v>384</v>
      </c>
      <c r="M50" t="s">
        <v>385</v>
      </c>
      <c r="N50" t="s">
        <v>386</v>
      </c>
      <c r="O50" t="s">
        <v>387</v>
      </c>
      <c r="P50" t="s">
        <v>388</v>
      </c>
      <c r="R50" t="s">
        <v>389</v>
      </c>
      <c r="S50" s="2">
        <v>44140</v>
      </c>
      <c r="T50" s="2">
        <v>44149</v>
      </c>
      <c r="V50" s="2">
        <v>44152</v>
      </c>
      <c r="W50" s="2">
        <v>44152</v>
      </c>
      <c r="Y50" t="s">
        <v>65</v>
      </c>
      <c r="Z50" t="s">
        <v>65</v>
      </c>
      <c r="AA50" t="s">
        <v>66</v>
      </c>
      <c r="AB50" t="s">
        <v>67</v>
      </c>
      <c r="AC50" t="s">
        <v>67</v>
      </c>
      <c r="AD50" t="s">
        <v>68</v>
      </c>
      <c r="AE50" t="s">
        <v>162</v>
      </c>
      <c r="AF50" t="s">
        <v>70</v>
      </c>
      <c r="AG50" t="s">
        <v>71</v>
      </c>
      <c r="AH50" t="s">
        <v>72</v>
      </c>
      <c r="AI50" t="s">
        <v>73</v>
      </c>
      <c r="AJ50">
        <v>0</v>
      </c>
      <c r="AK50">
        <v>0</v>
      </c>
      <c r="AL50">
        <v>0</v>
      </c>
      <c r="AM50">
        <v>0</v>
      </c>
      <c r="AN50">
        <v>11</v>
      </c>
      <c r="AO50">
        <v>2013</v>
      </c>
      <c r="AP50">
        <v>21.44</v>
      </c>
      <c r="AV50">
        <v>-1</v>
      </c>
    </row>
    <row r="51" spans="1:48" x14ac:dyDescent="0.55000000000000004">
      <c r="A51" t="str">
        <f>HYPERLINK("https://www.infodis.net/philips/net/Shipment/Details?InfodisNumber=4554270&amp;DomainCode=DAP", "4554270")</f>
        <v>4554270</v>
      </c>
      <c r="B51" t="s">
        <v>390</v>
      </c>
      <c r="C51" t="s">
        <v>391</v>
      </c>
      <c r="D51" t="s">
        <v>392</v>
      </c>
      <c r="E51" t="s">
        <v>393</v>
      </c>
      <c r="F51" t="s">
        <v>191</v>
      </c>
      <c r="G51" t="s">
        <v>394</v>
      </c>
      <c r="H51" t="s">
        <v>79</v>
      </c>
      <c r="I51" t="s">
        <v>395</v>
      </c>
      <c r="J51" t="s">
        <v>194</v>
      </c>
      <c r="K51" t="s">
        <v>195</v>
      </c>
      <c r="L51" t="s">
        <v>180</v>
      </c>
      <c r="M51" t="s">
        <v>385</v>
      </c>
      <c r="N51" t="s">
        <v>396</v>
      </c>
      <c r="O51" t="s">
        <v>397</v>
      </c>
      <c r="P51" t="s">
        <v>398</v>
      </c>
      <c r="R51" t="s">
        <v>197</v>
      </c>
      <c r="S51" s="2">
        <v>44145</v>
      </c>
      <c r="T51" s="2">
        <v>44145</v>
      </c>
      <c r="V51" s="2">
        <v>44153</v>
      </c>
      <c r="W51" s="2">
        <v>44153</v>
      </c>
      <c r="Y51" t="s">
        <v>399</v>
      </c>
      <c r="Z51" t="s">
        <v>273</v>
      </c>
      <c r="AA51" t="s">
        <v>198</v>
      </c>
      <c r="AB51" t="s">
        <v>67</v>
      </c>
      <c r="AC51" t="s">
        <v>67</v>
      </c>
      <c r="AD51" t="s">
        <v>67</v>
      </c>
      <c r="AE51" t="s">
        <v>69</v>
      </c>
      <c r="AF51" t="s">
        <v>70</v>
      </c>
      <c r="AG51" t="s">
        <v>71</v>
      </c>
      <c r="AH51" t="s">
        <v>199</v>
      </c>
      <c r="AI51" t="s">
        <v>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6884.6640000000007</v>
      </c>
      <c r="AP51">
        <v>60.762</v>
      </c>
      <c r="AV51">
        <v>-1</v>
      </c>
    </row>
    <row r="52" spans="1:48" x14ac:dyDescent="0.55000000000000004">
      <c r="A52" t="str">
        <f>HYPERLINK("https://www.infodis.net/philips/net/Shipment/Details?InfodisNumber=4548261&amp;DomainCode=DAP", "4548261")</f>
        <v>4548261</v>
      </c>
      <c r="B52" t="s">
        <v>400</v>
      </c>
      <c r="C52" t="s">
        <v>401</v>
      </c>
      <c r="D52" t="s">
        <v>402</v>
      </c>
      <c r="E52" t="s">
        <v>304</v>
      </c>
      <c r="F52" t="s">
        <v>403</v>
      </c>
      <c r="G52" t="s">
        <v>404</v>
      </c>
      <c r="H52" t="s">
        <v>307</v>
      </c>
      <c r="I52" t="s">
        <v>405</v>
      </c>
      <c r="J52" t="s">
        <v>157</v>
      </c>
      <c r="K52" t="s">
        <v>158</v>
      </c>
      <c r="L52" t="s">
        <v>159</v>
      </c>
      <c r="M52" t="s">
        <v>60</v>
      </c>
      <c r="N52" t="s">
        <v>406</v>
      </c>
      <c r="O52" t="s">
        <v>407</v>
      </c>
      <c r="P52" t="s">
        <v>408</v>
      </c>
      <c r="R52" t="s">
        <v>161</v>
      </c>
      <c r="S52" s="2">
        <v>44137</v>
      </c>
      <c r="T52" s="2">
        <v>44153</v>
      </c>
      <c r="V52" s="2">
        <v>44157</v>
      </c>
      <c r="W52" s="2">
        <v>44158</v>
      </c>
      <c r="Y52" t="s">
        <v>65</v>
      </c>
      <c r="Z52" t="s">
        <v>65</v>
      </c>
      <c r="AA52" t="s">
        <v>66</v>
      </c>
      <c r="AB52" t="s">
        <v>67</v>
      </c>
      <c r="AC52" t="s">
        <v>67</v>
      </c>
      <c r="AD52" t="s">
        <v>68</v>
      </c>
      <c r="AE52" t="s">
        <v>90</v>
      </c>
      <c r="AF52" t="s">
        <v>70</v>
      </c>
      <c r="AG52" t="s">
        <v>71</v>
      </c>
      <c r="AH52" t="s">
        <v>72</v>
      </c>
      <c r="AI52" t="s">
        <v>73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2360</v>
      </c>
      <c r="AP52">
        <v>22.32</v>
      </c>
      <c r="AV52">
        <v>-1</v>
      </c>
    </row>
    <row r="53" spans="1:48" x14ac:dyDescent="0.55000000000000004">
      <c r="A53" t="str">
        <f>HYPERLINK("https://www.infodis.net/philips/net/Shipment/Details?InfodisNumber=4549182&amp;DomainCode=DAP", "4549182")</f>
        <v>4549182</v>
      </c>
      <c r="B53" t="s">
        <v>409</v>
      </c>
      <c r="C53" t="s">
        <v>410</v>
      </c>
      <c r="D53" t="s">
        <v>411</v>
      </c>
      <c r="E53" t="s">
        <v>94</v>
      </c>
      <c r="F53" t="s">
        <v>95</v>
      </c>
      <c r="G53" t="s">
        <v>96</v>
      </c>
      <c r="H53" t="s">
        <v>79</v>
      </c>
      <c r="I53" t="s">
        <v>412</v>
      </c>
      <c r="J53" t="s">
        <v>98</v>
      </c>
      <c r="K53" t="s">
        <v>99</v>
      </c>
      <c r="L53" t="s">
        <v>100</v>
      </c>
      <c r="M53" t="s">
        <v>60</v>
      </c>
      <c r="N53" t="s">
        <v>413</v>
      </c>
      <c r="O53" t="s">
        <v>414</v>
      </c>
      <c r="P53" t="s">
        <v>415</v>
      </c>
      <c r="R53" t="s">
        <v>104</v>
      </c>
      <c r="S53" s="2">
        <v>44138</v>
      </c>
      <c r="T53" s="2">
        <v>44144</v>
      </c>
      <c r="U53" s="2">
        <v>44145</v>
      </c>
      <c r="V53" s="2">
        <v>44149</v>
      </c>
      <c r="W53" s="2">
        <v>44151</v>
      </c>
      <c r="Y53" t="s">
        <v>89</v>
      </c>
      <c r="Z53" t="s">
        <v>105</v>
      </c>
      <c r="AA53" t="s">
        <v>106</v>
      </c>
      <c r="AB53" t="s">
        <v>67</v>
      </c>
      <c r="AC53" t="s">
        <v>67</v>
      </c>
      <c r="AD53" t="s">
        <v>67</v>
      </c>
      <c r="AE53" t="s">
        <v>90</v>
      </c>
      <c r="AF53" t="s">
        <v>70</v>
      </c>
      <c r="AG53" t="s">
        <v>71</v>
      </c>
      <c r="AH53" t="s">
        <v>72</v>
      </c>
      <c r="AI53" t="s">
        <v>73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6844.61</v>
      </c>
      <c r="AP53">
        <v>50.076000000000001</v>
      </c>
      <c r="AV53">
        <v>-1</v>
      </c>
    </row>
    <row r="54" spans="1:48" x14ac:dyDescent="0.55000000000000004">
      <c r="A54" t="str">
        <f>HYPERLINK("https://www.infodis.net/philips/net/Shipment/Details?InfodisNumber=4555687&amp;DomainCode=DAP", "4555687")</f>
        <v>4555687</v>
      </c>
      <c r="B54" t="s">
        <v>416</v>
      </c>
      <c r="C54" t="s">
        <v>108</v>
      </c>
      <c r="D54" t="s">
        <v>109</v>
      </c>
      <c r="E54" t="s">
        <v>94</v>
      </c>
      <c r="F54" t="s">
        <v>141</v>
      </c>
      <c r="G54" t="s">
        <v>111</v>
      </c>
      <c r="H54" t="s">
        <v>79</v>
      </c>
      <c r="I54" t="s">
        <v>122</v>
      </c>
      <c r="J54" t="s">
        <v>142</v>
      </c>
      <c r="K54" t="s">
        <v>143</v>
      </c>
      <c r="L54" t="s">
        <v>83</v>
      </c>
      <c r="M54" t="s">
        <v>60</v>
      </c>
      <c r="N54" t="s">
        <v>115</v>
      </c>
      <c r="P54" t="s">
        <v>116</v>
      </c>
      <c r="R54" t="s">
        <v>144</v>
      </c>
      <c r="S54" s="2">
        <v>44147</v>
      </c>
      <c r="T54" s="2">
        <v>44161</v>
      </c>
      <c r="V54" s="2">
        <v>44166</v>
      </c>
      <c r="Y54" t="s">
        <v>89</v>
      </c>
      <c r="Z54" t="s">
        <v>105</v>
      </c>
      <c r="AA54" t="s">
        <v>105</v>
      </c>
      <c r="AB54" t="s">
        <v>67</v>
      </c>
      <c r="AC54" t="s">
        <v>67</v>
      </c>
      <c r="AD54" t="s">
        <v>67</v>
      </c>
      <c r="AE54" t="s">
        <v>417</v>
      </c>
      <c r="AF54" t="s">
        <v>70</v>
      </c>
      <c r="AG54" t="s">
        <v>71</v>
      </c>
      <c r="AH54" t="s">
        <v>72</v>
      </c>
      <c r="AI54" t="s">
        <v>73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26700</v>
      </c>
      <c r="AP54">
        <v>204</v>
      </c>
      <c r="AV54">
        <v>-1</v>
      </c>
    </row>
    <row r="55" spans="1:48" x14ac:dyDescent="0.55000000000000004">
      <c r="A55" t="str">
        <f>HYPERLINK("https://www.infodis.net/philips/net/Shipment/Details?InfodisNumber=4555681&amp;DomainCode=DAP", "4555681")</f>
        <v>4555681</v>
      </c>
      <c r="B55" t="s">
        <v>418</v>
      </c>
      <c r="C55" t="s">
        <v>108</v>
      </c>
      <c r="D55" t="s">
        <v>109</v>
      </c>
      <c r="E55" t="s">
        <v>94</v>
      </c>
      <c r="F55" t="s">
        <v>110</v>
      </c>
      <c r="G55" t="s">
        <v>111</v>
      </c>
      <c r="H55" t="s">
        <v>79</v>
      </c>
      <c r="I55" t="s">
        <v>112</v>
      </c>
      <c r="J55" t="s">
        <v>113</v>
      </c>
      <c r="K55" t="s">
        <v>114</v>
      </c>
      <c r="L55" t="s">
        <v>59</v>
      </c>
      <c r="M55" t="s">
        <v>60</v>
      </c>
      <c r="N55" t="s">
        <v>115</v>
      </c>
      <c r="P55" t="s">
        <v>116</v>
      </c>
      <c r="R55" t="s">
        <v>117</v>
      </c>
      <c r="S55" s="2">
        <v>44147</v>
      </c>
      <c r="T55" s="2">
        <v>44161</v>
      </c>
      <c r="V55" s="2">
        <v>44166</v>
      </c>
      <c r="Y55" t="s">
        <v>89</v>
      </c>
      <c r="Z55" t="s">
        <v>138</v>
      </c>
      <c r="AA55" t="s">
        <v>138</v>
      </c>
      <c r="AB55" t="s">
        <v>67</v>
      </c>
      <c r="AC55" t="s">
        <v>67</v>
      </c>
      <c r="AD55" t="s">
        <v>67</v>
      </c>
      <c r="AE55" t="s">
        <v>119</v>
      </c>
      <c r="AF55" t="s">
        <v>70</v>
      </c>
      <c r="AG55" t="s">
        <v>71</v>
      </c>
      <c r="AH55" t="s">
        <v>72</v>
      </c>
      <c r="AI55" t="s">
        <v>73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11200</v>
      </c>
      <c r="AP55">
        <v>116</v>
      </c>
      <c r="AV55">
        <v>-1</v>
      </c>
    </row>
    <row r="56" spans="1:48" x14ac:dyDescent="0.55000000000000004">
      <c r="A56" t="str">
        <f>HYPERLINK("https://www.infodis.net/philips/net/Shipment/Details?InfodisNumber=4555691&amp;DomainCode=DAP", "4555691")</f>
        <v>4555691</v>
      </c>
      <c r="B56" t="s">
        <v>419</v>
      </c>
      <c r="C56" t="s">
        <v>108</v>
      </c>
      <c r="D56" t="s">
        <v>109</v>
      </c>
      <c r="E56" t="s">
        <v>94</v>
      </c>
      <c r="F56" t="s">
        <v>141</v>
      </c>
      <c r="G56" t="s">
        <v>111</v>
      </c>
      <c r="H56" t="s">
        <v>79</v>
      </c>
      <c r="I56" t="s">
        <v>112</v>
      </c>
      <c r="J56" t="s">
        <v>142</v>
      </c>
      <c r="K56" t="s">
        <v>143</v>
      </c>
      <c r="L56" t="s">
        <v>83</v>
      </c>
      <c r="M56" t="s">
        <v>60</v>
      </c>
      <c r="N56" t="s">
        <v>115</v>
      </c>
      <c r="P56" t="s">
        <v>116</v>
      </c>
      <c r="R56" t="s">
        <v>144</v>
      </c>
      <c r="S56" s="2">
        <v>44147</v>
      </c>
      <c r="T56" s="2">
        <v>44161</v>
      </c>
      <c r="V56" s="2">
        <v>44166</v>
      </c>
      <c r="Y56" t="s">
        <v>89</v>
      </c>
      <c r="Z56" t="s">
        <v>118</v>
      </c>
      <c r="AA56" t="s">
        <v>118</v>
      </c>
      <c r="AB56" t="s">
        <v>67</v>
      </c>
      <c r="AC56" t="s">
        <v>67</v>
      </c>
      <c r="AD56" t="s">
        <v>67</v>
      </c>
      <c r="AE56" t="s">
        <v>145</v>
      </c>
      <c r="AF56" t="s">
        <v>70</v>
      </c>
      <c r="AG56" t="s">
        <v>71</v>
      </c>
      <c r="AH56" t="s">
        <v>72</v>
      </c>
      <c r="AI56" t="s">
        <v>73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23400</v>
      </c>
      <c r="AP56">
        <v>194</v>
      </c>
      <c r="AV56">
        <v>-1</v>
      </c>
    </row>
    <row r="57" spans="1:48" x14ac:dyDescent="0.55000000000000004">
      <c r="A57" t="str">
        <f>HYPERLINK("https://www.infodis.net/philips/net/Shipment/Details?InfodisNumber=4550410&amp;DomainCode=DAP", "4550410")</f>
        <v>4550410</v>
      </c>
      <c r="B57" t="s">
        <v>420</v>
      </c>
      <c r="C57" t="s">
        <v>421</v>
      </c>
      <c r="D57" t="s">
        <v>422</v>
      </c>
      <c r="E57" t="s">
        <v>94</v>
      </c>
      <c r="F57" t="s">
        <v>423</v>
      </c>
      <c r="G57" t="s">
        <v>424</v>
      </c>
      <c r="H57" t="s">
        <v>79</v>
      </c>
      <c r="I57" t="s">
        <v>112</v>
      </c>
      <c r="J57" t="s">
        <v>283</v>
      </c>
      <c r="K57" t="s">
        <v>425</v>
      </c>
      <c r="L57" t="s">
        <v>307</v>
      </c>
      <c r="M57" t="s">
        <v>60</v>
      </c>
      <c r="N57" t="s">
        <v>426</v>
      </c>
      <c r="O57" t="s">
        <v>427</v>
      </c>
      <c r="P57" t="s">
        <v>428</v>
      </c>
      <c r="R57" t="s">
        <v>429</v>
      </c>
      <c r="S57" s="2">
        <v>44140</v>
      </c>
      <c r="T57" s="2">
        <v>44154</v>
      </c>
      <c r="U57" s="2">
        <v>44158</v>
      </c>
      <c r="V57" s="2">
        <v>44160</v>
      </c>
      <c r="Y57" t="s">
        <v>89</v>
      </c>
      <c r="Z57" t="s">
        <v>65</v>
      </c>
      <c r="AA57" t="s">
        <v>65</v>
      </c>
      <c r="AB57" t="s">
        <v>67</v>
      </c>
      <c r="AC57" t="s">
        <v>67</v>
      </c>
      <c r="AD57" t="s">
        <v>67</v>
      </c>
      <c r="AE57" t="s">
        <v>69</v>
      </c>
      <c r="AF57" t="s">
        <v>70</v>
      </c>
      <c r="AG57" t="s">
        <v>71</v>
      </c>
      <c r="AH57" t="s">
        <v>72</v>
      </c>
      <c r="AI57" t="s">
        <v>73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7994.268</v>
      </c>
      <c r="AP57">
        <v>62.734999999999999</v>
      </c>
      <c r="AV57">
        <v>-1</v>
      </c>
    </row>
    <row r="58" spans="1:48" x14ac:dyDescent="0.55000000000000004">
      <c r="A58" t="str">
        <f>HYPERLINK("https://www.infodis.net/philips/net/Shipment/Details?InfodisNumber=4550627&amp;DomainCode=DAP", "4550627")</f>
        <v>4550627</v>
      </c>
      <c r="B58" t="s">
        <v>430</v>
      </c>
      <c r="C58" t="s">
        <v>431</v>
      </c>
      <c r="D58" t="s">
        <v>432</v>
      </c>
      <c r="E58" t="s">
        <v>94</v>
      </c>
      <c r="F58" t="s">
        <v>423</v>
      </c>
      <c r="G58" t="s">
        <v>433</v>
      </c>
      <c r="H58" t="s">
        <v>79</v>
      </c>
      <c r="I58" t="s">
        <v>434</v>
      </c>
      <c r="J58" t="s">
        <v>283</v>
      </c>
      <c r="K58" t="s">
        <v>425</v>
      </c>
      <c r="L58" t="s">
        <v>307</v>
      </c>
      <c r="M58" t="s">
        <v>60</v>
      </c>
      <c r="O58" t="s">
        <v>435</v>
      </c>
      <c r="P58" t="s">
        <v>436</v>
      </c>
      <c r="R58" t="s">
        <v>429</v>
      </c>
      <c r="S58" s="2">
        <v>44140</v>
      </c>
      <c r="T58" s="2">
        <v>44141</v>
      </c>
      <c r="V58" s="2">
        <v>44143</v>
      </c>
      <c r="W58" s="2">
        <v>44147</v>
      </c>
      <c r="Y58" t="s">
        <v>89</v>
      </c>
      <c r="Z58" t="s">
        <v>65</v>
      </c>
      <c r="AA58" t="s">
        <v>65</v>
      </c>
      <c r="AB58" t="s">
        <v>67</v>
      </c>
      <c r="AC58" t="s">
        <v>67</v>
      </c>
      <c r="AD58" t="s">
        <v>67</v>
      </c>
      <c r="AE58" t="s">
        <v>437</v>
      </c>
      <c r="AF58" t="s">
        <v>70</v>
      </c>
      <c r="AG58" t="s">
        <v>71</v>
      </c>
      <c r="AH58" t="s">
        <v>72</v>
      </c>
      <c r="AI58" t="s">
        <v>73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3340.7</v>
      </c>
      <c r="AP58">
        <v>23.091000000000001</v>
      </c>
      <c r="AV58">
        <v>-1</v>
      </c>
    </row>
    <row r="59" spans="1:48" x14ac:dyDescent="0.55000000000000004">
      <c r="A59" t="str">
        <f>HYPERLINK("https://www.infodis.net/philips/net/Shipment/Details?InfodisNumber=4550897&amp;DomainCode=DAP", "4550897")</f>
        <v>4550897</v>
      </c>
      <c r="B59" t="s">
        <v>438</v>
      </c>
      <c r="C59" t="s">
        <v>50</v>
      </c>
      <c r="D59" t="s">
        <v>51</v>
      </c>
      <c r="E59" t="s">
        <v>52</v>
      </c>
      <c r="F59" t="s">
        <v>439</v>
      </c>
      <c r="G59" t="s">
        <v>440</v>
      </c>
      <c r="H59" t="s">
        <v>55</v>
      </c>
      <c r="I59" t="s">
        <v>56</v>
      </c>
      <c r="J59" t="s">
        <v>441</v>
      </c>
      <c r="K59" t="s">
        <v>442</v>
      </c>
      <c r="L59" t="s">
        <v>443</v>
      </c>
      <c r="M59" t="s">
        <v>60</v>
      </c>
      <c r="N59" t="s">
        <v>444</v>
      </c>
      <c r="O59" t="s">
        <v>445</v>
      </c>
      <c r="P59" t="s">
        <v>446</v>
      </c>
      <c r="R59" t="s">
        <v>447</v>
      </c>
      <c r="S59" s="2">
        <v>44140</v>
      </c>
      <c r="T59" s="2">
        <v>44161</v>
      </c>
      <c r="V59" s="2">
        <v>44162</v>
      </c>
      <c r="Y59" t="s">
        <v>65</v>
      </c>
      <c r="Z59" t="s">
        <v>65</v>
      </c>
      <c r="AA59" t="s">
        <v>66</v>
      </c>
      <c r="AB59" t="s">
        <v>67</v>
      </c>
      <c r="AC59" t="s">
        <v>67</v>
      </c>
      <c r="AD59" t="s">
        <v>68</v>
      </c>
      <c r="AE59" t="s">
        <v>69</v>
      </c>
      <c r="AF59" t="s">
        <v>70</v>
      </c>
      <c r="AG59" t="s">
        <v>71</v>
      </c>
      <c r="AH59" t="s">
        <v>72</v>
      </c>
      <c r="AI59" t="s">
        <v>73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5666</v>
      </c>
      <c r="AP59">
        <v>39.707000000000001</v>
      </c>
      <c r="AV59">
        <v>-1</v>
      </c>
    </row>
    <row r="60" spans="1:48" x14ac:dyDescent="0.55000000000000004">
      <c r="A60" t="str">
        <f>HYPERLINK("https://www.infodis.net/philips/net/Shipment/Details?InfodisNumber=4567046&amp;DomainCode=DAP", "4567046")</f>
        <v>4567046</v>
      </c>
      <c r="B60" t="s">
        <v>448</v>
      </c>
      <c r="C60" t="s">
        <v>410</v>
      </c>
      <c r="D60" t="s">
        <v>411</v>
      </c>
      <c r="E60" t="s">
        <v>94</v>
      </c>
      <c r="F60" t="s">
        <v>449</v>
      </c>
      <c r="G60" t="s">
        <v>96</v>
      </c>
      <c r="H60" t="s">
        <v>79</v>
      </c>
      <c r="I60" t="s">
        <v>450</v>
      </c>
      <c r="J60" t="s">
        <v>451</v>
      </c>
      <c r="K60" t="s">
        <v>452</v>
      </c>
      <c r="L60" t="s">
        <v>453</v>
      </c>
      <c r="M60" t="s">
        <v>60</v>
      </c>
      <c r="P60" t="s">
        <v>415</v>
      </c>
      <c r="R60" t="s">
        <v>454</v>
      </c>
      <c r="S60" s="2">
        <v>44161</v>
      </c>
      <c r="T60" s="2">
        <v>44167</v>
      </c>
      <c r="V60" s="2">
        <v>44169</v>
      </c>
      <c r="Y60" t="s">
        <v>89</v>
      </c>
      <c r="Z60" t="s">
        <v>127</v>
      </c>
      <c r="AA60" t="s">
        <v>127</v>
      </c>
      <c r="AB60" t="s">
        <v>67</v>
      </c>
      <c r="AC60" t="s">
        <v>67</v>
      </c>
      <c r="AD60" t="s">
        <v>67</v>
      </c>
      <c r="AE60" t="s">
        <v>90</v>
      </c>
      <c r="AF60" t="s">
        <v>70</v>
      </c>
      <c r="AG60" t="s">
        <v>71</v>
      </c>
      <c r="AH60" t="s">
        <v>72</v>
      </c>
      <c r="AI60" t="s">
        <v>73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7722</v>
      </c>
      <c r="AP60">
        <v>59.67</v>
      </c>
      <c r="AV60">
        <v>-1</v>
      </c>
    </row>
    <row r="61" spans="1:48" x14ac:dyDescent="0.55000000000000004">
      <c r="A61" t="str">
        <f>HYPERLINK("https://www.infodis.net/philips/net/Shipment/Details?InfodisNumber=6959870&amp;DomainCode=PHILIPSR1", "6959870")</f>
        <v>6959870</v>
      </c>
      <c r="B61" t="s">
        <v>455</v>
      </c>
      <c r="C61" t="s">
        <v>456</v>
      </c>
      <c r="D61" t="s">
        <v>457</v>
      </c>
      <c r="E61" t="s">
        <v>458</v>
      </c>
      <c r="F61" t="s">
        <v>459</v>
      </c>
      <c r="G61" t="s">
        <v>460</v>
      </c>
      <c r="H61" t="s">
        <v>180</v>
      </c>
      <c r="I61" t="s">
        <v>461</v>
      </c>
      <c r="J61" t="s">
        <v>268</v>
      </c>
      <c r="K61" t="s">
        <v>462</v>
      </c>
      <c r="L61" t="s">
        <v>79</v>
      </c>
      <c r="M61" t="s">
        <v>60</v>
      </c>
      <c r="N61" t="s">
        <v>463</v>
      </c>
      <c r="O61" t="s">
        <v>464</v>
      </c>
      <c r="P61" t="s">
        <v>465</v>
      </c>
      <c r="R61" t="s">
        <v>466</v>
      </c>
      <c r="S61" s="2">
        <v>44141</v>
      </c>
      <c r="T61" s="2">
        <v>44153</v>
      </c>
      <c r="U61" s="2">
        <v>44154</v>
      </c>
      <c r="V61" s="2">
        <v>44157</v>
      </c>
      <c r="W61" s="2">
        <v>44159</v>
      </c>
      <c r="Y61" t="s">
        <v>138</v>
      </c>
      <c r="Z61" t="s">
        <v>138</v>
      </c>
      <c r="AA61" t="s">
        <v>467</v>
      </c>
      <c r="AB61" t="s">
        <v>67</v>
      </c>
      <c r="AC61" t="s">
        <v>67</v>
      </c>
      <c r="AD61" t="s">
        <v>67</v>
      </c>
      <c r="AE61" t="s">
        <v>162</v>
      </c>
      <c r="AF61" t="s">
        <v>70</v>
      </c>
      <c r="AG61" t="s">
        <v>71</v>
      </c>
      <c r="AH61" t="s">
        <v>72</v>
      </c>
      <c r="AI61" t="s">
        <v>252</v>
      </c>
      <c r="AJ61">
        <v>0</v>
      </c>
      <c r="AK61">
        <v>0</v>
      </c>
      <c r="AL61">
        <v>0</v>
      </c>
      <c r="AM61">
        <v>0</v>
      </c>
      <c r="AN61">
        <v>12</v>
      </c>
      <c r="AO61">
        <v>2896.19</v>
      </c>
      <c r="AP61">
        <v>39.46</v>
      </c>
      <c r="AV61">
        <v>-1</v>
      </c>
    </row>
    <row r="62" spans="1:48" x14ac:dyDescent="0.55000000000000004">
      <c r="A62" t="str">
        <f>HYPERLINK("https://www.infodis.net/philips/net/Shipment/Details?InfodisNumber=4552242&amp;DomainCode=DAP", "4552242")</f>
        <v>4552242</v>
      </c>
      <c r="B62" t="s">
        <v>468</v>
      </c>
      <c r="C62" t="s">
        <v>92</v>
      </c>
      <c r="D62" t="s">
        <v>93</v>
      </c>
      <c r="E62" t="s">
        <v>94</v>
      </c>
      <c r="F62" t="s">
        <v>95</v>
      </c>
      <c r="G62" t="s">
        <v>96</v>
      </c>
      <c r="H62" t="s">
        <v>79</v>
      </c>
      <c r="I62" t="s">
        <v>97</v>
      </c>
      <c r="J62" t="s">
        <v>98</v>
      </c>
      <c r="K62" t="s">
        <v>99</v>
      </c>
      <c r="L62" t="s">
        <v>100</v>
      </c>
      <c r="M62" t="s">
        <v>60</v>
      </c>
      <c r="N62" t="s">
        <v>469</v>
      </c>
      <c r="O62" t="s">
        <v>470</v>
      </c>
      <c r="P62" t="s">
        <v>103</v>
      </c>
      <c r="R62" t="s">
        <v>104</v>
      </c>
      <c r="S62" s="2">
        <v>44142</v>
      </c>
      <c r="T62" s="2">
        <v>44145</v>
      </c>
      <c r="U62" s="2">
        <v>44146</v>
      </c>
      <c r="V62" s="2">
        <v>44150</v>
      </c>
      <c r="W62" s="2">
        <v>44151</v>
      </c>
      <c r="Y62" t="s">
        <v>89</v>
      </c>
      <c r="Z62" t="s">
        <v>105</v>
      </c>
      <c r="AA62" t="s">
        <v>106</v>
      </c>
      <c r="AB62" t="s">
        <v>67</v>
      </c>
      <c r="AC62" t="s">
        <v>67</v>
      </c>
      <c r="AD62" t="s">
        <v>67</v>
      </c>
      <c r="AE62" t="s">
        <v>90</v>
      </c>
      <c r="AF62" t="s">
        <v>70</v>
      </c>
      <c r="AG62" t="s">
        <v>71</v>
      </c>
      <c r="AH62" t="s">
        <v>72</v>
      </c>
      <c r="AI62" t="s">
        <v>73</v>
      </c>
      <c r="AJ62">
        <v>0</v>
      </c>
      <c r="AK62">
        <v>0</v>
      </c>
      <c r="AL62">
        <v>0</v>
      </c>
      <c r="AM62">
        <v>0</v>
      </c>
      <c r="AN62">
        <v>23</v>
      </c>
      <c r="AO62">
        <v>5315.22</v>
      </c>
      <c r="AP62">
        <v>43.171999999999997</v>
      </c>
      <c r="AV62">
        <v>-1</v>
      </c>
    </row>
    <row r="63" spans="1:48" x14ac:dyDescent="0.55000000000000004">
      <c r="A63" t="str">
        <f>HYPERLINK("https://www.infodis.net/philips/net/Shipment/Details?InfodisNumber=4552878&amp;DomainCode=DAP", "4552878")</f>
        <v>4552878</v>
      </c>
      <c r="B63" t="s">
        <v>471</v>
      </c>
      <c r="C63" t="s">
        <v>410</v>
      </c>
      <c r="D63" t="s">
        <v>411</v>
      </c>
      <c r="E63" t="s">
        <v>94</v>
      </c>
      <c r="F63" t="s">
        <v>141</v>
      </c>
      <c r="G63" t="s">
        <v>96</v>
      </c>
      <c r="H63" t="s">
        <v>79</v>
      </c>
      <c r="I63" t="s">
        <v>472</v>
      </c>
      <c r="J63" t="s">
        <v>142</v>
      </c>
      <c r="K63" t="s">
        <v>143</v>
      </c>
      <c r="L63" t="s">
        <v>83</v>
      </c>
      <c r="M63" t="s">
        <v>60</v>
      </c>
      <c r="N63" t="s">
        <v>473</v>
      </c>
      <c r="P63" t="s">
        <v>415</v>
      </c>
      <c r="R63" t="s">
        <v>144</v>
      </c>
      <c r="S63" s="2">
        <v>44144</v>
      </c>
      <c r="T63" s="2">
        <v>44153</v>
      </c>
      <c r="U63" s="2">
        <v>44154</v>
      </c>
      <c r="V63" s="2">
        <v>44158</v>
      </c>
      <c r="Y63" t="s">
        <v>89</v>
      </c>
      <c r="Z63" t="s">
        <v>127</v>
      </c>
      <c r="AA63" t="s">
        <v>474</v>
      </c>
      <c r="AB63" t="s">
        <v>67</v>
      </c>
      <c r="AC63" t="s">
        <v>67</v>
      </c>
      <c r="AD63" t="s">
        <v>67</v>
      </c>
      <c r="AE63" t="s">
        <v>90</v>
      </c>
      <c r="AF63" t="s">
        <v>70</v>
      </c>
      <c r="AG63" t="s">
        <v>71</v>
      </c>
      <c r="AH63" t="s">
        <v>72</v>
      </c>
      <c r="AI63" t="s">
        <v>73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6039.36</v>
      </c>
      <c r="AP63">
        <v>46.003999999999998</v>
      </c>
      <c r="AV63">
        <v>-1</v>
      </c>
    </row>
    <row r="64" spans="1:48" x14ac:dyDescent="0.55000000000000004">
      <c r="A64" t="str">
        <f>HYPERLINK("https://www.infodis.net/philips/net/Shipment/Details?InfodisNumber=4552890&amp;DomainCode=DAP", "4552890")</f>
        <v>4552890</v>
      </c>
      <c r="B64" t="s">
        <v>475</v>
      </c>
      <c r="C64" t="s">
        <v>410</v>
      </c>
      <c r="D64" t="s">
        <v>411</v>
      </c>
      <c r="E64" t="s">
        <v>94</v>
      </c>
      <c r="F64" t="s">
        <v>141</v>
      </c>
      <c r="G64" t="s">
        <v>96</v>
      </c>
      <c r="H64" t="s">
        <v>79</v>
      </c>
      <c r="I64" t="s">
        <v>472</v>
      </c>
      <c r="J64" t="s">
        <v>142</v>
      </c>
      <c r="K64" t="s">
        <v>143</v>
      </c>
      <c r="L64" t="s">
        <v>83</v>
      </c>
      <c r="M64" t="s">
        <v>60</v>
      </c>
      <c r="N64" t="s">
        <v>476</v>
      </c>
      <c r="P64" t="s">
        <v>415</v>
      </c>
      <c r="R64" t="s">
        <v>144</v>
      </c>
      <c r="S64" s="2">
        <v>44144</v>
      </c>
      <c r="T64" s="2">
        <v>44153</v>
      </c>
      <c r="U64" s="2">
        <v>44154</v>
      </c>
      <c r="V64" s="2">
        <v>44158</v>
      </c>
      <c r="Y64" t="s">
        <v>89</v>
      </c>
      <c r="Z64" t="s">
        <v>127</v>
      </c>
      <c r="AA64" t="s">
        <v>474</v>
      </c>
      <c r="AB64" t="s">
        <v>67</v>
      </c>
      <c r="AC64" t="s">
        <v>67</v>
      </c>
      <c r="AD64" t="s">
        <v>67</v>
      </c>
      <c r="AE64" t="s">
        <v>90</v>
      </c>
      <c r="AF64" t="s">
        <v>70</v>
      </c>
      <c r="AG64" t="s">
        <v>71</v>
      </c>
      <c r="AH64" t="s">
        <v>72</v>
      </c>
      <c r="AI64" t="s">
        <v>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6039.36</v>
      </c>
      <c r="AP64">
        <v>45.093999999999987</v>
      </c>
      <c r="AV64">
        <v>-1</v>
      </c>
    </row>
    <row r="65" spans="1:48" x14ac:dyDescent="0.55000000000000004">
      <c r="A65" t="str">
        <f>HYPERLINK("https://www.infodis.net/philips/net/Shipment/Details?InfodisNumber=4553242&amp;DomainCode=DAP", "4553242")</f>
        <v>4553242</v>
      </c>
      <c r="B65" t="s">
        <v>477</v>
      </c>
      <c r="C65" t="s">
        <v>421</v>
      </c>
      <c r="D65" t="s">
        <v>422</v>
      </c>
      <c r="E65" t="s">
        <v>94</v>
      </c>
      <c r="F65" t="s">
        <v>423</v>
      </c>
      <c r="G65" t="s">
        <v>424</v>
      </c>
      <c r="H65" t="s">
        <v>79</v>
      </c>
      <c r="I65" t="s">
        <v>112</v>
      </c>
      <c r="J65" t="s">
        <v>405</v>
      </c>
      <c r="K65" t="s">
        <v>425</v>
      </c>
      <c r="L65" t="s">
        <v>307</v>
      </c>
      <c r="M65" t="s">
        <v>60</v>
      </c>
      <c r="P65" t="s">
        <v>428</v>
      </c>
      <c r="R65" t="s">
        <v>429</v>
      </c>
      <c r="S65" s="2">
        <v>44144</v>
      </c>
      <c r="T65" s="2">
        <v>44166</v>
      </c>
      <c r="V65" s="2">
        <v>44171</v>
      </c>
      <c r="Y65" t="s">
        <v>89</v>
      </c>
      <c r="Z65" t="s">
        <v>65</v>
      </c>
      <c r="AA65" t="s">
        <v>65</v>
      </c>
      <c r="AB65" t="s">
        <v>67</v>
      </c>
      <c r="AC65" t="s">
        <v>67</v>
      </c>
      <c r="AD65" t="s">
        <v>67</v>
      </c>
      <c r="AE65" t="s">
        <v>69</v>
      </c>
      <c r="AF65" t="s">
        <v>70</v>
      </c>
      <c r="AG65" t="s">
        <v>71</v>
      </c>
      <c r="AH65" t="s">
        <v>72</v>
      </c>
      <c r="AI65" t="s">
        <v>73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5000</v>
      </c>
      <c r="AP65">
        <v>65</v>
      </c>
      <c r="AV65">
        <v>-1</v>
      </c>
    </row>
    <row r="66" spans="1:48" x14ac:dyDescent="0.55000000000000004">
      <c r="A66" t="str">
        <f>HYPERLINK("https://www.infodis.net/philips/net/Shipment/Details?InfodisNumber=4553586&amp;DomainCode=DAP", "4553586")</f>
        <v>4553586</v>
      </c>
      <c r="B66" t="s">
        <v>478</v>
      </c>
      <c r="C66" t="s">
        <v>479</v>
      </c>
      <c r="D66" t="s">
        <v>432</v>
      </c>
      <c r="E66" t="s">
        <v>94</v>
      </c>
      <c r="F66" t="s">
        <v>203</v>
      </c>
      <c r="G66" t="s">
        <v>480</v>
      </c>
      <c r="H66" t="s">
        <v>79</v>
      </c>
      <c r="I66" t="s">
        <v>112</v>
      </c>
      <c r="J66" t="s">
        <v>205</v>
      </c>
      <c r="K66" t="s">
        <v>481</v>
      </c>
      <c r="L66" t="s">
        <v>207</v>
      </c>
      <c r="M66" t="s">
        <v>60</v>
      </c>
      <c r="P66" t="s">
        <v>466</v>
      </c>
      <c r="R66" t="s">
        <v>482</v>
      </c>
      <c r="S66" s="2">
        <v>44144</v>
      </c>
      <c r="T66" s="2">
        <v>44198</v>
      </c>
      <c r="V66" s="2">
        <v>44202</v>
      </c>
      <c r="Y66" t="s">
        <v>89</v>
      </c>
      <c r="Z66" t="s">
        <v>118</v>
      </c>
      <c r="AA66" t="s">
        <v>210</v>
      </c>
      <c r="AB66" t="s">
        <v>67</v>
      </c>
      <c r="AC66" t="s">
        <v>67</v>
      </c>
      <c r="AD66" t="s">
        <v>67</v>
      </c>
      <c r="AE66" t="s">
        <v>483</v>
      </c>
      <c r="AF66" t="s">
        <v>70</v>
      </c>
      <c r="AG66" t="s">
        <v>71</v>
      </c>
      <c r="AH66" t="s">
        <v>72</v>
      </c>
      <c r="AI66" t="s">
        <v>73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V66">
        <v>-1</v>
      </c>
    </row>
    <row r="67" spans="1:48" x14ac:dyDescent="0.55000000000000004">
      <c r="A67" t="str">
        <f>HYPERLINK("https://www.infodis.net/philips/net/Shipment/Details?InfodisNumber=4553391&amp;DomainCode=DAP", "4553391")</f>
        <v>4553391</v>
      </c>
      <c r="B67" t="s">
        <v>484</v>
      </c>
      <c r="C67" t="s">
        <v>479</v>
      </c>
      <c r="D67" t="s">
        <v>432</v>
      </c>
      <c r="E67" t="s">
        <v>94</v>
      </c>
      <c r="F67" t="s">
        <v>423</v>
      </c>
      <c r="G67" t="s">
        <v>480</v>
      </c>
      <c r="H67" t="s">
        <v>79</v>
      </c>
      <c r="I67" t="s">
        <v>112</v>
      </c>
      <c r="J67" t="s">
        <v>283</v>
      </c>
      <c r="K67" t="s">
        <v>425</v>
      </c>
      <c r="L67" t="s">
        <v>307</v>
      </c>
      <c r="M67" t="s">
        <v>60</v>
      </c>
      <c r="P67" t="s">
        <v>466</v>
      </c>
      <c r="R67" t="s">
        <v>429</v>
      </c>
      <c r="S67" s="2">
        <v>44144</v>
      </c>
      <c r="T67" s="2">
        <v>44198</v>
      </c>
      <c r="V67" s="2">
        <v>44202</v>
      </c>
      <c r="Y67" t="s">
        <v>89</v>
      </c>
      <c r="Z67" t="s">
        <v>273</v>
      </c>
      <c r="AA67" t="s">
        <v>273</v>
      </c>
      <c r="AB67" t="s">
        <v>67</v>
      </c>
      <c r="AC67" t="s">
        <v>67</v>
      </c>
      <c r="AD67" t="s">
        <v>67</v>
      </c>
      <c r="AE67" t="s">
        <v>485</v>
      </c>
      <c r="AF67" t="s">
        <v>70</v>
      </c>
      <c r="AG67" t="s">
        <v>71</v>
      </c>
      <c r="AH67" t="s">
        <v>72</v>
      </c>
      <c r="AI67" t="s">
        <v>73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V67">
        <v>-1</v>
      </c>
    </row>
    <row r="68" spans="1:48" x14ac:dyDescent="0.55000000000000004">
      <c r="A68" t="str">
        <f>HYPERLINK("https://www.infodis.net/philips/net/Shipment/Details?InfodisNumber=4553699&amp;DomainCode=DAP", "4553699")</f>
        <v>4553699</v>
      </c>
      <c r="B68" t="s">
        <v>486</v>
      </c>
      <c r="C68" t="s">
        <v>479</v>
      </c>
      <c r="D68" t="s">
        <v>432</v>
      </c>
      <c r="E68" t="s">
        <v>94</v>
      </c>
      <c r="F68" t="s">
        <v>228</v>
      </c>
      <c r="G68" t="s">
        <v>480</v>
      </c>
      <c r="H68" t="s">
        <v>79</v>
      </c>
      <c r="I68" t="s">
        <v>112</v>
      </c>
      <c r="J68" t="s">
        <v>487</v>
      </c>
      <c r="K68" t="s">
        <v>233</v>
      </c>
      <c r="L68" t="s">
        <v>234</v>
      </c>
      <c r="M68" t="s">
        <v>60</v>
      </c>
      <c r="P68" t="s">
        <v>466</v>
      </c>
      <c r="R68" t="s">
        <v>236</v>
      </c>
      <c r="S68" s="2">
        <v>44144</v>
      </c>
      <c r="T68" s="2">
        <v>44197</v>
      </c>
      <c r="V68" s="2">
        <v>44202</v>
      </c>
      <c r="Y68" t="s">
        <v>89</v>
      </c>
      <c r="Z68" t="s">
        <v>273</v>
      </c>
      <c r="AA68" t="s">
        <v>273</v>
      </c>
      <c r="AB68" t="s">
        <v>67</v>
      </c>
      <c r="AC68" t="s">
        <v>67</v>
      </c>
      <c r="AD68" t="s">
        <v>67</v>
      </c>
      <c r="AE68" t="s">
        <v>69</v>
      </c>
      <c r="AF68" t="s">
        <v>70</v>
      </c>
      <c r="AG68" t="s">
        <v>71</v>
      </c>
      <c r="AH68" t="s">
        <v>72</v>
      </c>
      <c r="AI68" t="s">
        <v>73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V68">
        <v>-1</v>
      </c>
    </row>
    <row r="69" spans="1:48" x14ac:dyDescent="0.55000000000000004">
      <c r="A69" t="str">
        <f>HYPERLINK("https://www.infodis.net/philips/net/Shipment/Details?InfodisNumber=4554120&amp;DomainCode=DAP", "4554120")</f>
        <v>4554120</v>
      </c>
      <c r="B69" t="s">
        <v>488</v>
      </c>
      <c r="C69" t="s">
        <v>489</v>
      </c>
      <c r="D69" t="s">
        <v>490</v>
      </c>
      <c r="E69" t="s">
        <v>94</v>
      </c>
      <c r="F69" t="s">
        <v>95</v>
      </c>
      <c r="G69" t="s">
        <v>96</v>
      </c>
      <c r="H69" t="s">
        <v>79</v>
      </c>
      <c r="I69" t="s">
        <v>97</v>
      </c>
      <c r="J69" t="s">
        <v>491</v>
      </c>
      <c r="K69" t="s">
        <v>99</v>
      </c>
      <c r="L69" t="s">
        <v>100</v>
      </c>
      <c r="M69" t="s">
        <v>60</v>
      </c>
      <c r="N69" t="s">
        <v>492</v>
      </c>
      <c r="O69" t="s">
        <v>493</v>
      </c>
      <c r="P69" t="s">
        <v>103</v>
      </c>
      <c r="R69" t="s">
        <v>104</v>
      </c>
      <c r="S69" s="2">
        <v>44145</v>
      </c>
      <c r="T69" s="2">
        <v>44145</v>
      </c>
      <c r="U69" s="2">
        <v>44145</v>
      </c>
      <c r="V69" s="2">
        <v>44150</v>
      </c>
      <c r="W69" s="2">
        <v>44151</v>
      </c>
      <c r="Y69" t="s">
        <v>89</v>
      </c>
      <c r="Z69" t="s">
        <v>105</v>
      </c>
      <c r="AA69" t="s">
        <v>106</v>
      </c>
      <c r="AB69" t="s">
        <v>67</v>
      </c>
      <c r="AC69" t="s">
        <v>67</v>
      </c>
      <c r="AD69" t="s">
        <v>67</v>
      </c>
      <c r="AE69" t="s">
        <v>90</v>
      </c>
      <c r="AF69" t="s">
        <v>70</v>
      </c>
      <c r="AG69" t="s">
        <v>71</v>
      </c>
      <c r="AH69" t="s">
        <v>72</v>
      </c>
      <c r="AI69" t="s">
        <v>73</v>
      </c>
      <c r="AJ69">
        <v>0</v>
      </c>
      <c r="AK69">
        <v>0</v>
      </c>
      <c r="AL69">
        <v>0</v>
      </c>
      <c r="AM69">
        <v>0</v>
      </c>
      <c r="AN69">
        <v>20</v>
      </c>
      <c r="AO69">
        <v>6365.4</v>
      </c>
      <c r="AP69">
        <v>48.481000000000002</v>
      </c>
      <c r="AV69">
        <v>-1</v>
      </c>
    </row>
    <row r="70" spans="1:48" x14ac:dyDescent="0.55000000000000004">
      <c r="A70" t="str">
        <f>HYPERLINK("https://www.infodis.net/philips/net/Shipment/Details?InfodisNumber=4554454&amp;DomainCode=DAP", "4554454")</f>
        <v>4554454</v>
      </c>
      <c r="B70" t="s">
        <v>494</v>
      </c>
      <c r="C70" t="s">
        <v>479</v>
      </c>
      <c r="D70" t="s">
        <v>432</v>
      </c>
      <c r="E70" t="s">
        <v>94</v>
      </c>
      <c r="F70" t="s">
        <v>214</v>
      </c>
      <c r="G70" t="s">
        <v>480</v>
      </c>
      <c r="H70" t="s">
        <v>79</v>
      </c>
      <c r="I70" t="s">
        <v>122</v>
      </c>
      <c r="J70" t="s">
        <v>495</v>
      </c>
      <c r="K70" t="s">
        <v>216</v>
      </c>
      <c r="L70" t="s">
        <v>55</v>
      </c>
      <c r="M70" t="s">
        <v>84</v>
      </c>
      <c r="P70" t="s">
        <v>466</v>
      </c>
      <c r="R70" t="s">
        <v>496</v>
      </c>
      <c r="S70" s="2">
        <v>44145</v>
      </c>
      <c r="T70" s="2">
        <v>44200</v>
      </c>
      <c r="V70" s="2">
        <v>44205</v>
      </c>
      <c r="Y70" t="s">
        <v>89</v>
      </c>
      <c r="Z70" t="s">
        <v>238</v>
      </c>
      <c r="AA70" t="s">
        <v>238</v>
      </c>
      <c r="AB70" t="s">
        <v>67</v>
      </c>
      <c r="AC70" t="s">
        <v>67</v>
      </c>
      <c r="AD70" t="s">
        <v>67</v>
      </c>
      <c r="AE70" t="s">
        <v>136</v>
      </c>
      <c r="AF70" t="s">
        <v>70</v>
      </c>
      <c r="AG70" t="s">
        <v>71</v>
      </c>
      <c r="AH70" t="s">
        <v>72</v>
      </c>
      <c r="AI70" t="s">
        <v>73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V70">
        <v>-1</v>
      </c>
    </row>
    <row r="71" spans="1:48" x14ac:dyDescent="0.55000000000000004">
      <c r="A71" t="str">
        <f>HYPERLINK("https://www.infodis.net/philips/net/Shipment/Details?InfodisNumber=4554621&amp;DomainCode=DAP", "4554621")</f>
        <v>4554621</v>
      </c>
      <c r="B71" t="s">
        <v>497</v>
      </c>
      <c r="C71" t="s">
        <v>498</v>
      </c>
      <c r="D71" t="s">
        <v>499</v>
      </c>
      <c r="E71" t="s">
        <v>94</v>
      </c>
      <c r="F71" t="s">
        <v>95</v>
      </c>
      <c r="G71" t="s">
        <v>96</v>
      </c>
      <c r="H71" t="s">
        <v>79</v>
      </c>
      <c r="I71" t="s">
        <v>80</v>
      </c>
      <c r="J71" t="s">
        <v>412</v>
      </c>
      <c r="K71" t="s">
        <v>99</v>
      </c>
      <c r="L71" t="s">
        <v>100</v>
      </c>
      <c r="M71" t="s">
        <v>60</v>
      </c>
      <c r="N71" t="s">
        <v>115</v>
      </c>
      <c r="O71" t="s">
        <v>500</v>
      </c>
      <c r="P71" t="s">
        <v>501</v>
      </c>
      <c r="R71" t="s">
        <v>104</v>
      </c>
      <c r="S71" s="2">
        <v>44145</v>
      </c>
      <c r="T71" s="2">
        <v>44145</v>
      </c>
      <c r="U71" s="2">
        <v>44146</v>
      </c>
      <c r="V71" s="2">
        <v>44150</v>
      </c>
      <c r="Y71" t="s">
        <v>89</v>
      </c>
      <c r="Z71" t="s">
        <v>105</v>
      </c>
      <c r="AA71" t="s">
        <v>106</v>
      </c>
      <c r="AB71" t="s">
        <v>67</v>
      </c>
      <c r="AC71" t="s">
        <v>67</v>
      </c>
      <c r="AD71" t="s">
        <v>67</v>
      </c>
      <c r="AE71" t="s">
        <v>502</v>
      </c>
      <c r="AF71" t="s">
        <v>70</v>
      </c>
      <c r="AG71" t="s">
        <v>71</v>
      </c>
      <c r="AH71" t="s">
        <v>72</v>
      </c>
      <c r="AI71" t="s">
        <v>73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23790.855</v>
      </c>
      <c r="AP71">
        <v>178.15600000000001</v>
      </c>
      <c r="AV71">
        <v>-1</v>
      </c>
    </row>
    <row r="72" spans="1:48" x14ac:dyDescent="0.55000000000000004">
      <c r="A72" t="str">
        <f>HYPERLINK("https://www.infodis.net/philips/net/Shipment/Details?InfodisNumber=4554691&amp;DomainCode=DAP", "4554691")</f>
        <v>4554691</v>
      </c>
      <c r="B72" t="s">
        <v>503</v>
      </c>
      <c r="C72" t="s">
        <v>479</v>
      </c>
      <c r="D72" t="s">
        <v>432</v>
      </c>
      <c r="E72" t="s">
        <v>94</v>
      </c>
      <c r="F72" t="s">
        <v>367</v>
      </c>
      <c r="G72" t="s">
        <v>480</v>
      </c>
      <c r="H72" t="s">
        <v>79</v>
      </c>
      <c r="I72" t="s">
        <v>122</v>
      </c>
      <c r="J72" t="s">
        <v>157</v>
      </c>
      <c r="K72" t="s">
        <v>369</v>
      </c>
      <c r="L72" t="s">
        <v>159</v>
      </c>
      <c r="M72" t="s">
        <v>60</v>
      </c>
      <c r="P72" t="s">
        <v>466</v>
      </c>
      <c r="R72" t="s">
        <v>370</v>
      </c>
      <c r="S72" s="2">
        <v>44145</v>
      </c>
      <c r="T72" s="2">
        <v>44198</v>
      </c>
      <c r="V72" s="2">
        <v>44202</v>
      </c>
      <c r="Y72" t="s">
        <v>89</v>
      </c>
      <c r="Z72" t="s">
        <v>127</v>
      </c>
      <c r="AA72" t="s">
        <v>371</v>
      </c>
      <c r="AB72" t="s">
        <v>67</v>
      </c>
      <c r="AC72" t="s">
        <v>67</v>
      </c>
      <c r="AD72" t="s">
        <v>67</v>
      </c>
      <c r="AE72" t="s">
        <v>69</v>
      </c>
      <c r="AF72" t="s">
        <v>70</v>
      </c>
      <c r="AG72" t="s">
        <v>71</v>
      </c>
      <c r="AH72" t="s">
        <v>72</v>
      </c>
      <c r="AI72" t="s">
        <v>73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V72">
        <v>-1</v>
      </c>
    </row>
    <row r="73" spans="1:48" x14ac:dyDescent="0.55000000000000004">
      <c r="A73" t="str">
        <f>HYPERLINK("https://www.infodis.net/philips/net/Shipment/Details?InfodisNumber=4554983&amp;DomainCode=DAP", "4554983")</f>
        <v>4554983</v>
      </c>
      <c r="B73" t="s">
        <v>504</v>
      </c>
      <c r="C73" t="s">
        <v>278</v>
      </c>
      <c r="D73" t="s">
        <v>279</v>
      </c>
      <c r="E73" t="s">
        <v>278</v>
      </c>
      <c r="F73" t="s">
        <v>256</v>
      </c>
      <c r="G73" t="s">
        <v>281</v>
      </c>
      <c r="H73" t="s">
        <v>79</v>
      </c>
      <c r="I73" t="s">
        <v>282</v>
      </c>
      <c r="J73" t="s">
        <v>258</v>
      </c>
      <c r="K73" t="s">
        <v>259</v>
      </c>
      <c r="L73" t="s">
        <v>260</v>
      </c>
      <c r="M73" t="s">
        <v>261</v>
      </c>
      <c r="N73" t="s">
        <v>505</v>
      </c>
      <c r="O73" t="s">
        <v>506</v>
      </c>
      <c r="P73" t="s">
        <v>286</v>
      </c>
      <c r="R73" t="s">
        <v>262</v>
      </c>
      <c r="S73" s="2">
        <v>44146</v>
      </c>
      <c r="T73" s="2">
        <v>44147</v>
      </c>
      <c r="V73" s="2">
        <v>44152</v>
      </c>
      <c r="W73" s="2">
        <v>44158</v>
      </c>
      <c r="Y73" t="s">
        <v>66</v>
      </c>
      <c r="Z73" t="s">
        <v>65</v>
      </c>
      <c r="AA73" t="s">
        <v>65</v>
      </c>
      <c r="AB73" t="s">
        <v>68</v>
      </c>
      <c r="AC73" t="s">
        <v>67</v>
      </c>
      <c r="AD73" t="s">
        <v>67</v>
      </c>
      <c r="AE73" t="s">
        <v>90</v>
      </c>
      <c r="AF73" t="s">
        <v>70</v>
      </c>
      <c r="AG73" t="s">
        <v>71</v>
      </c>
      <c r="AH73" t="s">
        <v>72</v>
      </c>
      <c r="AI73" t="s">
        <v>73</v>
      </c>
      <c r="AJ73">
        <v>0</v>
      </c>
      <c r="AK73">
        <v>0</v>
      </c>
      <c r="AL73">
        <v>0</v>
      </c>
      <c r="AM73">
        <v>0</v>
      </c>
      <c r="AN73">
        <v>40</v>
      </c>
      <c r="AO73">
        <v>5780.88</v>
      </c>
      <c r="AP73">
        <v>40</v>
      </c>
      <c r="AV73">
        <v>-1</v>
      </c>
    </row>
    <row r="74" spans="1:48" x14ac:dyDescent="0.55000000000000004">
      <c r="A74" t="str">
        <f>HYPERLINK("https://www.infodis.net/philips/net/Shipment/Details?InfodisNumber=4555149&amp;DomainCode=DAP", "4555149")</f>
        <v>4555149</v>
      </c>
      <c r="B74" t="s">
        <v>507</v>
      </c>
      <c r="C74" t="s">
        <v>201</v>
      </c>
      <c r="D74" t="s">
        <v>202</v>
      </c>
      <c r="E74" t="s">
        <v>94</v>
      </c>
      <c r="F74" t="s">
        <v>121</v>
      </c>
      <c r="G74" t="s">
        <v>204</v>
      </c>
      <c r="H74" t="s">
        <v>79</v>
      </c>
      <c r="I74" t="s">
        <v>122</v>
      </c>
      <c r="J74" t="s">
        <v>508</v>
      </c>
      <c r="K74" t="s">
        <v>124</v>
      </c>
      <c r="L74" t="s">
        <v>125</v>
      </c>
      <c r="M74" t="s">
        <v>60</v>
      </c>
      <c r="P74" t="s">
        <v>208</v>
      </c>
      <c r="R74" t="s">
        <v>126</v>
      </c>
      <c r="S74" s="2">
        <v>44146</v>
      </c>
      <c r="T74" s="2">
        <v>44165</v>
      </c>
      <c r="V74" s="2">
        <v>44170</v>
      </c>
      <c r="Y74" t="s">
        <v>89</v>
      </c>
      <c r="Z74" t="s">
        <v>509</v>
      </c>
      <c r="AA74" t="s">
        <v>509</v>
      </c>
      <c r="AB74" t="s">
        <v>67</v>
      </c>
      <c r="AC74" t="s">
        <v>67</v>
      </c>
      <c r="AD74" t="s">
        <v>67</v>
      </c>
      <c r="AE74" t="s">
        <v>69</v>
      </c>
      <c r="AF74" t="s">
        <v>70</v>
      </c>
      <c r="AG74" t="s">
        <v>71</v>
      </c>
      <c r="AH74" t="s">
        <v>72</v>
      </c>
      <c r="AI74" t="s">
        <v>73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8888</v>
      </c>
      <c r="AP74">
        <v>68</v>
      </c>
      <c r="AV74">
        <v>-1</v>
      </c>
    </row>
    <row r="75" spans="1:48" x14ac:dyDescent="0.55000000000000004">
      <c r="A75" t="str">
        <f>HYPERLINK("https://www.infodis.net/philips/net/Shipment/Details?InfodisNumber=4556001&amp;DomainCode=DAP", "4556001")</f>
        <v>4556001</v>
      </c>
      <c r="B75" t="s">
        <v>510</v>
      </c>
      <c r="C75" t="s">
        <v>431</v>
      </c>
      <c r="D75" t="s">
        <v>432</v>
      </c>
      <c r="E75" t="s">
        <v>94</v>
      </c>
      <c r="F75" t="s">
        <v>228</v>
      </c>
      <c r="G75" t="s">
        <v>433</v>
      </c>
      <c r="H75" t="s">
        <v>79</v>
      </c>
      <c r="I75" t="s">
        <v>80</v>
      </c>
      <c r="J75" t="s">
        <v>511</v>
      </c>
      <c r="K75" t="s">
        <v>233</v>
      </c>
      <c r="L75" t="s">
        <v>234</v>
      </c>
      <c r="M75" t="s">
        <v>60</v>
      </c>
      <c r="O75" t="s">
        <v>512</v>
      </c>
      <c r="P75" t="s">
        <v>436</v>
      </c>
      <c r="R75" t="s">
        <v>236</v>
      </c>
      <c r="S75" s="2">
        <v>44147</v>
      </c>
      <c r="T75" s="2">
        <v>44148</v>
      </c>
      <c r="U75" s="2">
        <v>44147</v>
      </c>
      <c r="V75" s="2">
        <v>44153</v>
      </c>
      <c r="W75" s="2">
        <v>44156</v>
      </c>
      <c r="Y75" t="s">
        <v>89</v>
      </c>
      <c r="Z75" t="s">
        <v>138</v>
      </c>
      <c r="AA75" t="s">
        <v>138</v>
      </c>
      <c r="AB75" t="s">
        <v>67</v>
      </c>
      <c r="AC75" t="s">
        <v>67</v>
      </c>
      <c r="AD75" t="s">
        <v>67</v>
      </c>
      <c r="AE75" t="s">
        <v>136</v>
      </c>
      <c r="AF75" t="s">
        <v>70</v>
      </c>
      <c r="AG75" t="s">
        <v>71</v>
      </c>
      <c r="AH75" t="s">
        <v>72</v>
      </c>
      <c r="AI75" t="s">
        <v>73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12192.641</v>
      </c>
      <c r="AP75">
        <v>111.372</v>
      </c>
      <c r="AV75">
        <v>-1</v>
      </c>
    </row>
    <row r="76" spans="1:48" x14ac:dyDescent="0.55000000000000004">
      <c r="A76" t="str">
        <f>HYPERLINK("https://www.infodis.net/philips/net/Shipment/Details?InfodisNumber=4556077&amp;DomainCode=DAP", "4556077")</f>
        <v>4556077</v>
      </c>
      <c r="B76" t="s">
        <v>513</v>
      </c>
      <c r="C76" t="s">
        <v>75</v>
      </c>
      <c r="D76" t="s">
        <v>76</v>
      </c>
      <c r="E76" t="s">
        <v>75</v>
      </c>
      <c r="F76" t="s">
        <v>77</v>
      </c>
      <c r="G76" t="s">
        <v>78</v>
      </c>
      <c r="H76" t="s">
        <v>79</v>
      </c>
      <c r="I76" t="s">
        <v>80</v>
      </c>
      <c r="J76" t="s">
        <v>81</v>
      </c>
      <c r="K76" t="s">
        <v>82</v>
      </c>
      <c r="L76" t="s">
        <v>83</v>
      </c>
      <c r="M76" t="s">
        <v>84</v>
      </c>
      <c r="N76" t="s">
        <v>514</v>
      </c>
      <c r="P76" t="s">
        <v>86</v>
      </c>
      <c r="R76" t="s">
        <v>87</v>
      </c>
      <c r="S76" s="2">
        <v>44147</v>
      </c>
      <c r="T76" s="2">
        <v>44151</v>
      </c>
      <c r="V76" s="2">
        <v>44156</v>
      </c>
      <c r="Y76" t="s">
        <v>88</v>
      </c>
      <c r="Z76" t="s">
        <v>89</v>
      </c>
      <c r="AA76" t="s">
        <v>89</v>
      </c>
      <c r="AB76" t="s">
        <v>67</v>
      </c>
      <c r="AC76" t="s">
        <v>67</v>
      </c>
      <c r="AD76" t="s">
        <v>67</v>
      </c>
      <c r="AE76" t="s">
        <v>90</v>
      </c>
      <c r="AF76" t="s">
        <v>70</v>
      </c>
      <c r="AG76" t="s">
        <v>71</v>
      </c>
      <c r="AH76" t="s">
        <v>72</v>
      </c>
      <c r="AI76" t="s">
        <v>73</v>
      </c>
      <c r="AJ76">
        <v>0</v>
      </c>
      <c r="AK76">
        <v>0</v>
      </c>
      <c r="AL76">
        <v>0</v>
      </c>
      <c r="AM76">
        <v>0</v>
      </c>
      <c r="AN76">
        <v>40</v>
      </c>
      <c r="AO76">
        <v>8907.68</v>
      </c>
      <c r="AP76">
        <v>40</v>
      </c>
      <c r="AV76">
        <v>-1</v>
      </c>
    </row>
    <row r="77" spans="1:48" x14ac:dyDescent="0.55000000000000004">
      <c r="A77" t="str">
        <f>HYPERLINK("https://www.infodis.net/philips/net/Shipment/Details?InfodisNumber=4556284&amp;DomainCode=DAP", "4556284")</f>
        <v>4556284</v>
      </c>
      <c r="B77" t="s">
        <v>515</v>
      </c>
      <c r="C77" t="s">
        <v>351</v>
      </c>
      <c r="D77" t="s">
        <v>352</v>
      </c>
      <c r="E77" t="s">
        <v>94</v>
      </c>
      <c r="F77" t="s">
        <v>353</v>
      </c>
      <c r="G77" t="s">
        <v>354</v>
      </c>
      <c r="H77" t="s">
        <v>79</v>
      </c>
      <c r="I77" t="s">
        <v>122</v>
      </c>
      <c r="J77" t="s">
        <v>516</v>
      </c>
      <c r="K77" t="s">
        <v>356</v>
      </c>
      <c r="L77" t="s">
        <v>357</v>
      </c>
      <c r="M77" t="s">
        <v>358</v>
      </c>
      <c r="N77" t="s">
        <v>517</v>
      </c>
      <c r="O77" t="s">
        <v>518</v>
      </c>
      <c r="P77" t="s">
        <v>360</v>
      </c>
      <c r="R77" t="s">
        <v>361</v>
      </c>
      <c r="S77" s="2">
        <v>44147</v>
      </c>
      <c r="T77" s="2">
        <v>44155</v>
      </c>
      <c r="V77" s="2">
        <v>44160</v>
      </c>
      <c r="W77" s="2">
        <v>44158</v>
      </c>
      <c r="Y77" t="s">
        <v>89</v>
      </c>
      <c r="Z77" t="s">
        <v>65</v>
      </c>
      <c r="AA77" t="s">
        <v>65</v>
      </c>
      <c r="AB77" t="s">
        <v>67</v>
      </c>
      <c r="AC77" t="s">
        <v>67</v>
      </c>
      <c r="AD77" t="s">
        <v>67</v>
      </c>
      <c r="AE77" t="s">
        <v>69</v>
      </c>
      <c r="AF77" t="s">
        <v>70</v>
      </c>
      <c r="AG77" t="s">
        <v>71</v>
      </c>
      <c r="AH77" t="s">
        <v>72</v>
      </c>
      <c r="AI77" t="s">
        <v>73</v>
      </c>
      <c r="AJ77">
        <v>0</v>
      </c>
      <c r="AK77">
        <v>0</v>
      </c>
      <c r="AL77">
        <v>0</v>
      </c>
      <c r="AM77">
        <v>0</v>
      </c>
      <c r="AN77">
        <v>58</v>
      </c>
      <c r="AO77">
        <v>86.715000000000003</v>
      </c>
      <c r="AP77">
        <v>0.85099999999999998</v>
      </c>
      <c r="AV77">
        <v>-1</v>
      </c>
    </row>
    <row r="78" spans="1:48" x14ac:dyDescent="0.55000000000000004">
      <c r="A78" t="str">
        <f>HYPERLINK("https://www.infodis.net/philips/net/Shipment/Details?InfodisNumber=4556280&amp;DomainCode=DAP", "4556280")</f>
        <v>4556280</v>
      </c>
      <c r="B78" t="s">
        <v>519</v>
      </c>
      <c r="C78" t="s">
        <v>520</v>
      </c>
      <c r="D78" t="s">
        <v>521</v>
      </c>
      <c r="E78" t="s">
        <v>94</v>
      </c>
      <c r="F78" t="s">
        <v>353</v>
      </c>
      <c r="G78" t="s">
        <v>522</v>
      </c>
      <c r="H78" t="s">
        <v>79</v>
      </c>
      <c r="I78" t="s">
        <v>122</v>
      </c>
      <c r="J78" t="s">
        <v>523</v>
      </c>
      <c r="K78" t="s">
        <v>524</v>
      </c>
      <c r="L78" t="s">
        <v>357</v>
      </c>
      <c r="M78" t="s">
        <v>358</v>
      </c>
      <c r="N78" t="s">
        <v>115</v>
      </c>
      <c r="P78" t="s">
        <v>525</v>
      </c>
      <c r="R78" t="s">
        <v>526</v>
      </c>
      <c r="S78" s="2">
        <v>44147</v>
      </c>
      <c r="T78" s="2">
        <v>44160</v>
      </c>
      <c r="V78" s="2">
        <v>44173</v>
      </c>
      <c r="Y78" t="s">
        <v>89</v>
      </c>
      <c r="Z78" t="s">
        <v>273</v>
      </c>
      <c r="AA78" t="s">
        <v>273</v>
      </c>
      <c r="AB78" t="s">
        <v>67</v>
      </c>
      <c r="AC78" t="s">
        <v>67</v>
      </c>
      <c r="AD78" t="s">
        <v>67</v>
      </c>
      <c r="AE78" t="s">
        <v>136</v>
      </c>
      <c r="AF78" t="s">
        <v>70</v>
      </c>
      <c r="AG78" t="s">
        <v>71</v>
      </c>
      <c r="AH78" t="s">
        <v>199</v>
      </c>
      <c r="AI78" t="s">
        <v>73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13000</v>
      </c>
      <c r="AP78">
        <v>130</v>
      </c>
      <c r="AV78">
        <v>-1</v>
      </c>
    </row>
    <row r="79" spans="1:48" x14ac:dyDescent="0.55000000000000004">
      <c r="A79" t="str">
        <f>HYPERLINK("https://www.infodis.net/philips/net/Shipment/Details?InfodisNumber=4563129&amp;DomainCode=DAP", "4563129")</f>
        <v>4563129</v>
      </c>
      <c r="B79" t="s">
        <v>527</v>
      </c>
      <c r="C79" t="s">
        <v>479</v>
      </c>
      <c r="D79" t="s">
        <v>432</v>
      </c>
      <c r="E79" t="s">
        <v>94</v>
      </c>
      <c r="F79" t="s">
        <v>528</v>
      </c>
      <c r="G79" t="s">
        <v>480</v>
      </c>
      <c r="H79" t="s">
        <v>79</v>
      </c>
      <c r="I79" t="s">
        <v>122</v>
      </c>
      <c r="J79" t="s">
        <v>529</v>
      </c>
      <c r="K79" t="s">
        <v>530</v>
      </c>
      <c r="L79" t="s">
        <v>73</v>
      </c>
      <c r="M79" t="s">
        <v>385</v>
      </c>
      <c r="P79" t="s">
        <v>466</v>
      </c>
      <c r="R79" t="s">
        <v>531</v>
      </c>
      <c r="S79" s="2">
        <v>44155</v>
      </c>
      <c r="T79" s="2">
        <v>44170</v>
      </c>
      <c r="V79" s="2">
        <v>44174</v>
      </c>
      <c r="Y79" t="s">
        <v>89</v>
      </c>
      <c r="Z79" t="s">
        <v>135</v>
      </c>
      <c r="AA79" t="s">
        <v>66</v>
      </c>
      <c r="AB79" t="s">
        <v>67</v>
      </c>
      <c r="AC79" t="s">
        <v>67</v>
      </c>
      <c r="AD79" t="s">
        <v>68</v>
      </c>
      <c r="AE79" t="s">
        <v>90</v>
      </c>
      <c r="AF79" t="s">
        <v>70</v>
      </c>
      <c r="AG79" t="s">
        <v>71</v>
      </c>
      <c r="AH79" t="s">
        <v>72</v>
      </c>
      <c r="AI79" t="s">
        <v>73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V79">
        <v>-1</v>
      </c>
    </row>
    <row r="80" spans="1:48" x14ac:dyDescent="0.55000000000000004">
      <c r="A80" t="str">
        <f>HYPERLINK("https://www.infodis.net/philips/net/Shipment/Details?InfodisNumber=4557063&amp;DomainCode=DAP", "4557063")</f>
        <v>4557063</v>
      </c>
      <c r="B80" t="s">
        <v>532</v>
      </c>
      <c r="C80" t="s">
        <v>108</v>
      </c>
      <c r="D80" t="s">
        <v>109</v>
      </c>
      <c r="E80" t="s">
        <v>94</v>
      </c>
      <c r="F80" t="s">
        <v>129</v>
      </c>
      <c r="G80" t="s">
        <v>111</v>
      </c>
      <c r="H80" t="s">
        <v>79</v>
      </c>
      <c r="I80" t="s">
        <v>112</v>
      </c>
      <c r="J80" t="s">
        <v>130</v>
      </c>
      <c r="K80" t="s">
        <v>131</v>
      </c>
      <c r="L80" t="s">
        <v>132</v>
      </c>
      <c r="M80" t="s">
        <v>133</v>
      </c>
      <c r="P80" t="s">
        <v>116</v>
      </c>
      <c r="R80" t="s">
        <v>134</v>
      </c>
      <c r="S80" s="2">
        <v>44148</v>
      </c>
      <c r="T80" s="2">
        <v>44168</v>
      </c>
      <c r="V80" s="2">
        <v>44173</v>
      </c>
      <c r="Y80" t="s">
        <v>89</v>
      </c>
      <c r="Z80" t="s">
        <v>138</v>
      </c>
      <c r="AA80" t="s">
        <v>138</v>
      </c>
      <c r="AB80" t="s">
        <v>67</v>
      </c>
      <c r="AC80" t="s">
        <v>67</v>
      </c>
      <c r="AD80" t="s">
        <v>67</v>
      </c>
      <c r="AE80" t="s">
        <v>69</v>
      </c>
      <c r="AF80" t="s">
        <v>70</v>
      </c>
      <c r="AG80" t="s">
        <v>71</v>
      </c>
      <c r="AH80" t="s">
        <v>72</v>
      </c>
      <c r="AI80" t="s">
        <v>73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8900</v>
      </c>
      <c r="AP80">
        <v>68</v>
      </c>
      <c r="AV80">
        <v>-1</v>
      </c>
    </row>
    <row r="81" spans="1:48" x14ac:dyDescent="0.55000000000000004">
      <c r="A81" t="str">
        <f>HYPERLINK("https://www.infodis.net/philips/net/Shipment/Details?InfodisNumber=4556920&amp;DomainCode=DAP", "4556920")</f>
        <v>4556920</v>
      </c>
      <c r="B81" t="s">
        <v>533</v>
      </c>
      <c r="C81" t="s">
        <v>431</v>
      </c>
      <c r="D81" t="s">
        <v>432</v>
      </c>
      <c r="E81" t="s">
        <v>94</v>
      </c>
      <c r="F81" t="s">
        <v>449</v>
      </c>
      <c r="G81" t="s">
        <v>433</v>
      </c>
      <c r="H81" t="s">
        <v>79</v>
      </c>
      <c r="I81" t="s">
        <v>434</v>
      </c>
      <c r="J81" t="s">
        <v>451</v>
      </c>
      <c r="K81" t="s">
        <v>452</v>
      </c>
      <c r="L81" t="s">
        <v>453</v>
      </c>
      <c r="M81" t="s">
        <v>60</v>
      </c>
      <c r="O81" t="s">
        <v>534</v>
      </c>
      <c r="P81" t="s">
        <v>436</v>
      </c>
      <c r="R81" t="s">
        <v>454</v>
      </c>
      <c r="S81" s="2">
        <v>44148</v>
      </c>
      <c r="T81" s="2">
        <v>44149</v>
      </c>
      <c r="U81" s="2">
        <v>44148</v>
      </c>
      <c r="V81" s="2">
        <v>44153</v>
      </c>
      <c r="W81" s="2">
        <v>44153</v>
      </c>
      <c r="Y81" t="s">
        <v>89</v>
      </c>
      <c r="Z81" t="s">
        <v>273</v>
      </c>
      <c r="AA81" t="s">
        <v>273</v>
      </c>
      <c r="AB81" t="s">
        <v>67</v>
      </c>
      <c r="AC81" t="s">
        <v>67</v>
      </c>
      <c r="AD81" t="s">
        <v>67</v>
      </c>
      <c r="AE81" t="s">
        <v>136</v>
      </c>
      <c r="AF81" t="s">
        <v>70</v>
      </c>
      <c r="AG81" t="s">
        <v>71</v>
      </c>
      <c r="AH81" t="s">
        <v>72</v>
      </c>
      <c r="AI81" t="s">
        <v>73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18205.554</v>
      </c>
      <c r="AP81">
        <v>120.152</v>
      </c>
      <c r="AV81">
        <v>-1</v>
      </c>
    </row>
    <row r="82" spans="1:48" x14ac:dyDescent="0.55000000000000004">
      <c r="A82" t="str">
        <f>HYPERLINK("https://www.infodis.net/philips/net/Shipment/Details?InfodisNumber=4557001&amp;DomainCode=DAP", "4557001")</f>
        <v>4557001</v>
      </c>
      <c r="B82" t="s">
        <v>535</v>
      </c>
      <c r="C82" t="s">
        <v>108</v>
      </c>
      <c r="D82" t="s">
        <v>109</v>
      </c>
      <c r="E82" t="s">
        <v>94</v>
      </c>
      <c r="F82" t="s">
        <v>110</v>
      </c>
      <c r="G82" t="s">
        <v>111</v>
      </c>
      <c r="H82" t="s">
        <v>79</v>
      </c>
      <c r="I82" t="s">
        <v>112</v>
      </c>
      <c r="J82" t="s">
        <v>113</v>
      </c>
      <c r="K82" t="s">
        <v>114</v>
      </c>
      <c r="L82" t="s">
        <v>59</v>
      </c>
      <c r="M82" t="s">
        <v>60</v>
      </c>
      <c r="N82" t="s">
        <v>115</v>
      </c>
      <c r="P82" t="s">
        <v>116</v>
      </c>
      <c r="R82" t="s">
        <v>117</v>
      </c>
      <c r="S82" s="2">
        <v>44148</v>
      </c>
      <c r="T82" s="2">
        <v>44168</v>
      </c>
      <c r="V82" s="2">
        <v>44173</v>
      </c>
      <c r="Y82" t="s">
        <v>89</v>
      </c>
      <c r="Z82" t="s">
        <v>138</v>
      </c>
      <c r="AA82" t="s">
        <v>138</v>
      </c>
      <c r="AB82" t="s">
        <v>67</v>
      </c>
      <c r="AC82" t="s">
        <v>67</v>
      </c>
      <c r="AD82" t="s">
        <v>67</v>
      </c>
      <c r="AE82" t="s">
        <v>119</v>
      </c>
      <c r="AF82" t="s">
        <v>70</v>
      </c>
      <c r="AG82" t="s">
        <v>71</v>
      </c>
      <c r="AH82" t="s">
        <v>72</v>
      </c>
      <c r="AI82" t="s">
        <v>73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17800</v>
      </c>
      <c r="AP82">
        <v>116</v>
      </c>
      <c r="AV82">
        <v>-1</v>
      </c>
    </row>
    <row r="83" spans="1:48" x14ac:dyDescent="0.55000000000000004">
      <c r="A83" t="str">
        <f>HYPERLINK("https://www.infodis.net/philips/net/Shipment/Details?InfodisNumber=4557002&amp;DomainCode=DAP", "4557002")</f>
        <v>4557002</v>
      </c>
      <c r="B83" t="s">
        <v>536</v>
      </c>
      <c r="C83" t="s">
        <v>108</v>
      </c>
      <c r="D83" t="s">
        <v>109</v>
      </c>
      <c r="E83" t="s">
        <v>94</v>
      </c>
      <c r="F83" t="s">
        <v>141</v>
      </c>
      <c r="G83" t="s">
        <v>111</v>
      </c>
      <c r="H83" t="s">
        <v>79</v>
      </c>
      <c r="I83" t="s">
        <v>122</v>
      </c>
      <c r="J83" t="s">
        <v>142</v>
      </c>
      <c r="K83" t="s">
        <v>143</v>
      </c>
      <c r="L83" t="s">
        <v>83</v>
      </c>
      <c r="M83" t="s">
        <v>60</v>
      </c>
      <c r="N83" t="s">
        <v>115</v>
      </c>
      <c r="P83" t="s">
        <v>116</v>
      </c>
      <c r="R83" t="s">
        <v>144</v>
      </c>
      <c r="S83" s="2">
        <v>44148</v>
      </c>
      <c r="T83" s="2">
        <v>44168</v>
      </c>
      <c r="V83" s="2">
        <v>44175</v>
      </c>
      <c r="Y83" t="s">
        <v>89</v>
      </c>
      <c r="Z83" t="s">
        <v>105</v>
      </c>
      <c r="AA83" t="s">
        <v>105</v>
      </c>
      <c r="AB83" t="s">
        <v>67</v>
      </c>
      <c r="AC83" t="s">
        <v>67</v>
      </c>
      <c r="AD83" t="s">
        <v>67</v>
      </c>
      <c r="AE83" t="s">
        <v>145</v>
      </c>
      <c r="AF83" t="s">
        <v>70</v>
      </c>
      <c r="AG83" t="s">
        <v>71</v>
      </c>
      <c r="AH83" t="s">
        <v>72</v>
      </c>
      <c r="AI83" t="s">
        <v>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23400</v>
      </c>
      <c r="AP83">
        <v>194</v>
      </c>
      <c r="AV83">
        <v>-1</v>
      </c>
    </row>
    <row r="84" spans="1:48" x14ac:dyDescent="0.55000000000000004">
      <c r="A84" t="str">
        <f>HYPERLINK("https://www.infodis.net/philips/net/Shipment/Details?InfodisNumber=4557008&amp;DomainCode=DAP", "4557008")</f>
        <v>4557008</v>
      </c>
      <c r="B84" t="s">
        <v>537</v>
      </c>
      <c r="C84" t="s">
        <v>108</v>
      </c>
      <c r="D84" t="s">
        <v>109</v>
      </c>
      <c r="E84" t="s">
        <v>94</v>
      </c>
      <c r="F84" t="s">
        <v>141</v>
      </c>
      <c r="G84" t="s">
        <v>111</v>
      </c>
      <c r="H84" t="s">
        <v>79</v>
      </c>
      <c r="I84" t="s">
        <v>112</v>
      </c>
      <c r="J84" t="s">
        <v>142</v>
      </c>
      <c r="K84" t="s">
        <v>143</v>
      </c>
      <c r="L84" t="s">
        <v>83</v>
      </c>
      <c r="M84" t="s">
        <v>60</v>
      </c>
      <c r="N84" t="s">
        <v>115</v>
      </c>
      <c r="P84" t="s">
        <v>116</v>
      </c>
      <c r="R84" t="s">
        <v>144</v>
      </c>
      <c r="S84" s="2">
        <v>44148</v>
      </c>
      <c r="T84" s="2">
        <v>44169</v>
      </c>
      <c r="V84" s="2">
        <v>44174</v>
      </c>
      <c r="Y84" t="s">
        <v>89</v>
      </c>
      <c r="Z84" t="s">
        <v>118</v>
      </c>
      <c r="AA84" t="s">
        <v>118</v>
      </c>
      <c r="AB84" t="s">
        <v>67</v>
      </c>
      <c r="AC84" t="s">
        <v>67</v>
      </c>
      <c r="AD84" t="s">
        <v>67</v>
      </c>
      <c r="AE84" t="s">
        <v>145</v>
      </c>
      <c r="AF84" t="s">
        <v>70</v>
      </c>
      <c r="AG84" t="s">
        <v>71</v>
      </c>
      <c r="AH84" t="s">
        <v>72</v>
      </c>
      <c r="AI84" t="s">
        <v>73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23400</v>
      </c>
      <c r="AP84">
        <v>194</v>
      </c>
      <c r="AV84">
        <v>-1</v>
      </c>
    </row>
    <row r="85" spans="1:48" x14ac:dyDescent="0.55000000000000004">
      <c r="A85" t="str">
        <f>HYPERLINK("https://www.infodis.net/philips/net/Shipment/Details?InfodisNumber=4557022&amp;DomainCode=DAP", "4557022")</f>
        <v>4557022</v>
      </c>
      <c r="B85" t="s">
        <v>538</v>
      </c>
      <c r="C85" t="s">
        <v>479</v>
      </c>
      <c r="D85" t="s">
        <v>432</v>
      </c>
      <c r="E85" t="s">
        <v>94</v>
      </c>
      <c r="F85" t="s">
        <v>528</v>
      </c>
      <c r="G85" t="s">
        <v>480</v>
      </c>
      <c r="H85" t="s">
        <v>79</v>
      </c>
      <c r="I85" t="s">
        <v>122</v>
      </c>
      <c r="J85" t="s">
        <v>529</v>
      </c>
      <c r="K85" t="s">
        <v>530</v>
      </c>
      <c r="L85" t="s">
        <v>73</v>
      </c>
      <c r="M85" t="s">
        <v>385</v>
      </c>
      <c r="P85" t="s">
        <v>466</v>
      </c>
      <c r="R85" t="s">
        <v>531</v>
      </c>
      <c r="S85" s="2">
        <v>44148</v>
      </c>
      <c r="T85" s="2">
        <v>44163</v>
      </c>
      <c r="V85" s="2">
        <v>44166</v>
      </c>
      <c r="Y85" t="s">
        <v>89</v>
      </c>
      <c r="Z85" t="s">
        <v>135</v>
      </c>
      <c r="AA85" t="s">
        <v>66</v>
      </c>
      <c r="AB85" t="s">
        <v>67</v>
      </c>
      <c r="AC85" t="s">
        <v>67</v>
      </c>
      <c r="AD85" t="s">
        <v>68</v>
      </c>
      <c r="AE85" t="s">
        <v>162</v>
      </c>
      <c r="AF85" t="s">
        <v>70</v>
      </c>
      <c r="AG85" t="s">
        <v>71</v>
      </c>
      <c r="AH85" t="s">
        <v>72</v>
      </c>
      <c r="AI85" t="s">
        <v>73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V85">
        <v>-1</v>
      </c>
    </row>
    <row r="86" spans="1:48" x14ac:dyDescent="0.55000000000000004">
      <c r="A86" t="str">
        <f>HYPERLINK("https://www.infodis.net/philips/net/Shipment/Details?InfodisNumber=4557324&amp;DomainCode=DAP", "4557324")</f>
        <v>4557324</v>
      </c>
      <c r="B86" t="s">
        <v>539</v>
      </c>
      <c r="C86" t="s">
        <v>108</v>
      </c>
      <c r="D86" t="s">
        <v>109</v>
      </c>
      <c r="E86" t="s">
        <v>94</v>
      </c>
      <c r="F86" t="s">
        <v>110</v>
      </c>
      <c r="G86" t="s">
        <v>111</v>
      </c>
      <c r="H86" t="s">
        <v>79</v>
      </c>
      <c r="I86" t="s">
        <v>112</v>
      </c>
      <c r="J86" t="s">
        <v>113</v>
      </c>
      <c r="K86" t="s">
        <v>114</v>
      </c>
      <c r="L86" t="s">
        <v>59</v>
      </c>
      <c r="M86" t="s">
        <v>60</v>
      </c>
      <c r="N86" t="s">
        <v>115</v>
      </c>
      <c r="P86" t="s">
        <v>116</v>
      </c>
      <c r="R86" t="s">
        <v>117</v>
      </c>
      <c r="S86" s="2">
        <v>44148</v>
      </c>
      <c r="T86" s="2">
        <v>44175</v>
      </c>
      <c r="V86" s="2">
        <v>44180</v>
      </c>
      <c r="Y86" t="s">
        <v>89</v>
      </c>
      <c r="Z86" t="s">
        <v>138</v>
      </c>
      <c r="AA86" t="s">
        <v>138</v>
      </c>
      <c r="AB86" t="s">
        <v>67</v>
      </c>
      <c r="AC86" t="s">
        <v>67</v>
      </c>
      <c r="AD86" t="s">
        <v>67</v>
      </c>
      <c r="AE86" t="s">
        <v>119</v>
      </c>
      <c r="AF86" t="s">
        <v>70</v>
      </c>
      <c r="AG86" t="s">
        <v>71</v>
      </c>
      <c r="AH86" t="s">
        <v>72</v>
      </c>
      <c r="AI86" t="s">
        <v>73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13000</v>
      </c>
      <c r="AP86">
        <v>116</v>
      </c>
      <c r="AV86">
        <v>-1</v>
      </c>
    </row>
    <row r="87" spans="1:48" x14ac:dyDescent="0.55000000000000004">
      <c r="A87" t="str">
        <f>HYPERLINK("https://www.infodis.net/philips/net/Shipment/Details?InfodisNumber=4557327&amp;DomainCode=DAP", "4557327")</f>
        <v>4557327</v>
      </c>
      <c r="B87" t="s">
        <v>540</v>
      </c>
      <c r="C87" t="s">
        <v>108</v>
      </c>
      <c r="D87" t="s">
        <v>109</v>
      </c>
      <c r="E87" t="s">
        <v>94</v>
      </c>
      <c r="F87" t="s">
        <v>141</v>
      </c>
      <c r="G87" t="s">
        <v>111</v>
      </c>
      <c r="H87" t="s">
        <v>79</v>
      </c>
      <c r="I87" t="s">
        <v>80</v>
      </c>
      <c r="J87" t="s">
        <v>142</v>
      </c>
      <c r="K87" t="s">
        <v>143</v>
      </c>
      <c r="L87" t="s">
        <v>83</v>
      </c>
      <c r="M87" t="s">
        <v>60</v>
      </c>
      <c r="N87" t="s">
        <v>115</v>
      </c>
      <c r="P87" t="s">
        <v>116</v>
      </c>
      <c r="R87" t="s">
        <v>144</v>
      </c>
      <c r="S87" s="2">
        <v>44148</v>
      </c>
      <c r="T87" s="2">
        <v>44175</v>
      </c>
      <c r="V87" s="2">
        <v>44180</v>
      </c>
      <c r="Y87" t="s">
        <v>89</v>
      </c>
      <c r="Z87" t="s">
        <v>105</v>
      </c>
      <c r="AA87" t="s">
        <v>105</v>
      </c>
      <c r="AB87" t="s">
        <v>67</v>
      </c>
      <c r="AC87" t="s">
        <v>67</v>
      </c>
      <c r="AD87" t="s">
        <v>67</v>
      </c>
      <c r="AE87" t="s">
        <v>145</v>
      </c>
      <c r="AF87" t="s">
        <v>70</v>
      </c>
      <c r="AG87" t="s">
        <v>71</v>
      </c>
      <c r="AH87" t="s">
        <v>72</v>
      </c>
      <c r="AI87" t="s">
        <v>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23400</v>
      </c>
      <c r="AP87">
        <v>194</v>
      </c>
      <c r="AV87">
        <v>-1</v>
      </c>
    </row>
    <row r="88" spans="1:48" x14ac:dyDescent="0.55000000000000004">
      <c r="A88" t="str">
        <f>HYPERLINK("https://www.infodis.net/philips/net/Shipment/Details?InfodisNumber=4557343&amp;DomainCode=DAP", "4557343")</f>
        <v>4557343</v>
      </c>
      <c r="B88" t="s">
        <v>541</v>
      </c>
      <c r="C88" t="s">
        <v>108</v>
      </c>
      <c r="D88" t="s">
        <v>109</v>
      </c>
      <c r="E88" t="s">
        <v>94</v>
      </c>
      <c r="F88" t="s">
        <v>141</v>
      </c>
      <c r="G88" t="s">
        <v>111</v>
      </c>
      <c r="H88" t="s">
        <v>79</v>
      </c>
      <c r="I88" t="s">
        <v>112</v>
      </c>
      <c r="J88" t="s">
        <v>142</v>
      </c>
      <c r="K88" t="s">
        <v>143</v>
      </c>
      <c r="L88" t="s">
        <v>83</v>
      </c>
      <c r="M88" t="s">
        <v>60</v>
      </c>
      <c r="N88" t="s">
        <v>115</v>
      </c>
      <c r="P88" t="s">
        <v>116</v>
      </c>
      <c r="R88" t="s">
        <v>144</v>
      </c>
      <c r="S88" s="2">
        <v>44148</v>
      </c>
      <c r="T88" s="2">
        <v>44175</v>
      </c>
      <c r="V88" s="2">
        <v>44180</v>
      </c>
      <c r="Y88" t="s">
        <v>89</v>
      </c>
      <c r="Z88" t="s">
        <v>118</v>
      </c>
      <c r="AA88" t="s">
        <v>118</v>
      </c>
      <c r="AB88" t="s">
        <v>67</v>
      </c>
      <c r="AC88" t="s">
        <v>67</v>
      </c>
      <c r="AD88" t="s">
        <v>67</v>
      </c>
      <c r="AE88" t="s">
        <v>145</v>
      </c>
      <c r="AF88" t="s">
        <v>70</v>
      </c>
      <c r="AG88" t="s">
        <v>71</v>
      </c>
      <c r="AH88" t="s">
        <v>72</v>
      </c>
      <c r="AI88" t="s">
        <v>73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23400</v>
      </c>
      <c r="AP88">
        <v>194</v>
      </c>
      <c r="AV88">
        <v>-1</v>
      </c>
    </row>
    <row r="89" spans="1:48" x14ac:dyDescent="0.55000000000000004">
      <c r="A89" t="str">
        <f>HYPERLINK("https://www.infodis.net/philips/net/Shipment/Details?InfodisNumber=4563799&amp;DomainCode=DAP", "4563799")</f>
        <v>4563799</v>
      </c>
      <c r="B89" t="s">
        <v>542</v>
      </c>
      <c r="C89" t="s">
        <v>543</v>
      </c>
      <c r="D89" t="s">
        <v>544</v>
      </c>
      <c r="E89" t="s">
        <v>94</v>
      </c>
      <c r="F89" t="s">
        <v>545</v>
      </c>
      <c r="G89" t="s">
        <v>546</v>
      </c>
      <c r="H89" t="s">
        <v>79</v>
      </c>
      <c r="I89" t="s">
        <v>80</v>
      </c>
      <c r="J89" t="s">
        <v>547</v>
      </c>
      <c r="K89" t="s">
        <v>548</v>
      </c>
      <c r="L89" t="s">
        <v>180</v>
      </c>
      <c r="M89" t="s">
        <v>60</v>
      </c>
      <c r="N89" t="s">
        <v>549</v>
      </c>
      <c r="O89" t="s">
        <v>550</v>
      </c>
      <c r="P89" t="s">
        <v>551</v>
      </c>
      <c r="R89" t="s">
        <v>552</v>
      </c>
      <c r="S89" s="2">
        <v>44155</v>
      </c>
      <c r="T89" s="2">
        <v>44160</v>
      </c>
      <c r="V89" s="2">
        <v>44165</v>
      </c>
      <c r="Y89" t="s">
        <v>89</v>
      </c>
      <c r="Z89" t="s">
        <v>138</v>
      </c>
      <c r="AA89" t="s">
        <v>138</v>
      </c>
      <c r="AB89" t="s">
        <v>67</v>
      </c>
      <c r="AC89" t="s">
        <v>67</v>
      </c>
      <c r="AD89" t="s">
        <v>67</v>
      </c>
      <c r="AE89" t="s">
        <v>90</v>
      </c>
      <c r="AF89" t="s">
        <v>70</v>
      </c>
      <c r="AG89" t="s">
        <v>71</v>
      </c>
      <c r="AH89" t="s">
        <v>72</v>
      </c>
      <c r="AI89" t="s">
        <v>73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9.5</v>
      </c>
      <c r="AP89">
        <v>4.5999999999999999E-2</v>
      </c>
      <c r="AV89">
        <v>-1</v>
      </c>
    </row>
    <row r="90" spans="1:48" x14ac:dyDescent="0.55000000000000004">
      <c r="A90" t="str">
        <f>HYPERLINK("https://www.infodis.net/philips/net/Shipment/Details?InfodisNumber=4563794&amp;DomainCode=DAP", "4563794")</f>
        <v>4563794</v>
      </c>
      <c r="B90" t="s">
        <v>553</v>
      </c>
      <c r="C90" t="s">
        <v>543</v>
      </c>
      <c r="D90" t="s">
        <v>544</v>
      </c>
      <c r="E90" t="s">
        <v>94</v>
      </c>
      <c r="F90" t="s">
        <v>545</v>
      </c>
      <c r="G90" t="s">
        <v>546</v>
      </c>
      <c r="H90" t="s">
        <v>79</v>
      </c>
      <c r="I90" t="s">
        <v>80</v>
      </c>
      <c r="J90" t="s">
        <v>547</v>
      </c>
      <c r="K90" t="s">
        <v>548</v>
      </c>
      <c r="L90" t="s">
        <v>180</v>
      </c>
      <c r="M90" t="s">
        <v>60</v>
      </c>
      <c r="N90" t="s">
        <v>554</v>
      </c>
      <c r="O90" t="s">
        <v>555</v>
      </c>
      <c r="P90" t="s">
        <v>551</v>
      </c>
      <c r="R90" t="s">
        <v>552</v>
      </c>
      <c r="S90" s="2">
        <v>44155</v>
      </c>
      <c r="T90" s="2">
        <v>44160</v>
      </c>
      <c r="V90" s="2">
        <v>44165</v>
      </c>
      <c r="Y90" t="s">
        <v>89</v>
      </c>
      <c r="Z90" t="s">
        <v>138</v>
      </c>
      <c r="AA90" t="s">
        <v>138</v>
      </c>
      <c r="AB90" t="s">
        <v>67</v>
      </c>
      <c r="AC90" t="s">
        <v>67</v>
      </c>
      <c r="AD90" t="s">
        <v>67</v>
      </c>
      <c r="AE90" t="s">
        <v>90</v>
      </c>
      <c r="AF90" t="s">
        <v>70</v>
      </c>
      <c r="AG90" t="s">
        <v>71</v>
      </c>
      <c r="AH90" t="s">
        <v>72</v>
      </c>
      <c r="AI90" t="s">
        <v>73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4.05</v>
      </c>
      <c r="AP90">
        <v>1.7999999999999999E-2</v>
      </c>
      <c r="AV90">
        <v>-1</v>
      </c>
    </row>
    <row r="91" spans="1:48" x14ac:dyDescent="0.55000000000000004">
      <c r="A91" t="str">
        <f>HYPERLINK("https://www.infodis.net/philips/net/Shipment/Details?InfodisNumber=4563834&amp;DomainCode=DAP", "4563834")</f>
        <v>4563834</v>
      </c>
      <c r="B91" t="s">
        <v>556</v>
      </c>
      <c r="C91" t="s">
        <v>278</v>
      </c>
      <c r="D91" t="s">
        <v>279</v>
      </c>
      <c r="E91" t="s">
        <v>278</v>
      </c>
      <c r="F91" t="s">
        <v>256</v>
      </c>
      <c r="G91" t="s">
        <v>281</v>
      </c>
      <c r="H91" t="s">
        <v>79</v>
      </c>
      <c r="I91" t="s">
        <v>282</v>
      </c>
      <c r="J91" t="s">
        <v>258</v>
      </c>
      <c r="K91" t="s">
        <v>259</v>
      </c>
      <c r="L91" t="s">
        <v>260</v>
      </c>
      <c r="M91" t="s">
        <v>261</v>
      </c>
      <c r="N91" t="s">
        <v>557</v>
      </c>
      <c r="O91" t="s">
        <v>558</v>
      </c>
      <c r="P91" t="s">
        <v>286</v>
      </c>
      <c r="R91" t="s">
        <v>262</v>
      </c>
      <c r="S91" s="2">
        <v>44155</v>
      </c>
      <c r="T91" s="2">
        <v>44154</v>
      </c>
      <c r="V91" s="2">
        <v>44159</v>
      </c>
      <c r="Y91" t="s">
        <v>66</v>
      </c>
      <c r="Z91" t="s">
        <v>65</v>
      </c>
      <c r="AA91" t="s">
        <v>65</v>
      </c>
      <c r="AB91" t="s">
        <v>68</v>
      </c>
      <c r="AC91" t="s">
        <v>67</v>
      </c>
      <c r="AD91" t="s">
        <v>67</v>
      </c>
      <c r="AE91" t="s">
        <v>162</v>
      </c>
      <c r="AF91" t="s">
        <v>70</v>
      </c>
      <c r="AG91" t="s">
        <v>71</v>
      </c>
      <c r="AH91" t="s">
        <v>72</v>
      </c>
      <c r="AI91" t="s">
        <v>73</v>
      </c>
      <c r="AJ91">
        <v>0</v>
      </c>
      <c r="AK91">
        <v>0</v>
      </c>
      <c r="AL91">
        <v>0</v>
      </c>
      <c r="AM91">
        <v>0</v>
      </c>
      <c r="AN91">
        <v>27</v>
      </c>
      <c r="AO91">
        <v>3508.8</v>
      </c>
      <c r="AP91">
        <v>27</v>
      </c>
      <c r="AV91">
        <v>-1</v>
      </c>
    </row>
    <row r="92" spans="1:48" x14ac:dyDescent="0.55000000000000004">
      <c r="A92" t="str">
        <f>HYPERLINK("https://www.infodis.net/philips/net/Shipment/Details?InfodisNumber=4564024&amp;DomainCode=DAP", "4564024")</f>
        <v>4564024</v>
      </c>
      <c r="B92" t="s">
        <v>559</v>
      </c>
      <c r="C92" t="s">
        <v>560</v>
      </c>
      <c r="D92" t="s">
        <v>561</v>
      </c>
      <c r="E92" t="s">
        <v>562</v>
      </c>
      <c r="F92" t="s">
        <v>563</v>
      </c>
      <c r="G92" t="s">
        <v>54</v>
      </c>
      <c r="H92" t="s">
        <v>55</v>
      </c>
      <c r="I92" t="s">
        <v>495</v>
      </c>
      <c r="J92" t="s">
        <v>564</v>
      </c>
      <c r="K92" t="s">
        <v>565</v>
      </c>
      <c r="L92" t="s">
        <v>566</v>
      </c>
      <c r="M92" t="s">
        <v>133</v>
      </c>
      <c r="N92" t="s">
        <v>115</v>
      </c>
      <c r="P92" t="s">
        <v>63</v>
      </c>
      <c r="S92" s="2">
        <v>44155</v>
      </c>
      <c r="T92" s="2">
        <v>44162</v>
      </c>
      <c r="V92" s="2">
        <v>44167</v>
      </c>
      <c r="Y92" t="s">
        <v>238</v>
      </c>
      <c r="Z92" t="s">
        <v>238</v>
      </c>
      <c r="AA92" t="s">
        <v>66</v>
      </c>
      <c r="AB92" t="s">
        <v>67</v>
      </c>
      <c r="AC92" t="s">
        <v>67</v>
      </c>
      <c r="AD92" t="s">
        <v>68</v>
      </c>
      <c r="AE92" t="s">
        <v>567</v>
      </c>
      <c r="AF92" t="s">
        <v>70</v>
      </c>
      <c r="AG92" t="s">
        <v>71</v>
      </c>
      <c r="AH92" t="s">
        <v>72</v>
      </c>
      <c r="AI92" t="s">
        <v>73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6000</v>
      </c>
      <c r="AP92">
        <v>38</v>
      </c>
      <c r="AV92">
        <v>-1</v>
      </c>
    </row>
    <row r="93" spans="1:48" x14ac:dyDescent="0.55000000000000004">
      <c r="A93" t="str">
        <f>HYPERLINK("https://www.infodis.net/philips/net/Shipment/Details?InfodisNumber=4564130&amp;DomainCode=DAP", "4564130")</f>
        <v>4564130</v>
      </c>
      <c r="B93" t="s">
        <v>568</v>
      </c>
      <c r="C93" t="s">
        <v>569</v>
      </c>
      <c r="D93" t="s">
        <v>570</v>
      </c>
      <c r="E93" t="s">
        <v>571</v>
      </c>
      <c r="F93" t="s">
        <v>571</v>
      </c>
      <c r="G93" t="s">
        <v>572</v>
      </c>
      <c r="H93" t="s">
        <v>125</v>
      </c>
      <c r="I93" t="s">
        <v>508</v>
      </c>
      <c r="J93" t="s">
        <v>80</v>
      </c>
      <c r="K93" t="s">
        <v>546</v>
      </c>
      <c r="L93" t="s">
        <v>79</v>
      </c>
      <c r="M93" t="s">
        <v>84</v>
      </c>
      <c r="N93" t="s">
        <v>573</v>
      </c>
      <c r="P93" t="s">
        <v>574</v>
      </c>
      <c r="R93" t="s">
        <v>575</v>
      </c>
      <c r="S93" s="2">
        <v>44155</v>
      </c>
      <c r="T93" s="2">
        <v>44161</v>
      </c>
      <c r="V93" s="2">
        <v>44166</v>
      </c>
      <c r="Y93" t="s">
        <v>576</v>
      </c>
      <c r="Z93" t="s">
        <v>576</v>
      </c>
      <c r="AA93" t="s">
        <v>576</v>
      </c>
      <c r="AB93" t="s">
        <v>67</v>
      </c>
      <c r="AC93" t="s">
        <v>67</v>
      </c>
      <c r="AD93" t="s">
        <v>67</v>
      </c>
      <c r="AE93" t="s">
        <v>90</v>
      </c>
      <c r="AF93" t="s">
        <v>70</v>
      </c>
      <c r="AG93" t="s">
        <v>71</v>
      </c>
      <c r="AH93" t="s">
        <v>72</v>
      </c>
      <c r="AI93" t="s">
        <v>73</v>
      </c>
      <c r="AJ93">
        <v>0</v>
      </c>
      <c r="AK93">
        <v>0</v>
      </c>
      <c r="AL93">
        <v>0</v>
      </c>
      <c r="AM93">
        <v>0</v>
      </c>
      <c r="AN93">
        <v>39</v>
      </c>
      <c r="AO93">
        <v>3746</v>
      </c>
      <c r="AP93">
        <v>25.184999999999999</v>
      </c>
      <c r="AV93">
        <v>-1</v>
      </c>
    </row>
    <row r="94" spans="1:48" x14ac:dyDescent="0.55000000000000004">
      <c r="A94" t="str">
        <f>HYPERLINK("https://www.infodis.net/philips/net/Shipment/Details?InfodisNumber=4564457&amp;DomainCode=DAP", "4564457")</f>
        <v>4564457</v>
      </c>
      <c r="B94" t="s">
        <v>577</v>
      </c>
      <c r="C94" t="s">
        <v>431</v>
      </c>
      <c r="D94" t="s">
        <v>432</v>
      </c>
      <c r="E94" t="s">
        <v>94</v>
      </c>
      <c r="F94" t="s">
        <v>578</v>
      </c>
      <c r="G94" t="s">
        <v>433</v>
      </c>
      <c r="H94" t="s">
        <v>79</v>
      </c>
      <c r="I94" t="s">
        <v>434</v>
      </c>
      <c r="J94" t="s">
        <v>579</v>
      </c>
      <c r="K94" t="s">
        <v>580</v>
      </c>
      <c r="L94" t="s">
        <v>380</v>
      </c>
      <c r="M94" t="s">
        <v>60</v>
      </c>
      <c r="O94" t="s">
        <v>581</v>
      </c>
      <c r="P94" t="s">
        <v>436</v>
      </c>
      <c r="R94" t="s">
        <v>582</v>
      </c>
      <c r="S94" s="2">
        <v>44158</v>
      </c>
      <c r="T94" s="2">
        <v>44159</v>
      </c>
      <c r="U94" s="2">
        <v>44157</v>
      </c>
      <c r="V94" s="2">
        <v>44164</v>
      </c>
      <c r="Y94" t="s">
        <v>89</v>
      </c>
      <c r="Z94" t="s">
        <v>127</v>
      </c>
      <c r="AA94" t="s">
        <v>127</v>
      </c>
      <c r="AB94" t="s">
        <v>67</v>
      </c>
      <c r="AC94" t="s">
        <v>67</v>
      </c>
      <c r="AD94" t="s">
        <v>67</v>
      </c>
      <c r="AE94" t="s">
        <v>90</v>
      </c>
      <c r="AF94" t="s">
        <v>70</v>
      </c>
      <c r="AG94" t="s">
        <v>71</v>
      </c>
      <c r="AH94" t="s">
        <v>72</v>
      </c>
      <c r="AI94" t="s">
        <v>73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3836.1959999999999</v>
      </c>
      <c r="AP94">
        <v>29.783999999999999</v>
      </c>
      <c r="AV94">
        <v>-1</v>
      </c>
    </row>
    <row r="95" spans="1:48" x14ac:dyDescent="0.55000000000000004">
      <c r="A95" t="str">
        <f>HYPERLINK("https://www.infodis.net/philips/net/Shipment/Details?InfodisNumber=4564517&amp;DomainCode=DAP", "4564517")</f>
        <v>4564517</v>
      </c>
      <c r="B95" t="s">
        <v>583</v>
      </c>
      <c r="C95" t="s">
        <v>278</v>
      </c>
      <c r="D95" t="s">
        <v>279</v>
      </c>
      <c r="E95" t="s">
        <v>278</v>
      </c>
      <c r="F95" t="s">
        <v>191</v>
      </c>
      <c r="G95" t="s">
        <v>281</v>
      </c>
      <c r="H95" t="s">
        <v>79</v>
      </c>
      <c r="I95" t="s">
        <v>282</v>
      </c>
      <c r="J95" t="s">
        <v>194</v>
      </c>
      <c r="K95" t="s">
        <v>195</v>
      </c>
      <c r="L95" t="s">
        <v>180</v>
      </c>
      <c r="M95" t="s">
        <v>84</v>
      </c>
      <c r="P95" t="s">
        <v>286</v>
      </c>
      <c r="R95" t="s">
        <v>197</v>
      </c>
      <c r="S95" s="2">
        <v>44158</v>
      </c>
      <c r="T95" s="2">
        <v>44179</v>
      </c>
      <c r="V95" s="2">
        <v>44184</v>
      </c>
      <c r="Y95" t="s">
        <v>66</v>
      </c>
      <c r="Z95" t="s">
        <v>138</v>
      </c>
      <c r="AA95" t="s">
        <v>198</v>
      </c>
      <c r="AB95" t="s">
        <v>68</v>
      </c>
      <c r="AC95" t="s">
        <v>67</v>
      </c>
      <c r="AD95" t="s">
        <v>67</v>
      </c>
      <c r="AE95" t="s">
        <v>90</v>
      </c>
      <c r="AF95" t="s">
        <v>70</v>
      </c>
      <c r="AG95" t="s">
        <v>71</v>
      </c>
      <c r="AH95" t="s">
        <v>199</v>
      </c>
      <c r="AI95" t="s">
        <v>73</v>
      </c>
      <c r="AJ95">
        <v>0</v>
      </c>
      <c r="AK95">
        <v>0</v>
      </c>
      <c r="AL95">
        <v>0</v>
      </c>
      <c r="AM95">
        <v>0</v>
      </c>
      <c r="AN95">
        <v>13</v>
      </c>
      <c r="AO95">
        <v>8000</v>
      </c>
      <c r="AP95">
        <v>21.84</v>
      </c>
      <c r="AV95">
        <v>-1</v>
      </c>
    </row>
    <row r="96" spans="1:48" x14ac:dyDescent="0.55000000000000004">
      <c r="A96" t="str">
        <f>HYPERLINK("https://www.infodis.net/philips/net/Shipment/Details?InfodisNumber=4564642&amp;DomainCode=DAP", "4564642")</f>
        <v>4564642</v>
      </c>
      <c r="B96" t="s">
        <v>584</v>
      </c>
      <c r="C96" t="s">
        <v>585</v>
      </c>
      <c r="D96" t="s">
        <v>586</v>
      </c>
      <c r="E96" t="s">
        <v>393</v>
      </c>
      <c r="F96" t="s">
        <v>256</v>
      </c>
      <c r="G96" t="s">
        <v>394</v>
      </c>
      <c r="H96" t="s">
        <v>79</v>
      </c>
      <c r="I96" t="s">
        <v>587</v>
      </c>
      <c r="J96" t="s">
        <v>258</v>
      </c>
      <c r="K96" t="s">
        <v>259</v>
      </c>
      <c r="L96" t="s">
        <v>260</v>
      </c>
      <c r="M96" t="s">
        <v>309</v>
      </c>
      <c r="P96" t="s">
        <v>398</v>
      </c>
      <c r="R96" t="s">
        <v>262</v>
      </c>
      <c r="S96" s="2">
        <v>44158</v>
      </c>
      <c r="T96" s="2">
        <v>44159</v>
      </c>
      <c r="V96" s="2">
        <v>44175</v>
      </c>
      <c r="Y96" t="s">
        <v>399</v>
      </c>
      <c r="Z96" t="s">
        <v>65</v>
      </c>
      <c r="AA96" t="s">
        <v>65</v>
      </c>
      <c r="AB96" t="s">
        <v>67</v>
      </c>
      <c r="AC96" t="s">
        <v>67</v>
      </c>
      <c r="AD96" t="s">
        <v>67</v>
      </c>
      <c r="AE96" t="s">
        <v>162</v>
      </c>
      <c r="AF96" t="s">
        <v>70</v>
      </c>
      <c r="AG96" t="s">
        <v>71</v>
      </c>
      <c r="AH96" t="s">
        <v>72</v>
      </c>
      <c r="AI96" t="s">
        <v>73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V96">
        <v>-1</v>
      </c>
    </row>
    <row r="97" spans="1:48" x14ac:dyDescent="0.55000000000000004">
      <c r="A97" t="str">
        <f>HYPERLINK("https://www.infodis.net/philips/net/Shipment/Details?InfodisNumber=4564684&amp;DomainCode=DAP", "4564684")</f>
        <v>4564684</v>
      </c>
      <c r="B97" t="s">
        <v>588</v>
      </c>
      <c r="C97" t="s">
        <v>589</v>
      </c>
      <c r="D97" t="s">
        <v>590</v>
      </c>
      <c r="E97" t="s">
        <v>589</v>
      </c>
      <c r="F97" t="s">
        <v>77</v>
      </c>
      <c r="G97" t="s">
        <v>591</v>
      </c>
      <c r="H97" t="s">
        <v>79</v>
      </c>
      <c r="I97" t="s">
        <v>97</v>
      </c>
      <c r="J97" t="s">
        <v>81</v>
      </c>
      <c r="K97" t="s">
        <v>82</v>
      </c>
      <c r="L97" t="s">
        <v>83</v>
      </c>
      <c r="M97" t="s">
        <v>261</v>
      </c>
      <c r="N97" t="s">
        <v>592</v>
      </c>
      <c r="P97" t="s">
        <v>593</v>
      </c>
      <c r="R97" t="s">
        <v>87</v>
      </c>
      <c r="S97" s="2">
        <v>44158</v>
      </c>
      <c r="T97" s="2">
        <v>44168</v>
      </c>
      <c r="V97" s="2">
        <v>44173</v>
      </c>
      <c r="Y97" t="s">
        <v>66</v>
      </c>
      <c r="Z97" t="s">
        <v>594</v>
      </c>
      <c r="AA97" t="s">
        <v>594</v>
      </c>
      <c r="AB97" t="s">
        <v>68</v>
      </c>
      <c r="AC97" t="s">
        <v>67</v>
      </c>
      <c r="AD97" t="s">
        <v>67</v>
      </c>
      <c r="AE97" t="s">
        <v>90</v>
      </c>
      <c r="AF97" t="s">
        <v>70</v>
      </c>
      <c r="AG97" t="s">
        <v>71</v>
      </c>
      <c r="AH97" t="s">
        <v>72</v>
      </c>
      <c r="AI97" t="s">
        <v>73</v>
      </c>
      <c r="AJ97">
        <v>0</v>
      </c>
      <c r="AK97">
        <v>0</v>
      </c>
      <c r="AL97">
        <v>0</v>
      </c>
      <c r="AM97">
        <v>0</v>
      </c>
      <c r="AN97">
        <v>36</v>
      </c>
      <c r="AO97">
        <v>11075</v>
      </c>
      <c r="AP97">
        <v>54.94</v>
      </c>
      <c r="AV97">
        <v>-1</v>
      </c>
    </row>
    <row r="98" spans="1:48" x14ac:dyDescent="0.55000000000000004">
      <c r="A98" t="str">
        <f>HYPERLINK("https://www.infodis.net/philips/net/Shipment/Details?InfodisNumber=1581319&amp;DomainCode=PHILIPSM1", "1581319")</f>
        <v>1581319</v>
      </c>
      <c r="B98" t="s">
        <v>595</v>
      </c>
      <c r="C98" t="s">
        <v>596</v>
      </c>
      <c r="D98" t="s">
        <v>597</v>
      </c>
      <c r="E98" t="s">
        <v>598</v>
      </c>
      <c r="F98" t="s">
        <v>599</v>
      </c>
      <c r="G98" t="s">
        <v>600</v>
      </c>
      <c r="H98" t="s">
        <v>267</v>
      </c>
      <c r="K98" t="s">
        <v>601</v>
      </c>
      <c r="L98" t="s">
        <v>180</v>
      </c>
      <c r="M98" t="s">
        <v>261</v>
      </c>
      <c r="P98" t="s">
        <v>268</v>
      </c>
      <c r="R98" t="s">
        <v>602</v>
      </c>
      <c r="S98" s="2">
        <v>44158</v>
      </c>
      <c r="T98" s="2">
        <v>44160</v>
      </c>
      <c r="Y98" t="s">
        <v>603</v>
      </c>
      <c r="Z98" t="s">
        <v>604</v>
      </c>
      <c r="AA98" t="s">
        <v>604</v>
      </c>
      <c r="AB98" t="s">
        <v>67</v>
      </c>
      <c r="AC98" t="s">
        <v>67</v>
      </c>
      <c r="AD98" t="s">
        <v>67</v>
      </c>
      <c r="AE98" t="s">
        <v>162</v>
      </c>
      <c r="AF98" t="s">
        <v>70</v>
      </c>
      <c r="AG98" t="s">
        <v>71</v>
      </c>
      <c r="AH98" t="s">
        <v>72</v>
      </c>
      <c r="AI98" t="s">
        <v>605</v>
      </c>
      <c r="AJ98">
        <v>0</v>
      </c>
      <c r="AK98">
        <v>0</v>
      </c>
      <c r="AL98">
        <v>0</v>
      </c>
      <c r="AM98">
        <v>0</v>
      </c>
      <c r="AN98">
        <v>9</v>
      </c>
      <c r="AO98">
        <v>888</v>
      </c>
      <c r="AP98">
        <v>20</v>
      </c>
      <c r="AV98">
        <v>-1</v>
      </c>
    </row>
    <row r="99" spans="1:48" x14ac:dyDescent="0.55000000000000004">
      <c r="A99" t="str">
        <f>HYPERLINK("https://www.infodis.net/philips/net/Shipment/Details?InfodisNumber=7005290&amp;DomainCode=PHILIPSR1", "7005290")</f>
        <v>7005290</v>
      </c>
      <c r="B99" t="s">
        <v>606</v>
      </c>
      <c r="C99" t="s">
        <v>607</v>
      </c>
      <c r="D99" t="s">
        <v>608</v>
      </c>
      <c r="E99" t="s">
        <v>458</v>
      </c>
      <c r="F99" t="s">
        <v>609</v>
      </c>
      <c r="G99" t="s">
        <v>610</v>
      </c>
      <c r="H99" t="s">
        <v>180</v>
      </c>
      <c r="I99" t="s">
        <v>547</v>
      </c>
      <c r="J99" t="s">
        <v>495</v>
      </c>
      <c r="K99" t="s">
        <v>611</v>
      </c>
      <c r="L99" t="s">
        <v>55</v>
      </c>
      <c r="M99" t="s">
        <v>60</v>
      </c>
      <c r="N99" t="s">
        <v>612</v>
      </c>
      <c r="P99" t="s">
        <v>613</v>
      </c>
      <c r="Q99" t="s">
        <v>614</v>
      </c>
      <c r="R99" t="s">
        <v>615</v>
      </c>
      <c r="S99" s="2">
        <v>44158</v>
      </c>
      <c r="T99" s="2">
        <v>44167</v>
      </c>
      <c r="U99" s="2">
        <v>44158</v>
      </c>
      <c r="V99" s="2">
        <v>44172</v>
      </c>
      <c r="Y99" t="s">
        <v>467</v>
      </c>
      <c r="Z99" t="s">
        <v>467</v>
      </c>
      <c r="AA99" t="s">
        <v>467</v>
      </c>
      <c r="AB99" t="s">
        <v>67</v>
      </c>
      <c r="AC99" t="s">
        <v>67</v>
      </c>
      <c r="AD99" t="s">
        <v>67</v>
      </c>
      <c r="AE99" t="s">
        <v>69</v>
      </c>
      <c r="AF99" t="s">
        <v>70</v>
      </c>
      <c r="AG99" t="s">
        <v>71</v>
      </c>
      <c r="AH99" t="s">
        <v>72</v>
      </c>
      <c r="AI99" t="s">
        <v>252</v>
      </c>
      <c r="AJ99">
        <v>0</v>
      </c>
      <c r="AK99">
        <v>0</v>
      </c>
      <c r="AL99">
        <v>0</v>
      </c>
      <c r="AM99">
        <v>0</v>
      </c>
      <c r="AN99">
        <v>24</v>
      </c>
      <c r="AO99">
        <v>4225.7959999999994</v>
      </c>
      <c r="AP99">
        <v>43.537999999999997</v>
      </c>
      <c r="AV99">
        <v>-1</v>
      </c>
    </row>
    <row r="100" spans="1:48" x14ac:dyDescent="0.55000000000000004">
      <c r="A100" t="str">
        <f>HYPERLINK("https://www.infodis.net/philips/net/Shipment/Details?InfodisNumber=4567013&amp;DomainCode=DAP", "4567013")</f>
        <v>4567013</v>
      </c>
      <c r="B100" t="s">
        <v>616</v>
      </c>
      <c r="C100" t="s">
        <v>410</v>
      </c>
      <c r="D100" t="s">
        <v>411</v>
      </c>
      <c r="E100" t="s">
        <v>94</v>
      </c>
      <c r="F100" t="s">
        <v>141</v>
      </c>
      <c r="G100" t="s">
        <v>96</v>
      </c>
      <c r="H100" t="s">
        <v>79</v>
      </c>
      <c r="I100" t="s">
        <v>472</v>
      </c>
      <c r="J100" t="s">
        <v>142</v>
      </c>
      <c r="K100" t="s">
        <v>143</v>
      </c>
      <c r="L100" t="s">
        <v>83</v>
      </c>
      <c r="M100" t="s">
        <v>60</v>
      </c>
      <c r="P100" t="s">
        <v>415</v>
      </c>
      <c r="R100" t="s">
        <v>144</v>
      </c>
      <c r="S100" s="2">
        <v>44161</v>
      </c>
      <c r="T100" s="2">
        <v>44167</v>
      </c>
      <c r="V100" s="2">
        <v>44172</v>
      </c>
      <c r="Y100" t="s">
        <v>89</v>
      </c>
      <c r="Z100" t="s">
        <v>127</v>
      </c>
      <c r="AA100" t="s">
        <v>474</v>
      </c>
      <c r="AB100" t="s">
        <v>67</v>
      </c>
      <c r="AC100" t="s">
        <v>67</v>
      </c>
      <c r="AD100" t="s">
        <v>67</v>
      </c>
      <c r="AE100" t="s">
        <v>90</v>
      </c>
      <c r="AF100" t="s">
        <v>70</v>
      </c>
      <c r="AG100" t="s">
        <v>71</v>
      </c>
      <c r="AH100" t="s">
        <v>72</v>
      </c>
      <c r="AI100" t="s">
        <v>73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6993</v>
      </c>
      <c r="AP100">
        <v>51.73</v>
      </c>
      <c r="AV100">
        <v>-1</v>
      </c>
    </row>
    <row r="101" spans="1:48" x14ac:dyDescent="0.55000000000000004">
      <c r="A101" t="str">
        <f>HYPERLINK("https://www.infodis.net/philips/net/Shipment/Details?InfodisNumber=7008469&amp;DomainCode=PHILIPSR1", "7008469")</f>
        <v>7008469</v>
      </c>
      <c r="B101" t="s">
        <v>617</v>
      </c>
      <c r="C101" t="s">
        <v>459</v>
      </c>
      <c r="D101" t="s">
        <v>618</v>
      </c>
      <c r="E101" t="s">
        <v>459</v>
      </c>
      <c r="F101" t="s">
        <v>458</v>
      </c>
      <c r="G101" t="s">
        <v>619</v>
      </c>
      <c r="H101" t="s">
        <v>79</v>
      </c>
      <c r="I101" t="s">
        <v>122</v>
      </c>
      <c r="J101" t="s">
        <v>218</v>
      </c>
      <c r="K101" t="s">
        <v>620</v>
      </c>
      <c r="L101" t="s">
        <v>180</v>
      </c>
      <c r="M101" t="s">
        <v>84</v>
      </c>
      <c r="N101" t="s">
        <v>621</v>
      </c>
      <c r="O101" t="s">
        <v>622</v>
      </c>
      <c r="P101" t="s">
        <v>623</v>
      </c>
      <c r="R101" t="s">
        <v>613</v>
      </c>
      <c r="S101" s="2">
        <v>44159</v>
      </c>
      <c r="T101" s="2">
        <v>44161</v>
      </c>
      <c r="V101" s="2">
        <v>44170</v>
      </c>
      <c r="Y101" t="s">
        <v>65</v>
      </c>
      <c r="Z101" t="s">
        <v>65</v>
      </c>
      <c r="AA101" t="s">
        <v>65</v>
      </c>
      <c r="AB101" t="s">
        <v>67</v>
      </c>
      <c r="AC101" t="s">
        <v>67</v>
      </c>
      <c r="AD101" t="s">
        <v>67</v>
      </c>
      <c r="AE101" t="s">
        <v>69</v>
      </c>
      <c r="AF101" t="s">
        <v>70</v>
      </c>
      <c r="AG101" t="s">
        <v>71</v>
      </c>
      <c r="AH101" t="s">
        <v>72</v>
      </c>
      <c r="AI101" t="s">
        <v>252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5742</v>
      </c>
      <c r="AP101">
        <v>64</v>
      </c>
      <c r="AV101">
        <v>-1</v>
      </c>
    </row>
    <row r="102" spans="1:48" x14ac:dyDescent="0.55000000000000004">
      <c r="A102" t="str">
        <f>HYPERLINK("https://www.infodis.net/philips/net/Shipment/Details?InfodisNumber=7008470&amp;DomainCode=PHILIPSR1", "7008470")</f>
        <v>7008470</v>
      </c>
      <c r="B102" t="s">
        <v>624</v>
      </c>
      <c r="C102" t="s">
        <v>459</v>
      </c>
      <c r="D102" t="s">
        <v>618</v>
      </c>
      <c r="E102" t="s">
        <v>459</v>
      </c>
      <c r="F102" t="s">
        <v>458</v>
      </c>
      <c r="G102" t="s">
        <v>619</v>
      </c>
      <c r="H102" t="s">
        <v>79</v>
      </c>
      <c r="I102" t="s">
        <v>122</v>
      </c>
      <c r="J102" t="s">
        <v>218</v>
      </c>
      <c r="K102" t="s">
        <v>620</v>
      </c>
      <c r="L102" t="s">
        <v>180</v>
      </c>
      <c r="M102" t="s">
        <v>84</v>
      </c>
      <c r="P102" t="s">
        <v>623</v>
      </c>
      <c r="R102" t="s">
        <v>613</v>
      </c>
      <c r="S102" s="2">
        <v>44159</v>
      </c>
      <c r="T102" s="2">
        <v>44168</v>
      </c>
      <c r="V102" s="2">
        <v>44170</v>
      </c>
      <c r="Y102" t="s">
        <v>65</v>
      </c>
      <c r="Z102" t="s">
        <v>65</v>
      </c>
      <c r="AA102" t="s">
        <v>65</v>
      </c>
      <c r="AB102" t="s">
        <v>67</v>
      </c>
      <c r="AC102" t="s">
        <v>67</v>
      </c>
      <c r="AD102" t="s">
        <v>67</v>
      </c>
      <c r="AE102" t="s">
        <v>69</v>
      </c>
      <c r="AF102" t="s">
        <v>70</v>
      </c>
      <c r="AG102" t="s">
        <v>71</v>
      </c>
      <c r="AH102" t="s">
        <v>72</v>
      </c>
      <c r="AI102" t="s">
        <v>252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4000</v>
      </c>
      <c r="AP102">
        <v>64</v>
      </c>
      <c r="AV102">
        <v>-1</v>
      </c>
    </row>
    <row r="103" spans="1:48" x14ac:dyDescent="0.55000000000000004">
      <c r="A103" t="str">
        <f>HYPERLINK("https://www.infodis.net/philips/net/Shipment/Details?InfodisNumber=7008476&amp;DomainCode=PHILIPSR1", "7008476")</f>
        <v>7008476</v>
      </c>
      <c r="B103" t="s">
        <v>625</v>
      </c>
      <c r="C103" t="s">
        <v>459</v>
      </c>
      <c r="D103" t="s">
        <v>618</v>
      </c>
      <c r="E103" t="s">
        <v>459</v>
      </c>
      <c r="F103" t="s">
        <v>458</v>
      </c>
      <c r="G103" t="s">
        <v>619</v>
      </c>
      <c r="H103" t="s">
        <v>79</v>
      </c>
      <c r="I103" t="s">
        <v>122</v>
      </c>
      <c r="J103" t="s">
        <v>218</v>
      </c>
      <c r="K103" t="s">
        <v>620</v>
      </c>
      <c r="L103" t="s">
        <v>180</v>
      </c>
      <c r="M103" t="s">
        <v>84</v>
      </c>
      <c r="P103" t="s">
        <v>623</v>
      </c>
      <c r="R103" t="s">
        <v>613</v>
      </c>
      <c r="S103" s="2">
        <v>44159</v>
      </c>
      <c r="T103" s="2">
        <v>44173</v>
      </c>
      <c r="V103" s="2">
        <v>44175</v>
      </c>
      <c r="Y103" t="s">
        <v>65</v>
      </c>
      <c r="Z103" t="s">
        <v>65</v>
      </c>
      <c r="AA103" t="s">
        <v>65</v>
      </c>
      <c r="AB103" t="s">
        <v>67</v>
      </c>
      <c r="AC103" t="s">
        <v>67</v>
      </c>
      <c r="AD103" t="s">
        <v>67</v>
      </c>
      <c r="AE103" t="s">
        <v>69</v>
      </c>
      <c r="AF103" t="s">
        <v>70</v>
      </c>
      <c r="AG103" t="s">
        <v>71</v>
      </c>
      <c r="AH103" t="s">
        <v>72</v>
      </c>
      <c r="AI103" t="s">
        <v>252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4000</v>
      </c>
      <c r="AP103">
        <v>64</v>
      </c>
      <c r="AV103">
        <v>-1</v>
      </c>
    </row>
    <row r="104" spans="1:48" x14ac:dyDescent="0.55000000000000004">
      <c r="A104" t="str">
        <f>HYPERLINK("https://www.infodis.net/philips/net/Shipment/Details?InfodisNumber=7008477&amp;DomainCode=PHILIPSR1", "7008477")</f>
        <v>7008477</v>
      </c>
      <c r="B104" t="s">
        <v>626</v>
      </c>
      <c r="C104" t="s">
        <v>459</v>
      </c>
      <c r="D104" t="s">
        <v>618</v>
      </c>
      <c r="E104" t="s">
        <v>459</v>
      </c>
      <c r="F104" t="s">
        <v>458</v>
      </c>
      <c r="G104" t="s">
        <v>619</v>
      </c>
      <c r="H104" t="s">
        <v>79</v>
      </c>
      <c r="I104" t="s">
        <v>122</v>
      </c>
      <c r="J104" t="s">
        <v>218</v>
      </c>
      <c r="K104" t="s">
        <v>620</v>
      </c>
      <c r="L104" t="s">
        <v>180</v>
      </c>
      <c r="M104" t="s">
        <v>84</v>
      </c>
      <c r="P104" t="s">
        <v>623</v>
      </c>
      <c r="R104" t="s">
        <v>613</v>
      </c>
      <c r="S104" s="2">
        <v>44159</v>
      </c>
      <c r="T104" s="2">
        <v>44173</v>
      </c>
      <c r="V104" s="2">
        <v>44175</v>
      </c>
      <c r="Y104" t="s">
        <v>65</v>
      </c>
      <c r="Z104" t="s">
        <v>65</v>
      </c>
      <c r="AA104" t="s">
        <v>65</v>
      </c>
      <c r="AB104" t="s">
        <v>67</v>
      </c>
      <c r="AC104" t="s">
        <v>67</v>
      </c>
      <c r="AD104" t="s">
        <v>67</v>
      </c>
      <c r="AE104" t="s">
        <v>69</v>
      </c>
      <c r="AF104" t="s">
        <v>70</v>
      </c>
      <c r="AG104" t="s">
        <v>71</v>
      </c>
      <c r="AH104" t="s">
        <v>72</v>
      </c>
      <c r="AI104" t="s">
        <v>252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4000</v>
      </c>
      <c r="AP104">
        <v>64</v>
      </c>
      <c r="AV104">
        <v>-1</v>
      </c>
    </row>
    <row r="105" spans="1:48" x14ac:dyDescent="0.55000000000000004">
      <c r="A105" t="str">
        <f>HYPERLINK("https://www.infodis.net/philips/net/Shipment/Details?InfodisNumber=7008478&amp;DomainCode=PHILIPSR1", "7008478")</f>
        <v>7008478</v>
      </c>
      <c r="B105" t="s">
        <v>627</v>
      </c>
      <c r="C105" t="s">
        <v>459</v>
      </c>
      <c r="D105" t="s">
        <v>618</v>
      </c>
      <c r="E105" t="s">
        <v>459</v>
      </c>
      <c r="F105" t="s">
        <v>458</v>
      </c>
      <c r="G105" t="s">
        <v>619</v>
      </c>
      <c r="H105" t="s">
        <v>79</v>
      </c>
      <c r="I105" t="s">
        <v>122</v>
      </c>
      <c r="J105" t="s">
        <v>218</v>
      </c>
      <c r="K105" t="s">
        <v>620</v>
      </c>
      <c r="L105" t="s">
        <v>180</v>
      </c>
      <c r="M105" t="s">
        <v>84</v>
      </c>
      <c r="P105" t="s">
        <v>623</v>
      </c>
      <c r="R105" t="s">
        <v>613</v>
      </c>
      <c r="S105" s="2">
        <v>44159</v>
      </c>
      <c r="T105" s="2">
        <v>44173</v>
      </c>
      <c r="V105" s="2">
        <v>44175</v>
      </c>
      <c r="Y105" t="s">
        <v>65</v>
      </c>
      <c r="Z105" t="s">
        <v>65</v>
      </c>
      <c r="AA105" t="s">
        <v>65</v>
      </c>
      <c r="AB105" t="s">
        <v>67</v>
      </c>
      <c r="AC105" t="s">
        <v>67</v>
      </c>
      <c r="AD105" t="s">
        <v>67</v>
      </c>
      <c r="AE105" t="s">
        <v>69</v>
      </c>
      <c r="AF105" t="s">
        <v>70</v>
      </c>
      <c r="AG105" t="s">
        <v>71</v>
      </c>
      <c r="AH105" t="s">
        <v>72</v>
      </c>
      <c r="AI105" t="s">
        <v>252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4000</v>
      </c>
      <c r="AP105">
        <v>64</v>
      </c>
      <c r="AV105">
        <v>-1</v>
      </c>
    </row>
    <row r="106" spans="1:48" x14ac:dyDescent="0.55000000000000004">
      <c r="A106" t="str">
        <f>HYPERLINK("https://www.infodis.net/philips/net/Shipment/Details?InfodisNumber=7008479&amp;DomainCode=PHILIPSR1", "7008479")</f>
        <v>7008479</v>
      </c>
      <c r="B106" t="s">
        <v>628</v>
      </c>
      <c r="C106" t="s">
        <v>459</v>
      </c>
      <c r="D106" t="s">
        <v>618</v>
      </c>
      <c r="E106" t="s">
        <v>459</v>
      </c>
      <c r="F106" t="s">
        <v>458</v>
      </c>
      <c r="G106" t="s">
        <v>619</v>
      </c>
      <c r="H106" t="s">
        <v>79</v>
      </c>
      <c r="I106" t="s">
        <v>122</v>
      </c>
      <c r="J106" t="s">
        <v>218</v>
      </c>
      <c r="K106" t="s">
        <v>620</v>
      </c>
      <c r="L106" t="s">
        <v>180</v>
      </c>
      <c r="M106" t="s">
        <v>84</v>
      </c>
      <c r="P106" t="s">
        <v>623</v>
      </c>
      <c r="R106" t="s">
        <v>613</v>
      </c>
      <c r="S106" s="2">
        <v>44159</v>
      </c>
      <c r="T106" s="2">
        <v>44173</v>
      </c>
      <c r="V106" s="2">
        <v>44175</v>
      </c>
      <c r="Y106" t="s">
        <v>65</v>
      </c>
      <c r="Z106" t="s">
        <v>65</v>
      </c>
      <c r="AA106" t="s">
        <v>65</v>
      </c>
      <c r="AB106" t="s">
        <v>67</v>
      </c>
      <c r="AC106" t="s">
        <v>67</v>
      </c>
      <c r="AD106" t="s">
        <v>67</v>
      </c>
      <c r="AE106" t="s">
        <v>69</v>
      </c>
      <c r="AF106" t="s">
        <v>70</v>
      </c>
      <c r="AG106" t="s">
        <v>71</v>
      </c>
      <c r="AH106" t="s">
        <v>72</v>
      </c>
      <c r="AI106" t="s">
        <v>252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4000</v>
      </c>
      <c r="AP106">
        <v>64</v>
      </c>
      <c r="AV106">
        <v>-1</v>
      </c>
    </row>
    <row r="107" spans="1:48" x14ac:dyDescent="0.55000000000000004">
      <c r="A107" t="str">
        <f>HYPERLINK("https://www.infodis.net/philips/net/Shipment/Details?InfodisNumber=7008480&amp;DomainCode=PHILIPSR1", "7008480")</f>
        <v>7008480</v>
      </c>
      <c r="B107" t="s">
        <v>629</v>
      </c>
      <c r="C107" t="s">
        <v>459</v>
      </c>
      <c r="D107" t="s">
        <v>618</v>
      </c>
      <c r="E107" t="s">
        <v>459</v>
      </c>
      <c r="F107" t="s">
        <v>458</v>
      </c>
      <c r="G107" t="s">
        <v>619</v>
      </c>
      <c r="H107" t="s">
        <v>79</v>
      </c>
      <c r="I107" t="s">
        <v>122</v>
      </c>
      <c r="J107" t="s">
        <v>218</v>
      </c>
      <c r="K107" t="s">
        <v>620</v>
      </c>
      <c r="L107" t="s">
        <v>180</v>
      </c>
      <c r="M107" t="s">
        <v>84</v>
      </c>
      <c r="P107" t="s">
        <v>623</v>
      </c>
      <c r="R107" t="s">
        <v>613</v>
      </c>
      <c r="S107" s="2">
        <v>44159</v>
      </c>
      <c r="T107" s="2">
        <v>44173</v>
      </c>
      <c r="V107" s="2">
        <v>44175</v>
      </c>
      <c r="Y107" t="s">
        <v>65</v>
      </c>
      <c r="Z107" t="s">
        <v>65</v>
      </c>
      <c r="AA107" t="s">
        <v>65</v>
      </c>
      <c r="AB107" t="s">
        <v>67</v>
      </c>
      <c r="AC107" t="s">
        <v>67</v>
      </c>
      <c r="AD107" t="s">
        <v>67</v>
      </c>
      <c r="AE107" t="s">
        <v>69</v>
      </c>
      <c r="AF107" t="s">
        <v>70</v>
      </c>
      <c r="AG107" t="s">
        <v>71</v>
      </c>
      <c r="AH107" t="s">
        <v>72</v>
      </c>
      <c r="AI107" t="s">
        <v>252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4000</v>
      </c>
      <c r="AP107">
        <v>64</v>
      </c>
      <c r="AV107">
        <v>-1</v>
      </c>
    </row>
    <row r="108" spans="1:48" x14ac:dyDescent="0.55000000000000004">
      <c r="A108" t="str">
        <f>HYPERLINK("https://www.infodis.net/philips/net/Shipment/Details?InfodisNumber=7008472&amp;DomainCode=PHILIPSR1", "7008472")</f>
        <v>7008472</v>
      </c>
      <c r="B108" t="s">
        <v>630</v>
      </c>
      <c r="C108" t="s">
        <v>459</v>
      </c>
      <c r="D108" t="s">
        <v>618</v>
      </c>
      <c r="E108" t="s">
        <v>459</v>
      </c>
      <c r="F108" t="s">
        <v>458</v>
      </c>
      <c r="G108" t="s">
        <v>619</v>
      </c>
      <c r="H108" t="s">
        <v>79</v>
      </c>
      <c r="I108" t="s">
        <v>122</v>
      </c>
      <c r="J108" t="s">
        <v>218</v>
      </c>
      <c r="K108" t="s">
        <v>620</v>
      </c>
      <c r="L108" t="s">
        <v>180</v>
      </c>
      <c r="M108" t="s">
        <v>84</v>
      </c>
      <c r="P108" t="s">
        <v>623</v>
      </c>
      <c r="R108" t="s">
        <v>613</v>
      </c>
      <c r="S108" s="2">
        <v>44159</v>
      </c>
      <c r="T108" s="2">
        <v>44173</v>
      </c>
      <c r="V108" s="2">
        <v>44175</v>
      </c>
      <c r="Y108" t="s">
        <v>65</v>
      </c>
      <c r="Z108" t="s">
        <v>65</v>
      </c>
      <c r="AA108" t="s">
        <v>65</v>
      </c>
      <c r="AB108" t="s">
        <v>67</v>
      </c>
      <c r="AC108" t="s">
        <v>67</v>
      </c>
      <c r="AD108" t="s">
        <v>67</v>
      </c>
      <c r="AE108" t="s">
        <v>69</v>
      </c>
      <c r="AF108" t="s">
        <v>70</v>
      </c>
      <c r="AG108" t="s">
        <v>71</v>
      </c>
      <c r="AH108" t="s">
        <v>72</v>
      </c>
      <c r="AI108" t="s">
        <v>252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4000</v>
      </c>
      <c r="AP108">
        <v>64</v>
      </c>
      <c r="AV108">
        <v>-1</v>
      </c>
    </row>
    <row r="109" spans="1:48" x14ac:dyDescent="0.55000000000000004">
      <c r="A109" t="str">
        <f>HYPERLINK("https://www.infodis.net/philips/net/Shipment/Details?InfodisNumber=7008473&amp;DomainCode=PHILIPSR1", "7008473")</f>
        <v>7008473</v>
      </c>
      <c r="B109" t="s">
        <v>631</v>
      </c>
      <c r="C109" t="s">
        <v>459</v>
      </c>
      <c r="D109" t="s">
        <v>618</v>
      </c>
      <c r="E109" t="s">
        <v>459</v>
      </c>
      <c r="F109" t="s">
        <v>458</v>
      </c>
      <c r="G109" t="s">
        <v>619</v>
      </c>
      <c r="H109" t="s">
        <v>79</v>
      </c>
      <c r="I109" t="s">
        <v>122</v>
      </c>
      <c r="J109" t="s">
        <v>218</v>
      </c>
      <c r="K109" t="s">
        <v>620</v>
      </c>
      <c r="L109" t="s">
        <v>180</v>
      </c>
      <c r="M109" t="s">
        <v>84</v>
      </c>
      <c r="P109" t="s">
        <v>623</v>
      </c>
      <c r="R109" t="s">
        <v>613</v>
      </c>
      <c r="S109" s="2">
        <v>44159</v>
      </c>
      <c r="T109" s="2">
        <v>44173</v>
      </c>
      <c r="V109" s="2">
        <v>44175</v>
      </c>
      <c r="Y109" t="s">
        <v>65</v>
      </c>
      <c r="Z109" t="s">
        <v>65</v>
      </c>
      <c r="AA109" t="s">
        <v>65</v>
      </c>
      <c r="AB109" t="s">
        <v>67</v>
      </c>
      <c r="AC109" t="s">
        <v>67</v>
      </c>
      <c r="AD109" t="s">
        <v>67</v>
      </c>
      <c r="AE109" t="s">
        <v>69</v>
      </c>
      <c r="AF109" t="s">
        <v>70</v>
      </c>
      <c r="AG109" t="s">
        <v>71</v>
      </c>
      <c r="AH109" t="s">
        <v>72</v>
      </c>
      <c r="AI109" t="s">
        <v>252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4000</v>
      </c>
      <c r="AP109">
        <v>64</v>
      </c>
      <c r="AV109">
        <v>-1</v>
      </c>
    </row>
    <row r="110" spans="1:48" x14ac:dyDescent="0.55000000000000004">
      <c r="A110" t="str">
        <f>HYPERLINK("https://www.infodis.net/philips/net/Shipment/Details?InfodisNumber=7008474&amp;DomainCode=PHILIPSR1", "7008474")</f>
        <v>7008474</v>
      </c>
      <c r="B110" t="s">
        <v>632</v>
      </c>
      <c r="C110" t="s">
        <v>459</v>
      </c>
      <c r="D110" t="s">
        <v>618</v>
      </c>
      <c r="E110" t="s">
        <v>459</v>
      </c>
      <c r="F110" t="s">
        <v>458</v>
      </c>
      <c r="G110" t="s">
        <v>619</v>
      </c>
      <c r="H110" t="s">
        <v>79</v>
      </c>
      <c r="I110" t="s">
        <v>122</v>
      </c>
      <c r="J110" t="s">
        <v>218</v>
      </c>
      <c r="K110" t="s">
        <v>620</v>
      </c>
      <c r="L110" t="s">
        <v>180</v>
      </c>
      <c r="M110" t="s">
        <v>84</v>
      </c>
      <c r="P110" t="s">
        <v>623</v>
      </c>
      <c r="R110" t="s">
        <v>613</v>
      </c>
      <c r="S110" s="2">
        <v>44159</v>
      </c>
      <c r="T110" s="2">
        <v>44168</v>
      </c>
      <c r="V110" s="2">
        <v>44170</v>
      </c>
      <c r="Y110" t="s">
        <v>65</v>
      </c>
      <c r="Z110" t="s">
        <v>65</v>
      </c>
      <c r="AA110" t="s">
        <v>65</v>
      </c>
      <c r="AB110" t="s">
        <v>67</v>
      </c>
      <c r="AC110" t="s">
        <v>67</v>
      </c>
      <c r="AD110" t="s">
        <v>67</v>
      </c>
      <c r="AE110" t="s">
        <v>69</v>
      </c>
      <c r="AF110" t="s">
        <v>70</v>
      </c>
      <c r="AG110" t="s">
        <v>71</v>
      </c>
      <c r="AH110" t="s">
        <v>72</v>
      </c>
      <c r="AI110" t="s">
        <v>252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4000</v>
      </c>
      <c r="AP110">
        <v>64</v>
      </c>
      <c r="AV110">
        <v>-1</v>
      </c>
    </row>
    <row r="111" spans="1:48" x14ac:dyDescent="0.55000000000000004">
      <c r="A111" t="str">
        <f>HYPERLINK("https://www.infodis.net/philips/net/Shipment/Details?InfodisNumber=7008475&amp;DomainCode=PHILIPSR1", "7008475")</f>
        <v>7008475</v>
      </c>
      <c r="B111" t="s">
        <v>633</v>
      </c>
      <c r="C111" t="s">
        <v>459</v>
      </c>
      <c r="D111" t="s">
        <v>618</v>
      </c>
      <c r="E111" t="s">
        <v>459</v>
      </c>
      <c r="F111" t="s">
        <v>458</v>
      </c>
      <c r="G111" t="s">
        <v>619</v>
      </c>
      <c r="H111" t="s">
        <v>79</v>
      </c>
      <c r="I111" t="s">
        <v>122</v>
      </c>
      <c r="J111" t="s">
        <v>218</v>
      </c>
      <c r="K111" t="s">
        <v>620</v>
      </c>
      <c r="L111" t="s">
        <v>180</v>
      </c>
      <c r="M111" t="s">
        <v>84</v>
      </c>
      <c r="P111" t="s">
        <v>623</v>
      </c>
      <c r="R111" t="s">
        <v>613</v>
      </c>
      <c r="S111" s="2">
        <v>44159</v>
      </c>
      <c r="T111" s="2">
        <v>44168</v>
      </c>
      <c r="V111" s="2">
        <v>44170</v>
      </c>
      <c r="Y111" t="s">
        <v>65</v>
      </c>
      <c r="Z111" t="s">
        <v>65</v>
      </c>
      <c r="AA111" t="s">
        <v>65</v>
      </c>
      <c r="AB111" t="s">
        <v>67</v>
      </c>
      <c r="AC111" t="s">
        <v>67</v>
      </c>
      <c r="AD111" t="s">
        <v>67</v>
      </c>
      <c r="AE111" t="s">
        <v>69</v>
      </c>
      <c r="AF111" t="s">
        <v>70</v>
      </c>
      <c r="AG111" t="s">
        <v>71</v>
      </c>
      <c r="AH111" t="s">
        <v>72</v>
      </c>
      <c r="AI111" t="s">
        <v>252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4000</v>
      </c>
      <c r="AP111">
        <v>64</v>
      </c>
      <c r="AV111">
        <v>-1</v>
      </c>
    </row>
    <row r="112" spans="1:48" x14ac:dyDescent="0.55000000000000004">
      <c r="A112" t="str">
        <f>HYPERLINK("https://www.infodis.net/philips/net/Shipment/Details?InfodisNumber=7008481&amp;DomainCode=PHILIPSR1", "7008481")</f>
        <v>7008481</v>
      </c>
      <c r="B112" t="s">
        <v>634</v>
      </c>
      <c r="C112" t="s">
        <v>459</v>
      </c>
      <c r="D112" t="s">
        <v>618</v>
      </c>
      <c r="E112" t="s">
        <v>459</v>
      </c>
      <c r="F112" t="s">
        <v>458</v>
      </c>
      <c r="G112" t="s">
        <v>619</v>
      </c>
      <c r="H112" t="s">
        <v>79</v>
      </c>
      <c r="I112" t="s">
        <v>122</v>
      </c>
      <c r="J112" t="s">
        <v>218</v>
      </c>
      <c r="K112" t="s">
        <v>620</v>
      </c>
      <c r="L112" t="s">
        <v>180</v>
      </c>
      <c r="M112" t="s">
        <v>84</v>
      </c>
      <c r="P112" t="s">
        <v>623</v>
      </c>
      <c r="R112" t="s">
        <v>613</v>
      </c>
      <c r="S112" s="2">
        <v>44159</v>
      </c>
      <c r="T112" s="2">
        <v>44173</v>
      </c>
      <c r="V112" s="2">
        <v>44175</v>
      </c>
      <c r="Y112" t="s">
        <v>65</v>
      </c>
      <c r="Z112" t="s">
        <v>65</v>
      </c>
      <c r="AA112" t="s">
        <v>65</v>
      </c>
      <c r="AB112" t="s">
        <v>67</v>
      </c>
      <c r="AC112" t="s">
        <v>67</v>
      </c>
      <c r="AD112" t="s">
        <v>67</v>
      </c>
      <c r="AE112" t="s">
        <v>69</v>
      </c>
      <c r="AF112" t="s">
        <v>70</v>
      </c>
      <c r="AG112" t="s">
        <v>71</v>
      </c>
      <c r="AH112" t="s">
        <v>72</v>
      </c>
      <c r="AI112" t="s">
        <v>252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4000</v>
      </c>
      <c r="AP112">
        <v>64</v>
      </c>
      <c r="AV112">
        <v>-1</v>
      </c>
    </row>
    <row r="113" spans="1:48" x14ac:dyDescent="0.55000000000000004">
      <c r="A113" t="str">
        <f>HYPERLINK("https://www.infodis.net/philips/net/Shipment/Details?InfodisNumber=7008482&amp;DomainCode=PHILIPSR1", "7008482")</f>
        <v>7008482</v>
      </c>
      <c r="B113" t="s">
        <v>635</v>
      </c>
      <c r="C113" t="s">
        <v>459</v>
      </c>
      <c r="D113" t="s">
        <v>618</v>
      </c>
      <c r="E113" t="s">
        <v>459</v>
      </c>
      <c r="F113" t="s">
        <v>458</v>
      </c>
      <c r="G113" t="s">
        <v>619</v>
      </c>
      <c r="H113" t="s">
        <v>79</v>
      </c>
      <c r="I113" t="s">
        <v>122</v>
      </c>
      <c r="J113" t="s">
        <v>218</v>
      </c>
      <c r="K113" t="s">
        <v>620</v>
      </c>
      <c r="L113" t="s">
        <v>180</v>
      </c>
      <c r="M113" t="s">
        <v>84</v>
      </c>
      <c r="P113" t="s">
        <v>623</v>
      </c>
      <c r="R113" t="s">
        <v>613</v>
      </c>
      <c r="S113" s="2">
        <v>44159</v>
      </c>
      <c r="T113" s="2">
        <v>44173</v>
      </c>
      <c r="V113" s="2">
        <v>44175</v>
      </c>
      <c r="Y113" t="s">
        <v>65</v>
      </c>
      <c r="Z113" t="s">
        <v>65</v>
      </c>
      <c r="AA113" t="s">
        <v>65</v>
      </c>
      <c r="AB113" t="s">
        <v>67</v>
      </c>
      <c r="AC113" t="s">
        <v>67</v>
      </c>
      <c r="AD113" t="s">
        <v>67</v>
      </c>
      <c r="AE113" t="s">
        <v>69</v>
      </c>
      <c r="AF113" t="s">
        <v>70</v>
      </c>
      <c r="AG113" t="s">
        <v>71</v>
      </c>
      <c r="AH113" t="s">
        <v>72</v>
      </c>
      <c r="AI113" t="s">
        <v>252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4000</v>
      </c>
      <c r="AP113">
        <v>64</v>
      </c>
      <c r="AV113">
        <v>-1</v>
      </c>
    </row>
    <row r="114" spans="1:48" x14ac:dyDescent="0.55000000000000004">
      <c r="A114" t="str">
        <f>HYPERLINK("https://www.infodis.net/philips/net/Shipment/Details?InfodisNumber=7008483&amp;DomainCode=PHILIPSR1", "7008483")</f>
        <v>7008483</v>
      </c>
      <c r="B114" t="s">
        <v>636</v>
      </c>
      <c r="C114" t="s">
        <v>459</v>
      </c>
      <c r="D114" t="s">
        <v>618</v>
      </c>
      <c r="E114" t="s">
        <v>459</v>
      </c>
      <c r="F114" t="s">
        <v>458</v>
      </c>
      <c r="G114" t="s">
        <v>619</v>
      </c>
      <c r="H114" t="s">
        <v>79</v>
      </c>
      <c r="I114" t="s">
        <v>122</v>
      </c>
      <c r="J114" t="s">
        <v>218</v>
      </c>
      <c r="K114" t="s">
        <v>620</v>
      </c>
      <c r="L114" t="s">
        <v>180</v>
      </c>
      <c r="M114" t="s">
        <v>84</v>
      </c>
      <c r="P114" t="s">
        <v>623</v>
      </c>
      <c r="R114" t="s">
        <v>613</v>
      </c>
      <c r="S114" s="2">
        <v>44159</v>
      </c>
      <c r="T114" s="2">
        <v>44173</v>
      </c>
      <c r="V114" s="2">
        <v>44175</v>
      </c>
      <c r="Y114" t="s">
        <v>65</v>
      </c>
      <c r="Z114" t="s">
        <v>65</v>
      </c>
      <c r="AA114" t="s">
        <v>65</v>
      </c>
      <c r="AB114" t="s">
        <v>67</v>
      </c>
      <c r="AC114" t="s">
        <v>67</v>
      </c>
      <c r="AD114" t="s">
        <v>67</v>
      </c>
      <c r="AE114" t="s">
        <v>69</v>
      </c>
      <c r="AF114" t="s">
        <v>70</v>
      </c>
      <c r="AG114" t="s">
        <v>71</v>
      </c>
      <c r="AH114" t="s">
        <v>72</v>
      </c>
      <c r="AI114" t="s">
        <v>252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4000</v>
      </c>
      <c r="AP114">
        <v>64</v>
      </c>
      <c r="AV114">
        <v>-1</v>
      </c>
    </row>
    <row r="115" spans="1:48" x14ac:dyDescent="0.55000000000000004">
      <c r="A115" t="str">
        <f>HYPERLINK("https://www.infodis.net/philips/net/Shipment/Details?InfodisNumber=4567016&amp;DomainCode=DAP", "4567016")</f>
        <v>4567016</v>
      </c>
      <c r="B115" t="s">
        <v>637</v>
      </c>
      <c r="C115" t="s">
        <v>410</v>
      </c>
      <c r="D115" t="s">
        <v>411</v>
      </c>
      <c r="E115" t="s">
        <v>94</v>
      </c>
      <c r="F115" t="s">
        <v>141</v>
      </c>
      <c r="G115" t="s">
        <v>96</v>
      </c>
      <c r="H115" t="s">
        <v>79</v>
      </c>
      <c r="I115" t="s">
        <v>472</v>
      </c>
      <c r="J115" t="s">
        <v>142</v>
      </c>
      <c r="K115" t="s">
        <v>143</v>
      </c>
      <c r="L115" t="s">
        <v>83</v>
      </c>
      <c r="M115" t="s">
        <v>60</v>
      </c>
      <c r="P115" t="s">
        <v>415</v>
      </c>
      <c r="R115" t="s">
        <v>144</v>
      </c>
      <c r="S115" s="2">
        <v>44161</v>
      </c>
      <c r="T115" s="2">
        <v>44167</v>
      </c>
      <c r="V115" s="2">
        <v>44172</v>
      </c>
      <c r="Y115" t="s">
        <v>89</v>
      </c>
      <c r="Z115" t="s">
        <v>127</v>
      </c>
      <c r="AA115" t="s">
        <v>474</v>
      </c>
      <c r="AB115" t="s">
        <v>67</v>
      </c>
      <c r="AC115" t="s">
        <v>67</v>
      </c>
      <c r="AD115" t="s">
        <v>67</v>
      </c>
      <c r="AE115" t="s">
        <v>90</v>
      </c>
      <c r="AF115" t="s">
        <v>70</v>
      </c>
      <c r="AG115" t="s">
        <v>71</v>
      </c>
      <c r="AH115" t="s">
        <v>72</v>
      </c>
      <c r="AI115" t="s">
        <v>73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6264</v>
      </c>
      <c r="AP115">
        <v>43.8</v>
      </c>
      <c r="AV115">
        <v>-1</v>
      </c>
    </row>
    <row r="116" spans="1:48" x14ac:dyDescent="0.55000000000000004">
      <c r="A116" t="str">
        <f>HYPERLINK("https://www.infodis.net/philips/net/Shipment/Details?InfodisNumber=4567020&amp;DomainCode=DAP", "4567020")</f>
        <v>4567020</v>
      </c>
      <c r="B116" t="s">
        <v>638</v>
      </c>
      <c r="C116" t="s">
        <v>410</v>
      </c>
      <c r="D116" t="s">
        <v>411</v>
      </c>
      <c r="E116" t="s">
        <v>94</v>
      </c>
      <c r="F116" t="s">
        <v>141</v>
      </c>
      <c r="G116" t="s">
        <v>96</v>
      </c>
      <c r="H116" t="s">
        <v>79</v>
      </c>
      <c r="I116" t="s">
        <v>472</v>
      </c>
      <c r="J116" t="s">
        <v>142</v>
      </c>
      <c r="K116" t="s">
        <v>143</v>
      </c>
      <c r="L116" t="s">
        <v>83</v>
      </c>
      <c r="M116" t="s">
        <v>60</v>
      </c>
      <c r="P116" t="s">
        <v>415</v>
      </c>
      <c r="R116" t="s">
        <v>144</v>
      </c>
      <c r="S116" s="2">
        <v>44161</v>
      </c>
      <c r="T116" s="2">
        <v>44167</v>
      </c>
      <c r="V116" s="2">
        <v>44172</v>
      </c>
      <c r="Y116" t="s">
        <v>89</v>
      </c>
      <c r="Z116" t="s">
        <v>127</v>
      </c>
      <c r="AA116" t="s">
        <v>474</v>
      </c>
      <c r="AB116" t="s">
        <v>67</v>
      </c>
      <c r="AC116" t="s">
        <v>67</v>
      </c>
      <c r="AD116" t="s">
        <v>67</v>
      </c>
      <c r="AE116" t="s">
        <v>90</v>
      </c>
      <c r="AF116" t="s">
        <v>70</v>
      </c>
      <c r="AG116" t="s">
        <v>71</v>
      </c>
      <c r="AH116" t="s">
        <v>72</v>
      </c>
      <c r="AI116" t="s">
        <v>73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6264</v>
      </c>
      <c r="AP116">
        <v>43.8</v>
      </c>
      <c r="AV116">
        <v>-1</v>
      </c>
    </row>
    <row r="117" spans="1:48" x14ac:dyDescent="0.55000000000000004">
      <c r="A117" t="str">
        <f>HYPERLINK("https://www.infodis.net/philips/net/Shipment/Details?InfodisNumber=4565733&amp;DomainCode=DAP", "4565733")</f>
        <v>4565733</v>
      </c>
      <c r="B117" t="s">
        <v>639</v>
      </c>
      <c r="C117" t="s">
        <v>278</v>
      </c>
      <c r="D117" t="s">
        <v>279</v>
      </c>
      <c r="E117" t="s">
        <v>278</v>
      </c>
      <c r="F117" t="s">
        <v>77</v>
      </c>
      <c r="G117" t="s">
        <v>281</v>
      </c>
      <c r="H117" t="s">
        <v>79</v>
      </c>
      <c r="I117" t="s">
        <v>282</v>
      </c>
      <c r="J117" t="s">
        <v>81</v>
      </c>
      <c r="K117" t="s">
        <v>82</v>
      </c>
      <c r="L117" t="s">
        <v>83</v>
      </c>
      <c r="M117" t="s">
        <v>261</v>
      </c>
      <c r="P117" t="s">
        <v>286</v>
      </c>
      <c r="R117" t="s">
        <v>87</v>
      </c>
      <c r="S117" s="2">
        <v>44159</v>
      </c>
      <c r="T117" s="2">
        <v>44165</v>
      </c>
      <c r="V117" s="2">
        <v>44170</v>
      </c>
      <c r="Y117" t="s">
        <v>66</v>
      </c>
      <c r="Z117" t="s">
        <v>273</v>
      </c>
      <c r="AA117" t="s">
        <v>273</v>
      </c>
      <c r="AB117" t="s">
        <v>68</v>
      </c>
      <c r="AC117" t="s">
        <v>67</v>
      </c>
      <c r="AD117" t="s">
        <v>67</v>
      </c>
      <c r="AE117" t="s">
        <v>90</v>
      </c>
      <c r="AF117" t="s">
        <v>70</v>
      </c>
      <c r="AG117" t="s">
        <v>71</v>
      </c>
      <c r="AH117" t="s">
        <v>72</v>
      </c>
      <c r="AI117" t="s">
        <v>73</v>
      </c>
      <c r="AJ117">
        <v>0</v>
      </c>
      <c r="AK117">
        <v>0</v>
      </c>
      <c r="AL117">
        <v>0</v>
      </c>
      <c r="AM117">
        <v>0</v>
      </c>
      <c r="AN117">
        <v>56</v>
      </c>
      <c r="AO117">
        <v>15000</v>
      </c>
      <c r="AP117">
        <v>80.64</v>
      </c>
      <c r="AV117">
        <v>-1</v>
      </c>
    </row>
    <row r="118" spans="1:48" x14ac:dyDescent="0.55000000000000004">
      <c r="A118" t="str">
        <f>HYPERLINK("https://www.infodis.net/philips/net/Shipment/Details?InfodisNumber=4565737&amp;DomainCode=DAP", "4565737")</f>
        <v>4565737</v>
      </c>
      <c r="B118" t="s">
        <v>640</v>
      </c>
      <c r="C118" t="s">
        <v>278</v>
      </c>
      <c r="D118" t="s">
        <v>279</v>
      </c>
      <c r="E118" t="s">
        <v>278</v>
      </c>
      <c r="F118" t="s">
        <v>77</v>
      </c>
      <c r="G118" t="s">
        <v>281</v>
      </c>
      <c r="H118" t="s">
        <v>79</v>
      </c>
      <c r="I118" t="s">
        <v>282</v>
      </c>
      <c r="J118" t="s">
        <v>81</v>
      </c>
      <c r="K118" t="s">
        <v>82</v>
      </c>
      <c r="L118" t="s">
        <v>83</v>
      </c>
      <c r="M118" t="s">
        <v>261</v>
      </c>
      <c r="P118" t="s">
        <v>286</v>
      </c>
      <c r="R118" t="s">
        <v>87</v>
      </c>
      <c r="S118" s="2">
        <v>44159</v>
      </c>
      <c r="T118" s="2">
        <v>44173</v>
      </c>
      <c r="V118" s="2">
        <v>44178</v>
      </c>
      <c r="Y118" t="s">
        <v>66</v>
      </c>
      <c r="Z118" t="s">
        <v>273</v>
      </c>
      <c r="AA118" t="s">
        <v>273</v>
      </c>
      <c r="AB118" t="s">
        <v>68</v>
      </c>
      <c r="AC118" t="s">
        <v>67</v>
      </c>
      <c r="AD118" t="s">
        <v>67</v>
      </c>
      <c r="AE118" t="s">
        <v>90</v>
      </c>
      <c r="AF118" t="s">
        <v>70</v>
      </c>
      <c r="AG118" t="s">
        <v>71</v>
      </c>
      <c r="AH118" t="s">
        <v>72</v>
      </c>
      <c r="AI118" t="s">
        <v>73</v>
      </c>
      <c r="AJ118">
        <v>0</v>
      </c>
      <c r="AK118">
        <v>0</v>
      </c>
      <c r="AL118">
        <v>0</v>
      </c>
      <c r="AM118">
        <v>0</v>
      </c>
      <c r="AN118">
        <v>56</v>
      </c>
      <c r="AO118">
        <v>15000</v>
      </c>
      <c r="AP118">
        <v>80.64</v>
      </c>
      <c r="AV118">
        <v>-1</v>
      </c>
    </row>
    <row r="119" spans="1:48" x14ac:dyDescent="0.55000000000000004">
      <c r="A119" t="str">
        <f>HYPERLINK("https://www.infodis.net/philips/net/Shipment/Details?InfodisNumber=4565743&amp;DomainCode=DAP", "4565743")</f>
        <v>4565743</v>
      </c>
      <c r="B119" t="s">
        <v>641</v>
      </c>
      <c r="C119" t="s">
        <v>278</v>
      </c>
      <c r="D119" t="s">
        <v>279</v>
      </c>
      <c r="E119" t="s">
        <v>278</v>
      </c>
      <c r="F119" t="s">
        <v>77</v>
      </c>
      <c r="G119" t="s">
        <v>281</v>
      </c>
      <c r="H119" t="s">
        <v>79</v>
      </c>
      <c r="I119" t="s">
        <v>282</v>
      </c>
      <c r="J119" t="s">
        <v>81</v>
      </c>
      <c r="K119" t="s">
        <v>82</v>
      </c>
      <c r="L119" t="s">
        <v>83</v>
      </c>
      <c r="M119" t="s">
        <v>261</v>
      </c>
      <c r="P119" t="s">
        <v>286</v>
      </c>
      <c r="R119" t="s">
        <v>87</v>
      </c>
      <c r="S119" s="2">
        <v>44159</v>
      </c>
      <c r="T119" s="2">
        <v>44180</v>
      </c>
      <c r="V119" s="2">
        <v>44187</v>
      </c>
      <c r="Y119" t="s">
        <v>66</v>
      </c>
      <c r="Z119" t="s">
        <v>273</v>
      </c>
      <c r="AA119" t="s">
        <v>273</v>
      </c>
      <c r="AB119" t="s">
        <v>68</v>
      </c>
      <c r="AC119" t="s">
        <v>67</v>
      </c>
      <c r="AD119" t="s">
        <v>67</v>
      </c>
      <c r="AE119" t="s">
        <v>90</v>
      </c>
      <c r="AF119" t="s">
        <v>70</v>
      </c>
      <c r="AG119" t="s">
        <v>71</v>
      </c>
      <c r="AH119" t="s">
        <v>72</v>
      </c>
      <c r="AI119" t="s">
        <v>73</v>
      </c>
      <c r="AJ119">
        <v>0</v>
      </c>
      <c r="AK119">
        <v>0</v>
      </c>
      <c r="AL119">
        <v>0</v>
      </c>
      <c r="AM119">
        <v>0</v>
      </c>
      <c r="AN119">
        <v>56</v>
      </c>
      <c r="AO119">
        <v>15000</v>
      </c>
      <c r="AP119">
        <v>80.64</v>
      </c>
      <c r="AV119">
        <v>-1</v>
      </c>
    </row>
    <row r="120" spans="1:48" x14ac:dyDescent="0.55000000000000004">
      <c r="A120" t="str">
        <f>HYPERLINK("https://www.infodis.net/philips/net/Shipment/Details?InfodisNumber=4565752&amp;DomainCode=DAP", "4565752")</f>
        <v>4565752</v>
      </c>
      <c r="B120" t="s">
        <v>642</v>
      </c>
      <c r="C120" t="s">
        <v>278</v>
      </c>
      <c r="D120" t="s">
        <v>279</v>
      </c>
      <c r="E120" t="s">
        <v>278</v>
      </c>
      <c r="F120" t="s">
        <v>77</v>
      </c>
      <c r="G120" t="s">
        <v>281</v>
      </c>
      <c r="H120" t="s">
        <v>79</v>
      </c>
      <c r="I120" t="s">
        <v>282</v>
      </c>
      <c r="J120" t="s">
        <v>81</v>
      </c>
      <c r="K120" t="s">
        <v>82</v>
      </c>
      <c r="L120" t="s">
        <v>83</v>
      </c>
      <c r="M120" t="s">
        <v>261</v>
      </c>
      <c r="P120" t="s">
        <v>286</v>
      </c>
      <c r="R120" t="s">
        <v>87</v>
      </c>
      <c r="S120" s="2">
        <v>44159</v>
      </c>
      <c r="T120" s="2">
        <v>44187</v>
      </c>
      <c r="V120" s="2">
        <v>44196</v>
      </c>
      <c r="Y120" t="s">
        <v>66</v>
      </c>
      <c r="Z120" t="s">
        <v>273</v>
      </c>
      <c r="AA120" t="s">
        <v>273</v>
      </c>
      <c r="AB120" t="s">
        <v>68</v>
      </c>
      <c r="AC120" t="s">
        <v>67</v>
      </c>
      <c r="AD120" t="s">
        <v>67</v>
      </c>
      <c r="AE120" t="s">
        <v>90</v>
      </c>
      <c r="AF120" t="s">
        <v>70</v>
      </c>
      <c r="AG120" t="s">
        <v>71</v>
      </c>
      <c r="AH120" t="s">
        <v>72</v>
      </c>
      <c r="AI120" t="s">
        <v>73</v>
      </c>
      <c r="AJ120">
        <v>0</v>
      </c>
      <c r="AK120">
        <v>0</v>
      </c>
      <c r="AL120">
        <v>0</v>
      </c>
      <c r="AM120">
        <v>0</v>
      </c>
      <c r="AN120">
        <v>56</v>
      </c>
      <c r="AO120">
        <v>15000</v>
      </c>
      <c r="AP120">
        <v>80.64</v>
      </c>
      <c r="AV120">
        <v>-1</v>
      </c>
    </row>
    <row r="121" spans="1:48" x14ac:dyDescent="0.55000000000000004">
      <c r="A121" t="str">
        <f>HYPERLINK("https://www.infodis.net/philips/net/Shipment/Details?InfodisNumber=4565947&amp;DomainCode=DAP", "4565947")</f>
        <v>4565947</v>
      </c>
      <c r="B121" t="s">
        <v>643</v>
      </c>
      <c r="C121" t="s">
        <v>201</v>
      </c>
      <c r="D121" t="s">
        <v>202</v>
      </c>
      <c r="E121" t="s">
        <v>94</v>
      </c>
      <c r="F121" t="s">
        <v>644</v>
      </c>
      <c r="G121" t="s">
        <v>204</v>
      </c>
      <c r="H121" t="s">
        <v>79</v>
      </c>
      <c r="I121" t="s">
        <v>112</v>
      </c>
      <c r="J121" t="s">
        <v>645</v>
      </c>
      <c r="K121" t="s">
        <v>646</v>
      </c>
      <c r="L121" t="s">
        <v>647</v>
      </c>
      <c r="M121" t="s">
        <v>133</v>
      </c>
      <c r="N121" t="s">
        <v>115</v>
      </c>
      <c r="P121" t="s">
        <v>208</v>
      </c>
      <c r="R121" t="s">
        <v>648</v>
      </c>
      <c r="S121" s="2">
        <v>44159</v>
      </c>
      <c r="T121" s="2">
        <v>44161</v>
      </c>
      <c r="V121" s="2">
        <v>44166</v>
      </c>
      <c r="Y121" t="s">
        <v>89</v>
      </c>
      <c r="Z121" t="s">
        <v>649</v>
      </c>
      <c r="AA121" t="s">
        <v>66</v>
      </c>
      <c r="AB121" t="s">
        <v>67</v>
      </c>
      <c r="AC121" t="s">
        <v>67</v>
      </c>
      <c r="AD121" t="s">
        <v>68</v>
      </c>
      <c r="AE121" t="s">
        <v>119</v>
      </c>
      <c r="AF121" t="s">
        <v>70</v>
      </c>
      <c r="AG121" t="s">
        <v>71</v>
      </c>
      <c r="AH121" t="s">
        <v>72</v>
      </c>
      <c r="AI121" t="s">
        <v>73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13776</v>
      </c>
      <c r="AP121">
        <v>112</v>
      </c>
      <c r="AV121">
        <v>-1</v>
      </c>
    </row>
    <row r="122" spans="1:48" x14ac:dyDescent="0.55000000000000004">
      <c r="A122" t="str">
        <f>HYPERLINK("https://www.infodis.net/philips/net/Shipment/Details?InfodisNumber=7010232&amp;DomainCode=PHILIPSR1", "7010232")</f>
        <v>7010232</v>
      </c>
      <c r="B122" t="s">
        <v>650</v>
      </c>
      <c r="C122" t="s">
        <v>607</v>
      </c>
      <c r="D122" t="s">
        <v>608</v>
      </c>
      <c r="E122" t="s">
        <v>458</v>
      </c>
      <c r="F122" t="s">
        <v>651</v>
      </c>
      <c r="G122" t="s">
        <v>610</v>
      </c>
      <c r="H122" t="s">
        <v>180</v>
      </c>
      <c r="I122" t="s">
        <v>652</v>
      </c>
      <c r="J122" t="s">
        <v>157</v>
      </c>
      <c r="K122" t="s">
        <v>653</v>
      </c>
      <c r="L122" t="s">
        <v>159</v>
      </c>
      <c r="M122" t="s">
        <v>60</v>
      </c>
      <c r="P122" t="s">
        <v>613</v>
      </c>
      <c r="Q122" t="s">
        <v>654</v>
      </c>
      <c r="R122" t="s">
        <v>655</v>
      </c>
      <c r="S122" s="2">
        <v>44159</v>
      </c>
      <c r="T122" s="2">
        <v>44167</v>
      </c>
      <c r="U122" s="2">
        <v>44159</v>
      </c>
      <c r="V122" s="2">
        <v>44172</v>
      </c>
      <c r="Y122" t="s">
        <v>467</v>
      </c>
      <c r="Z122" t="s">
        <v>467</v>
      </c>
      <c r="AA122" t="s">
        <v>66</v>
      </c>
      <c r="AB122" t="s">
        <v>67</v>
      </c>
      <c r="AC122" t="s">
        <v>67</v>
      </c>
      <c r="AD122" t="s">
        <v>68</v>
      </c>
      <c r="AE122" t="s">
        <v>69</v>
      </c>
      <c r="AF122" t="s">
        <v>70</v>
      </c>
      <c r="AG122" t="s">
        <v>71</v>
      </c>
      <c r="AH122" t="s">
        <v>72</v>
      </c>
      <c r="AI122" t="s">
        <v>252</v>
      </c>
      <c r="AJ122">
        <v>0</v>
      </c>
      <c r="AK122">
        <v>0</v>
      </c>
      <c r="AL122">
        <v>0</v>
      </c>
      <c r="AM122">
        <v>0</v>
      </c>
      <c r="AN122">
        <v>24</v>
      </c>
      <c r="AO122">
        <v>6914.56</v>
      </c>
      <c r="AP122">
        <v>49.938000000000002</v>
      </c>
      <c r="AV122">
        <v>-1</v>
      </c>
    </row>
    <row r="123" spans="1:48" x14ac:dyDescent="0.55000000000000004">
      <c r="A123" t="str">
        <f>HYPERLINK("https://www.infodis.net/philips/net/Shipment/Details?InfodisNumber=4566250&amp;DomainCode=DAP", "4566250")</f>
        <v>4566250</v>
      </c>
      <c r="B123" t="s">
        <v>656</v>
      </c>
      <c r="C123" t="s">
        <v>391</v>
      </c>
      <c r="D123" t="s">
        <v>392</v>
      </c>
      <c r="E123" t="s">
        <v>393</v>
      </c>
      <c r="F123" t="s">
        <v>191</v>
      </c>
      <c r="G123" t="s">
        <v>394</v>
      </c>
      <c r="H123" t="s">
        <v>79</v>
      </c>
      <c r="I123" t="s">
        <v>268</v>
      </c>
      <c r="J123" t="s">
        <v>194</v>
      </c>
      <c r="K123" t="s">
        <v>195</v>
      </c>
      <c r="L123" t="s">
        <v>180</v>
      </c>
      <c r="M123" t="s">
        <v>385</v>
      </c>
      <c r="P123" t="s">
        <v>398</v>
      </c>
      <c r="R123" t="s">
        <v>197</v>
      </c>
      <c r="S123" s="2">
        <v>44160</v>
      </c>
      <c r="T123" s="2">
        <v>44166</v>
      </c>
      <c r="V123" s="2">
        <v>44171</v>
      </c>
      <c r="Y123" t="s">
        <v>399</v>
      </c>
      <c r="Z123" t="s">
        <v>649</v>
      </c>
      <c r="AA123" t="s">
        <v>198</v>
      </c>
      <c r="AB123" t="s">
        <v>67</v>
      </c>
      <c r="AC123" t="s">
        <v>67</v>
      </c>
      <c r="AD123" t="s">
        <v>67</v>
      </c>
      <c r="AE123" t="s">
        <v>69</v>
      </c>
      <c r="AF123" t="s">
        <v>70</v>
      </c>
      <c r="AG123" t="s">
        <v>71</v>
      </c>
      <c r="AH123" t="s">
        <v>199</v>
      </c>
      <c r="AI123" t="s">
        <v>73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V123">
        <v>-1</v>
      </c>
    </row>
    <row r="124" spans="1:48" x14ac:dyDescent="0.55000000000000004">
      <c r="A124" t="str">
        <f>HYPERLINK("https://www.infodis.net/philips/net/Shipment/Details?InfodisNumber=4566252&amp;DomainCode=DAP", "4566252")</f>
        <v>4566252</v>
      </c>
      <c r="B124" t="s">
        <v>657</v>
      </c>
      <c r="C124" t="s">
        <v>498</v>
      </c>
      <c r="D124" t="s">
        <v>499</v>
      </c>
      <c r="E124" t="s">
        <v>94</v>
      </c>
      <c r="F124" t="s">
        <v>110</v>
      </c>
      <c r="G124" t="s">
        <v>96</v>
      </c>
      <c r="H124" t="s">
        <v>79</v>
      </c>
      <c r="I124" t="s">
        <v>412</v>
      </c>
      <c r="J124" t="s">
        <v>113</v>
      </c>
      <c r="K124" t="s">
        <v>114</v>
      </c>
      <c r="L124" t="s">
        <v>59</v>
      </c>
      <c r="M124" t="s">
        <v>60</v>
      </c>
      <c r="P124" t="s">
        <v>501</v>
      </c>
      <c r="R124" t="s">
        <v>117</v>
      </c>
      <c r="S124" s="2">
        <v>44160</v>
      </c>
      <c r="T124" s="2">
        <v>44160</v>
      </c>
      <c r="V124" s="2">
        <v>44165</v>
      </c>
      <c r="Y124" t="s">
        <v>89</v>
      </c>
      <c r="Z124" t="s">
        <v>273</v>
      </c>
      <c r="AA124" t="s">
        <v>658</v>
      </c>
      <c r="AB124" t="s">
        <v>67</v>
      </c>
      <c r="AC124" t="s">
        <v>67</v>
      </c>
      <c r="AD124" t="s">
        <v>67</v>
      </c>
      <c r="AE124" t="s">
        <v>90</v>
      </c>
      <c r="AF124" t="s">
        <v>70</v>
      </c>
      <c r="AG124" t="s">
        <v>71</v>
      </c>
      <c r="AH124" t="s">
        <v>72</v>
      </c>
      <c r="AI124" t="s">
        <v>73</v>
      </c>
      <c r="AJ124">
        <v>0</v>
      </c>
      <c r="AK124">
        <v>0</v>
      </c>
      <c r="AL124">
        <v>0</v>
      </c>
      <c r="AM124">
        <v>0</v>
      </c>
      <c r="AN124">
        <v>23</v>
      </c>
      <c r="AO124">
        <v>6299.78</v>
      </c>
      <c r="AP124">
        <v>43.32</v>
      </c>
      <c r="AV124">
        <v>-1</v>
      </c>
    </row>
    <row r="125" spans="1:48" x14ac:dyDescent="0.55000000000000004">
      <c r="A125" t="str">
        <f>HYPERLINK("https://www.infodis.net/philips/net/Shipment/Details?InfodisNumber=4566313&amp;DomainCode=DAP", "4566313")</f>
        <v>4566313</v>
      </c>
      <c r="B125" t="s">
        <v>659</v>
      </c>
      <c r="C125" t="s">
        <v>108</v>
      </c>
      <c r="D125" t="s">
        <v>109</v>
      </c>
      <c r="E125" t="s">
        <v>94</v>
      </c>
      <c r="F125" t="s">
        <v>578</v>
      </c>
      <c r="G125" t="s">
        <v>111</v>
      </c>
      <c r="H125" t="s">
        <v>79</v>
      </c>
      <c r="I125" t="s">
        <v>112</v>
      </c>
      <c r="J125" t="s">
        <v>660</v>
      </c>
      <c r="K125" t="s">
        <v>661</v>
      </c>
      <c r="L125" t="s">
        <v>380</v>
      </c>
      <c r="M125" t="s">
        <v>60</v>
      </c>
      <c r="N125" t="s">
        <v>115</v>
      </c>
      <c r="P125" t="s">
        <v>116</v>
      </c>
      <c r="R125" t="s">
        <v>662</v>
      </c>
      <c r="S125" s="2">
        <v>44160</v>
      </c>
      <c r="T125" s="2">
        <v>44165</v>
      </c>
      <c r="V125" s="2">
        <v>44170</v>
      </c>
      <c r="Y125" t="s">
        <v>89</v>
      </c>
      <c r="Z125" t="s">
        <v>127</v>
      </c>
      <c r="AA125" t="s">
        <v>127</v>
      </c>
      <c r="AB125" t="s">
        <v>67</v>
      </c>
      <c r="AC125" t="s">
        <v>67</v>
      </c>
      <c r="AD125" t="s">
        <v>67</v>
      </c>
      <c r="AE125" t="s">
        <v>663</v>
      </c>
      <c r="AF125" t="s">
        <v>70</v>
      </c>
      <c r="AG125" t="s">
        <v>71</v>
      </c>
      <c r="AH125" t="s">
        <v>72</v>
      </c>
      <c r="AI125" t="s">
        <v>73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15000</v>
      </c>
      <c r="AP125">
        <v>180</v>
      </c>
      <c r="AV125">
        <v>-1</v>
      </c>
    </row>
    <row r="126" spans="1:48" x14ac:dyDescent="0.55000000000000004">
      <c r="A126" t="str">
        <f>HYPERLINK("https://www.infodis.net/philips/net/Shipment/Details?InfodisNumber=4566406&amp;DomainCode=DAP", "4566406")</f>
        <v>4566406</v>
      </c>
      <c r="B126" t="s">
        <v>664</v>
      </c>
      <c r="C126" t="s">
        <v>665</v>
      </c>
      <c r="D126" t="s">
        <v>666</v>
      </c>
      <c r="E126" t="s">
        <v>665</v>
      </c>
      <c r="F126" t="s">
        <v>77</v>
      </c>
      <c r="G126" t="s">
        <v>667</v>
      </c>
      <c r="H126" t="s">
        <v>79</v>
      </c>
      <c r="I126" t="s">
        <v>122</v>
      </c>
      <c r="J126" t="s">
        <v>156</v>
      </c>
      <c r="K126" t="s">
        <v>82</v>
      </c>
      <c r="L126" t="s">
        <v>83</v>
      </c>
      <c r="M126" t="s">
        <v>84</v>
      </c>
      <c r="P126" t="s">
        <v>668</v>
      </c>
      <c r="R126" t="s">
        <v>87</v>
      </c>
      <c r="S126" s="2">
        <v>44160</v>
      </c>
      <c r="T126" s="2">
        <v>44179</v>
      </c>
      <c r="V126" s="2">
        <v>44175</v>
      </c>
      <c r="Y126" t="s">
        <v>88</v>
      </c>
      <c r="Z126" t="s">
        <v>105</v>
      </c>
      <c r="AA126" t="s">
        <v>105</v>
      </c>
      <c r="AB126" t="s">
        <v>67</v>
      </c>
      <c r="AC126" t="s">
        <v>67</v>
      </c>
      <c r="AD126" t="s">
        <v>67</v>
      </c>
      <c r="AE126" t="s">
        <v>90</v>
      </c>
      <c r="AF126" t="s">
        <v>70</v>
      </c>
      <c r="AG126" t="s">
        <v>71</v>
      </c>
      <c r="AH126" t="s">
        <v>72</v>
      </c>
      <c r="AI126" t="s">
        <v>73</v>
      </c>
      <c r="AJ126">
        <v>0</v>
      </c>
      <c r="AK126">
        <v>0</v>
      </c>
      <c r="AL126">
        <v>0</v>
      </c>
      <c r="AM126">
        <v>0</v>
      </c>
      <c r="AN126">
        <v>21</v>
      </c>
      <c r="AO126">
        <v>5700</v>
      </c>
      <c r="AP126">
        <v>30</v>
      </c>
      <c r="AV126">
        <v>-1</v>
      </c>
    </row>
    <row r="127" spans="1:48" x14ac:dyDescent="0.55000000000000004">
      <c r="A127" t="str">
        <f>HYPERLINK("https://www.infodis.net/philips/net/Shipment/Details?InfodisNumber=4566410&amp;DomainCode=DAP", "4566410")</f>
        <v>4566410</v>
      </c>
      <c r="B127" t="s">
        <v>669</v>
      </c>
      <c r="C127" t="s">
        <v>665</v>
      </c>
      <c r="D127" t="s">
        <v>666</v>
      </c>
      <c r="E127" t="s">
        <v>665</v>
      </c>
      <c r="F127" t="s">
        <v>77</v>
      </c>
      <c r="G127" t="s">
        <v>667</v>
      </c>
      <c r="H127" t="s">
        <v>79</v>
      </c>
      <c r="I127" t="s">
        <v>122</v>
      </c>
      <c r="J127" t="s">
        <v>156</v>
      </c>
      <c r="K127" t="s">
        <v>82</v>
      </c>
      <c r="L127" t="s">
        <v>83</v>
      </c>
      <c r="M127" t="s">
        <v>84</v>
      </c>
      <c r="P127" t="s">
        <v>668</v>
      </c>
      <c r="R127" t="s">
        <v>87</v>
      </c>
      <c r="S127" s="2">
        <v>44160</v>
      </c>
      <c r="T127" s="2">
        <v>44186</v>
      </c>
      <c r="V127" s="2">
        <v>44182</v>
      </c>
      <c r="Y127" t="s">
        <v>88</v>
      </c>
      <c r="Z127" t="s">
        <v>105</v>
      </c>
      <c r="AA127" t="s">
        <v>105</v>
      </c>
      <c r="AB127" t="s">
        <v>67</v>
      </c>
      <c r="AC127" t="s">
        <v>67</v>
      </c>
      <c r="AD127" t="s">
        <v>67</v>
      </c>
      <c r="AE127" t="s">
        <v>90</v>
      </c>
      <c r="AF127" t="s">
        <v>70</v>
      </c>
      <c r="AG127" t="s">
        <v>71</v>
      </c>
      <c r="AH127" t="s">
        <v>72</v>
      </c>
      <c r="AI127" t="s">
        <v>73</v>
      </c>
      <c r="AJ127">
        <v>0</v>
      </c>
      <c r="AK127">
        <v>0</v>
      </c>
      <c r="AL127">
        <v>0</v>
      </c>
      <c r="AM127">
        <v>0</v>
      </c>
      <c r="AN127">
        <v>21</v>
      </c>
      <c r="AO127">
        <v>5900</v>
      </c>
      <c r="AP127">
        <v>21</v>
      </c>
      <c r="AV127">
        <v>-1</v>
      </c>
    </row>
    <row r="128" spans="1:48" x14ac:dyDescent="0.55000000000000004">
      <c r="A128" t="str">
        <f>HYPERLINK("https://www.infodis.net/philips/net/Shipment/Details?InfodisNumber=4566414&amp;DomainCode=DAP", "4566414")</f>
        <v>4566414</v>
      </c>
      <c r="B128" t="s">
        <v>670</v>
      </c>
      <c r="C128" t="s">
        <v>665</v>
      </c>
      <c r="D128" t="s">
        <v>666</v>
      </c>
      <c r="E128" t="s">
        <v>665</v>
      </c>
      <c r="F128" t="s">
        <v>77</v>
      </c>
      <c r="G128" t="s">
        <v>667</v>
      </c>
      <c r="H128" t="s">
        <v>79</v>
      </c>
      <c r="I128" t="s">
        <v>122</v>
      </c>
      <c r="J128" t="s">
        <v>156</v>
      </c>
      <c r="K128" t="s">
        <v>82</v>
      </c>
      <c r="L128" t="s">
        <v>83</v>
      </c>
      <c r="M128" t="s">
        <v>84</v>
      </c>
      <c r="P128" t="s">
        <v>668</v>
      </c>
      <c r="R128" t="s">
        <v>87</v>
      </c>
      <c r="S128" s="2">
        <v>44160</v>
      </c>
      <c r="T128" s="2">
        <v>44193</v>
      </c>
      <c r="V128" s="2">
        <v>44189</v>
      </c>
      <c r="Y128" t="s">
        <v>88</v>
      </c>
      <c r="Z128" t="s">
        <v>105</v>
      </c>
      <c r="AA128" t="s">
        <v>105</v>
      </c>
      <c r="AB128" t="s">
        <v>67</v>
      </c>
      <c r="AC128" t="s">
        <v>67</v>
      </c>
      <c r="AD128" t="s">
        <v>67</v>
      </c>
      <c r="AE128" t="s">
        <v>90</v>
      </c>
      <c r="AF128" t="s">
        <v>70</v>
      </c>
      <c r="AG128" t="s">
        <v>71</v>
      </c>
      <c r="AH128" t="s">
        <v>72</v>
      </c>
      <c r="AI128" t="s">
        <v>73</v>
      </c>
      <c r="AJ128">
        <v>0</v>
      </c>
      <c r="AK128">
        <v>0</v>
      </c>
      <c r="AL128">
        <v>0</v>
      </c>
      <c r="AM128">
        <v>0</v>
      </c>
      <c r="AN128">
        <v>21</v>
      </c>
      <c r="AO128">
        <v>6000</v>
      </c>
      <c r="AP128">
        <v>32</v>
      </c>
      <c r="AV128">
        <v>-1</v>
      </c>
    </row>
    <row r="129" spans="1:48" x14ac:dyDescent="0.55000000000000004">
      <c r="A129" t="str">
        <f>HYPERLINK("https://www.infodis.net/philips/net/Shipment/Details?InfodisNumber=4566524&amp;DomainCode=DAP", "4566524")</f>
        <v>4566524</v>
      </c>
      <c r="B129" t="s">
        <v>671</v>
      </c>
      <c r="C129" t="s">
        <v>278</v>
      </c>
      <c r="D129" t="s">
        <v>279</v>
      </c>
      <c r="E129" t="s">
        <v>278</v>
      </c>
      <c r="F129" t="s">
        <v>256</v>
      </c>
      <c r="G129" t="s">
        <v>281</v>
      </c>
      <c r="H129" t="s">
        <v>79</v>
      </c>
      <c r="I129" t="s">
        <v>282</v>
      </c>
      <c r="J129" t="s">
        <v>258</v>
      </c>
      <c r="K129" t="s">
        <v>259</v>
      </c>
      <c r="L129" t="s">
        <v>260</v>
      </c>
      <c r="M129" t="s">
        <v>261</v>
      </c>
      <c r="P129" t="s">
        <v>286</v>
      </c>
      <c r="R129" t="s">
        <v>262</v>
      </c>
      <c r="S129" s="2">
        <v>44160</v>
      </c>
      <c r="T129" s="2">
        <v>44162</v>
      </c>
      <c r="V129" s="2">
        <v>44173</v>
      </c>
      <c r="Y129" t="s">
        <v>66</v>
      </c>
      <c r="Z129" t="s">
        <v>65</v>
      </c>
      <c r="AA129" t="s">
        <v>65</v>
      </c>
      <c r="AB129" t="s">
        <v>68</v>
      </c>
      <c r="AC129" t="s">
        <v>67</v>
      </c>
      <c r="AD129" t="s">
        <v>67</v>
      </c>
      <c r="AE129" t="s">
        <v>90</v>
      </c>
      <c r="AF129" t="s">
        <v>70</v>
      </c>
      <c r="AG129" t="s">
        <v>71</v>
      </c>
      <c r="AH129" t="s">
        <v>72</v>
      </c>
      <c r="AI129" t="s">
        <v>73</v>
      </c>
      <c r="AJ129">
        <v>0</v>
      </c>
      <c r="AK129">
        <v>0</v>
      </c>
      <c r="AL129">
        <v>0</v>
      </c>
      <c r="AM129">
        <v>0</v>
      </c>
      <c r="AN129">
        <v>45</v>
      </c>
      <c r="AO129">
        <v>3508.8</v>
      </c>
      <c r="AP129">
        <v>45</v>
      </c>
      <c r="AV129">
        <v>-1</v>
      </c>
    </row>
    <row r="130" spans="1:48" x14ac:dyDescent="0.55000000000000004">
      <c r="A130" t="str">
        <f>HYPERLINK("https://www.infodis.net/philips/net/Shipment/Details?InfodisNumber=4566571&amp;DomainCode=DAP", "4566571")</f>
        <v>4566571</v>
      </c>
      <c r="B130" t="s">
        <v>672</v>
      </c>
      <c r="C130" t="s">
        <v>201</v>
      </c>
      <c r="D130" t="s">
        <v>202</v>
      </c>
      <c r="E130" t="s">
        <v>94</v>
      </c>
      <c r="F130" t="s">
        <v>644</v>
      </c>
      <c r="G130" t="s">
        <v>204</v>
      </c>
      <c r="H130" t="s">
        <v>79</v>
      </c>
      <c r="I130" t="s">
        <v>268</v>
      </c>
      <c r="J130" t="s">
        <v>645</v>
      </c>
      <c r="K130" t="s">
        <v>646</v>
      </c>
      <c r="L130" t="s">
        <v>647</v>
      </c>
      <c r="M130" t="s">
        <v>133</v>
      </c>
      <c r="N130" t="s">
        <v>673</v>
      </c>
      <c r="P130" t="s">
        <v>208</v>
      </c>
      <c r="R130" t="s">
        <v>648</v>
      </c>
      <c r="S130" s="2">
        <v>44160</v>
      </c>
      <c r="T130" s="2">
        <v>44162</v>
      </c>
      <c r="V130" s="2">
        <v>44167</v>
      </c>
      <c r="Y130" t="s">
        <v>89</v>
      </c>
      <c r="Z130" t="s">
        <v>649</v>
      </c>
      <c r="AA130" t="s">
        <v>66</v>
      </c>
      <c r="AB130" t="s">
        <v>67</v>
      </c>
      <c r="AC130" t="s">
        <v>67</v>
      </c>
      <c r="AD130" t="s">
        <v>68</v>
      </c>
      <c r="AE130" t="s">
        <v>90</v>
      </c>
      <c r="AF130" t="s">
        <v>70</v>
      </c>
      <c r="AG130" t="s">
        <v>71</v>
      </c>
      <c r="AH130" t="s">
        <v>72</v>
      </c>
      <c r="AI130" t="s">
        <v>73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7784.82</v>
      </c>
      <c r="AP130">
        <v>47.048000000000002</v>
      </c>
      <c r="AV130">
        <v>-1</v>
      </c>
    </row>
    <row r="131" spans="1:48" x14ac:dyDescent="0.55000000000000004">
      <c r="A131" t="str">
        <f>HYPERLINK("https://www.infodis.net/philips/net/Shipment/Details?InfodisNumber=4566575&amp;DomainCode=DAP", "4566575")</f>
        <v>4566575</v>
      </c>
      <c r="B131" t="s">
        <v>674</v>
      </c>
      <c r="C131" t="s">
        <v>201</v>
      </c>
      <c r="D131" t="s">
        <v>202</v>
      </c>
      <c r="E131" t="s">
        <v>94</v>
      </c>
      <c r="F131" t="s">
        <v>644</v>
      </c>
      <c r="G131" t="s">
        <v>204</v>
      </c>
      <c r="H131" t="s">
        <v>79</v>
      </c>
      <c r="I131" t="s">
        <v>268</v>
      </c>
      <c r="J131" t="s">
        <v>645</v>
      </c>
      <c r="K131" t="s">
        <v>646</v>
      </c>
      <c r="L131" t="s">
        <v>647</v>
      </c>
      <c r="M131" t="s">
        <v>133</v>
      </c>
      <c r="N131" t="s">
        <v>675</v>
      </c>
      <c r="P131" t="s">
        <v>208</v>
      </c>
      <c r="R131" t="s">
        <v>648</v>
      </c>
      <c r="S131" s="2">
        <v>44160</v>
      </c>
      <c r="T131" s="2">
        <v>44162</v>
      </c>
      <c r="V131" s="2">
        <v>44167</v>
      </c>
      <c r="Y131" t="s">
        <v>89</v>
      </c>
      <c r="Z131" t="s">
        <v>649</v>
      </c>
      <c r="AA131" t="s">
        <v>66</v>
      </c>
      <c r="AB131" t="s">
        <v>67</v>
      </c>
      <c r="AC131" t="s">
        <v>67</v>
      </c>
      <c r="AD131" t="s">
        <v>68</v>
      </c>
      <c r="AE131" t="s">
        <v>90</v>
      </c>
      <c r="AF131" t="s">
        <v>70</v>
      </c>
      <c r="AG131" t="s">
        <v>71</v>
      </c>
      <c r="AH131" t="s">
        <v>72</v>
      </c>
      <c r="AI131" t="s">
        <v>73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7784.82</v>
      </c>
      <c r="AP131">
        <v>47.048000000000002</v>
      </c>
      <c r="AV131">
        <v>-1</v>
      </c>
    </row>
    <row r="132" spans="1:48" x14ac:dyDescent="0.55000000000000004">
      <c r="A132" t="str">
        <f>HYPERLINK("https://www.infodis.net/philips/net/Shipment/Details?InfodisNumber=4566598&amp;DomainCode=DAP", "4566598")</f>
        <v>4566598</v>
      </c>
      <c r="B132" t="s">
        <v>676</v>
      </c>
      <c r="C132" t="s">
        <v>677</v>
      </c>
      <c r="D132" t="s">
        <v>678</v>
      </c>
      <c r="E132" t="s">
        <v>677</v>
      </c>
      <c r="F132" t="s">
        <v>77</v>
      </c>
      <c r="G132" t="s">
        <v>204</v>
      </c>
      <c r="H132" t="s">
        <v>79</v>
      </c>
      <c r="I132" t="s">
        <v>122</v>
      </c>
      <c r="J132" t="s">
        <v>156</v>
      </c>
      <c r="K132" t="s">
        <v>82</v>
      </c>
      <c r="L132" t="s">
        <v>83</v>
      </c>
      <c r="M132" t="s">
        <v>84</v>
      </c>
      <c r="P132" t="s">
        <v>679</v>
      </c>
      <c r="R132" t="s">
        <v>87</v>
      </c>
      <c r="S132" s="2">
        <v>44160</v>
      </c>
      <c r="T132" s="2">
        <v>44186</v>
      </c>
      <c r="V132" s="2">
        <v>44189</v>
      </c>
      <c r="Y132" t="s">
        <v>88</v>
      </c>
      <c r="Z132" t="s">
        <v>105</v>
      </c>
      <c r="AA132" t="s">
        <v>105</v>
      </c>
      <c r="AB132" t="s">
        <v>67</v>
      </c>
      <c r="AC132" t="s">
        <v>67</v>
      </c>
      <c r="AD132" t="s">
        <v>67</v>
      </c>
      <c r="AE132" t="s">
        <v>90</v>
      </c>
      <c r="AF132" t="s">
        <v>70</v>
      </c>
      <c r="AG132" t="s">
        <v>71</v>
      </c>
      <c r="AH132" t="s">
        <v>72</v>
      </c>
      <c r="AI132" t="s">
        <v>73</v>
      </c>
      <c r="AJ132">
        <v>0</v>
      </c>
      <c r="AK132">
        <v>0</v>
      </c>
      <c r="AL132">
        <v>0</v>
      </c>
      <c r="AM132">
        <v>0</v>
      </c>
      <c r="AN132">
        <v>30</v>
      </c>
      <c r="AO132">
        <v>4880</v>
      </c>
      <c r="AP132">
        <v>38.159999999999997</v>
      </c>
      <c r="AV132">
        <v>-1</v>
      </c>
    </row>
    <row r="133" spans="1:48" x14ac:dyDescent="0.55000000000000004">
      <c r="A133" t="str">
        <f>HYPERLINK("https://www.infodis.net/philips/net/Shipment/Details?InfodisNumber=4566808&amp;DomainCode=DAP", "4566808")</f>
        <v>4566808</v>
      </c>
      <c r="B133" t="s">
        <v>680</v>
      </c>
      <c r="C133" t="s">
        <v>376</v>
      </c>
      <c r="D133" t="s">
        <v>377</v>
      </c>
      <c r="E133" t="s">
        <v>304</v>
      </c>
      <c r="F133" t="s">
        <v>191</v>
      </c>
      <c r="G133" t="s">
        <v>379</v>
      </c>
      <c r="H133" t="s">
        <v>380</v>
      </c>
      <c r="I133" t="s">
        <v>681</v>
      </c>
      <c r="J133" t="s">
        <v>547</v>
      </c>
      <c r="K133" t="s">
        <v>308</v>
      </c>
      <c r="L133" t="s">
        <v>180</v>
      </c>
      <c r="M133" t="s">
        <v>60</v>
      </c>
      <c r="P133" t="s">
        <v>388</v>
      </c>
      <c r="R133" t="s">
        <v>313</v>
      </c>
      <c r="S133" s="2">
        <v>44160</v>
      </c>
      <c r="T133" s="2">
        <v>44161</v>
      </c>
      <c r="V133" s="2">
        <v>44166</v>
      </c>
      <c r="Y133" t="s">
        <v>65</v>
      </c>
      <c r="Z133" t="s">
        <v>65</v>
      </c>
      <c r="AA133" t="s">
        <v>198</v>
      </c>
      <c r="AB133" t="s">
        <v>67</v>
      </c>
      <c r="AC133" t="s">
        <v>67</v>
      </c>
      <c r="AD133" t="s">
        <v>67</v>
      </c>
      <c r="AE133" t="s">
        <v>90</v>
      </c>
      <c r="AF133" t="s">
        <v>70</v>
      </c>
      <c r="AG133" t="s">
        <v>71</v>
      </c>
      <c r="AH133" t="s">
        <v>199</v>
      </c>
      <c r="AI133" t="s">
        <v>73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7860</v>
      </c>
      <c r="AP133">
        <v>48</v>
      </c>
      <c r="AV133">
        <v>-1</v>
      </c>
    </row>
    <row r="134" spans="1:48" x14ac:dyDescent="0.55000000000000004">
      <c r="A134" t="str">
        <f>HYPERLINK("https://www.infodis.net/philips/net/Shipment/Details?InfodisNumber=4566773&amp;DomainCode=DAP", "4566773")</f>
        <v>4566773</v>
      </c>
      <c r="B134" t="s">
        <v>682</v>
      </c>
      <c r="C134" t="s">
        <v>50</v>
      </c>
      <c r="D134" t="s">
        <v>51</v>
      </c>
      <c r="E134" t="s">
        <v>52</v>
      </c>
      <c r="F134" t="s">
        <v>683</v>
      </c>
      <c r="G134" t="s">
        <v>440</v>
      </c>
      <c r="H134" t="s">
        <v>55</v>
      </c>
      <c r="I134" t="s">
        <v>495</v>
      </c>
      <c r="J134" t="s">
        <v>461</v>
      </c>
      <c r="K134" t="s">
        <v>684</v>
      </c>
      <c r="L134" t="s">
        <v>180</v>
      </c>
      <c r="M134" t="s">
        <v>60</v>
      </c>
      <c r="P134" t="s">
        <v>446</v>
      </c>
      <c r="R134" t="s">
        <v>685</v>
      </c>
      <c r="S134" s="2">
        <v>44160</v>
      </c>
      <c r="T134" s="2">
        <v>44162</v>
      </c>
      <c r="V134" s="2">
        <v>44167</v>
      </c>
      <c r="Y134" t="s">
        <v>686</v>
      </c>
      <c r="Z134" t="s">
        <v>686</v>
      </c>
      <c r="AA134" t="s">
        <v>686</v>
      </c>
      <c r="AB134" t="s">
        <v>67</v>
      </c>
      <c r="AC134" t="s">
        <v>67</v>
      </c>
      <c r="AD134" t="s">
        <v>67</v>
      </c>
      <c r="AE134" t="s">
        <v>69</v>
      </c>
      <c r="AF134" t="s">
        <v>70</v>
      </c>
      <c r="AG134" t="s">
        <v>71</v>
      </c>
      <c r="AH134" t="s">
        <v>72</v>
      </c>
      <c r="AI134" t="s">
        <v>73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6146</v>
      </c>
      <c r="AP134">
        <v>40.271000000000001</v>
      </c>
      <c r="AV134">
        <v>-1</v>
      </c>
    </row>
    <row r="135" spans="1:48" x14ac:dyDescent="0.55000000000000004">
      <c r="A135" t="str">
        <f>HYPERLINK("https://www.infodis.net/philips/net/Shipment/Details?InfodisNumber=4566775&amp;DomainCode=DAP", "4566775")</f>
        <v>4566775</v>
      </c>
      <c r="B135" t="s">
        <v>687</v>
      </c>
      <c r="C135" t="s">
        <v>50</v>
      </c>
      <c r="D135" t="s">
        <v>51</v>
      </c>
      <c r="E135" t="s">
        <v>52</v>
      </c>
      <c r="F135" t="s">
        <v>683</v>
      </c>
      <c r="G135" t="s">
        <v>440</v>
      </c>
      <c r="H135" t="s">
        <v>55</v>
      </c>
      <c r="I135" t="s">
        <v>495</v>
      </c>
      <c r="J135" t="s">
        <v>461</v>
      </c>
      <c r="K135" t="s">
        <v>684</v>
      </c>
      <c r="L135" t="s">
        <v>180</v>
      </c>
      <c r="M135" t="s">
        <v>60</v>
      </c>
      <c r="P135" t="s">
        <v>446</v>
      </c>
      <c r="R135" t="s">
        <v>685</v>
      </c>
      <c r="S135" s="2">
        <v>44160</v>
      </c>
      <c r="T135" s="2">
        <v>44169</v>
      </c>
      <c r="V135" s="2">
        <v>44174</v>
      </c>
      <c r="Y135" t="s">
        <v>686</v>
      </c>
      <c r="Z135" t="s">
        <v>686</v>
      </c>
      <c r="AA135" t="s">
        <v>686</v>
      </c>
      <c r="AB135" t="s">
        <v>67</v>
      </c>
      <c r="AC135" t="s">
        <v>67</v>
      </c>
      <c r="AD135" t="s">
        <v>67</v>
      </c>
      <c r="AE135" t="s">
        <v>69</v>
      </c>
      <c r="AF135" t="s">
        <v>70</v>
      </c>
      <c r="AG135" t="s">
        <v>71</v>
      </c>
      <c r="AH135" t="s">
        <v>72</v>
      </c>
      <c r="AI135" t="s">
        <v>73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5000</v>
      </c>
      <c r="AP135">
        <v>35</v>
      </c>
      <c r="AV135">
        <v>-1</v>
      </c>
    </row>
    <row r="136" spans="1:48" x14ac:dyDescent="0.55000000000000004">
      <c r="A136" t="str">
        <f>HYPERLINK("https://www.infodis.net/philips/net/Shipment/Details?InfodisNumber=4566777&amp;DomainCode=DAP", "4566777")</f>
        <v>4566777</v>
      </c>
      <c r="B136" t="s">
        <v>688</v>
      </c>
      <c r="C136" t="s">
        <v>50</v>
      </c>
      <c r="D136" t="s">
        <v>51</v>
      </c>
      <c r="E136" t="s">
        <v>52</v>
      </c>
      <c r="F136" t="s">
        <v>683</v>
      </c>
      <c r="G136" t="s">
        <v>440</v>
      </c>
      <c r="H136" t="s">
        <v>55</v>
      </c>
      <c r="I136" t="s">
        <v>495</v>
      </c>
      <c r="J136" t="s">
        <v>461</v>
      </c>
      <c r="K136" t="s">
        <v>684</v>
      </c>
      <c r="L136" t="s">
        <v>180</v>
      </c>
      <c r="M136" t="s">
        <v>60</v>
      </c>
      <c r="P136" t="s">
        <v>446</v>
      </c>
      <c r="R136" t="s">
        <v>685</v>
      </c>
      <c r="S136" s="2">
        <v>44160</v>
      </c>
      <c r="T136" s="2">
        <v>44169</v>
      </c>
      <c r="V136" s="2">
        <v>44174</v>
      </c>
      <c r="Y136" t="s">
        <v>686</v>
      </c>
      <c r="Z136" t="s">
        <v>686</v>
      </c>
      <c r="AA136" t="s">
        <v>686</v>
      </c>
      <c r="AB136" t="s">
        <v>67</v>
      </c>
      <c r="AC136" t="s">
        <v>67</v>
      </c>
      <c r="AD136" t="s">
        <v>67</v>
      </c>
      <c r="AE136" t="s">
        <v>69</v>
      </c>
      <c r="AF136" t="s">
        <v>70</v>
      </c>
      <c r="AG136" t="s">
        <v>71</v>
      </c>
      <c r="AH136" t="s">
        <v>72</v>
      </c>
      <c r="AI136" t="s">
        <v>73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5000</v>
      </c>
      <c r="AP136">
        <v>35</v>
      </c>
      <c r="AV136">
        <v>-1</v>
      </c>
    </row>
    <row r="137" spans="1:48" x14ac:dyDescent="0.55000000000000004">
      <c r="A137" t="str">
        <f>HYPERLINK("https://www.infodis.net/philips/net/Shipment/Details?InfodisNumber=4566779&amp;DomainCode=DAP", "4566779")</f>
        <v>4566779</v>
      </c>
      <c r="B137" t="s">
        <v>689</v>
      </c>
      <c r="C137" t="s">
        <v>690</v>
      </c>
      <c r="D137" t="s">
        <v>691</v>
      </c>
      <c r="E137" t="s">
        <v>692</v>
      </c>
      <c r="F137" t="s">
        <v>683</v>
      </c>
      <c r="G137" t="s">
        <v>440</v>
      </c>
      <c r="H137" t="s">
        <v>55</v>
      </c>
      <c r="I137" t="s">
        <v>495</v>
      </c>
      <c r="J137" t="s">
        <v>461</v>
      </c>
      <c r="K137" t="s">
        <v>684</v>
      </c>
      <c r="L137" t="s">
        <v>180</v>
      </c>
      <c r="M137" t="s">
        <v>60</v>
      </c>
      <c r="P137" t="s">
        <v>446</v>
      </c>
      <c r="R137" t="s">
        <v>685</v>
      </c>
      <c r="S137" s="2">
        <v>44160</v>
      </c>
      <c r="T137" s="2">
        <v>44162</v>
      </c>
      <c r="V137" s="2">
        <v>44167</v>
      </c>
      <c r="Y137" t="s">
        <v>686</v>
      </c>
      <c r="Z137" t="s">
        <v>686</v>
      </c>
      <c r="AA137" t="s">
        <v>686</v>
      </c>
      <c r="AB137" t="s">
        <v>67</v>
      </c>
      <c r="AC137" t="s">
        <v>67</v>
      </c>
      <c r="AD137" t="s">
        <v>67</v>
      </c>
      <c r="AE137" t="s">
        <v>69</v>
      </c>
      <c r="AF137" t="s">
        <v>70</v>
      </c>
      <c r="AG137" t="s">
        <v>71</v>
      </c>
      <c r="AH137" t="s">
        <v>72</v>
      </c>
      <c r="AI137" t="s">
        <v>73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3050</v>
      </c>
      <c r="AP137">
        <v>27.725000000000001</v>
      </c>
      <c r="AV137">
        <v>-1</v>
      </c>
    </row>
    <row r="138" spans="1:48" x14ac:dyDescent="0.55000000000000004">
      <c r="A138" t="str">
        <f>HYPERLINK("https://www.infodis.net/philips/net/Shipment/Details?InfodisNumber=4566782&amp;DomainCode=DAP", "4566782")</f>
        <v>4566782</v>
      </c>
      <c r="B138" t="s">
        <v>693</v>
      </c>
      <c r="C138" t="s">
        <v>690</v>
      </c>
      <c r="D138" t="s">
        <v>691</v>
      </c>
      <c r="E138" t="s">
        <v>692</v>
      </c>
      <c r="F138" t="s">
        <v>683</v>
      </c>
      <c r="G138" t="s">
        <v>440</v>
      </c>
      <c r="H138" t="s">
        <v>55</v>
      </c>
      <c r="I138" t="s">
        <v>495</v>
      </c>
      <c r="J138" t="s">
        <v>461</v>
      </c>
      <c r="K138" t="s">
        <v>684</v>
      </c>
      <c r="L138" t="s">
        <v>180</v>
      </c>
      <c r="M138" t="s">
        <v>60</v>
      </c>
      <c r="P138" t="s">
        <v>446</v>
      </c>
      <c r="R138" t="s">
        <v>685</v>
      </c>
      <c r="S138" s="2">
        <v>44160</v>
      </c>
      <c r="T138" s="2">
        <v>44162</v>
      </c>
      <c r="V138" s="2">
        <v>44167</v>
      </c>
      <c r="Y138" t="s">
        <v>686</v>
      </c>
      <c r="Z138" t="s">
        <v>686</v>
      </c>
      <c r="AA138" t="s">
        <v>686</v>
      </c>
      <c r="AB138" t="s">
        <v>67</v>
      </c>
      <c r="AC138" t="s">
        <v>67</v>
      </c>
      <c r="AD138" t="s">
        <v>67</v>
      </c>
      <c r="AE138" t="s">
        <v>162</v>
      </c>
      <c r="AF138" t="s">
        <v>70</v>
      </c>
      <c r="AG138" t="s">
        <v>71</v>
      </c>
      <c r="AH138" t="s">
        <v>72</v>
      </c>
      <c r="AI138" t="s">
        <v>73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695</v>
      </c>
      <c r="AP138">
        <v>3.1680000000000001</v>
      </c>
      <c r="AV138">
        <v>-1</v>
      </c>
    </row>
    <row r="139" spans="1:48" x14ac:dyDescent="0.55000000000000004">
      <c r="A139" t="str">
        <f>HYPERLINK("https://www.infodis.net/philips/net/Shipment/Details?InfodisNumber=4566791&amp;DomainCode=DAP", "4566791")</f>
        <v>4566791</v>
      </c>
      <c r="B139" t="s">
        <v>694</v>
      </c>
      <c r="C139" t="s">
        <v>50</v>
      </c>
      <c r="D139" t="s">
        <v>51</v>
      </c>
      <c r="E139" t="s">
        <v>52</v>
      </c>
      <c r="F139" t="s">
        <v>53</v>
      </c>
      <c r="G139" t="s">
        <v>440</v>
      </c>
      <c r="H139" t="s">
        <v>55</v>
      </c>
      <c r="I139" t="s">
        <v>56</v>
      </c>
      <c r="J139" t="s">
        <v>57</v>
      </c>
      <c r="K139" t="s">
        <v>58</v>
      </c>
      <c r="L139" t="s">
        <v>59</v>
      </c>
      <c r="M139" t="s">
        <v>60</v>
      </c>
      <c r="P139" t="s">
        <v>446</v>
      </c>
      <c r="R139" t="s">
        <v>64</v>
      </c>
      <c r="S139" s="2">
        <v>44160</v>
      </c>
      <c r="T139" s="2">
        <v>44167</v>
      </c>
      <c r="V139" s="2">
        <v>44172</v>
      </c>
      <c r="Y139" t="s">
        <v>65</v>
      </c>
      <c r="Z139" t="s">
        <v>65</v>
      </c>
      <c r="AA139" t="s">
        <v>66</v>
      </c>
      <c r="AB139" t="s">
        <v>67</v>
      </c>
      <c r="AC139" t="s">
        <v>67</v>
      </c>
      <c r="AD139" t="s">
        <v>68</v>
      </c>
      <c r="AE139" t="s">
        <v>69</v>
      </c>
      <c r="AF139" t="s">
        <v>70</v>
      </c>
      <c r="AG139" t="s">
        <v>71</v>
      </c>
      <c r="AH139" t="s">
        <v>72</v>
      </c>
      <c r="AI139" t="s">
        <v>73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5000</v>
      </c>
      <c r="AP139">
        <v>30</v>
      </c>
      <c r="AV139">
        <v>-1</v>
      </c>
    </row>
    <row r="140" spans="1:48" x14ac:dyDescent="0.55000000000000004">
      <c r="A140" t="str">
        <f>HYPERLINK("https://www.infodis.net/philips/net/Shipment/Details?InfodisNumber=4567096&amp;DomainCode=DAP", "4567096")</f>
        <v>4567096</v>
      </c>
      <c r="B140" t="s">
        <v>695</v>
      </c>
      <c r="C140" t="s">
        <v>75</v>
      </c>
      <c r="D140" t="s">
        <v>76</v>
      </c>
      <c r="E140" t="s">
        <v>75</v>
      </c>
      <c r="F140" t="s">
        <v>77</v>
      </c>
      <c r="G140" t="s">
        <v>78</v>
      </c>
      <c r="H140" t="s">
        <v>79</v>
      </c>
      <c r="I140" t="s">
        <v>80</v>
      </c>
      <c r="J140" t="s">
        <v>81</v>
      </c>
      <c r="K140" t="s">
        <v>82</v>
      </c>
      <c r="L140" t="s">
        <v>83</v>
      </c>
      <c r="M140" t="s">
        <v>84</v>
      </c>
      <c r="P140" t="s">
        <v>86</v>
      </c>
      <c r="R140" t="s">
        <v>87</v>
      </c>
      <c r="S140" s="2">
        <v>44161</v>
      </c>
      <c r="T140" s="2">
        <v>44165</v>
      </c>
      <c r="V140" s="2">
        <v>44170</v>
      </c>
      <c r="Y140" t="s">
        <v>88</v>
      </c>
      <c r="Z140" t="s">
        <v>89</v>
      </c>
      <c r="AA140" t="s">
        <v>89</v>
      </c>
      <c r="AB140" t="s">
        <v>67</v>
      </c>
      <c r="AC140" t="s">
        <v>67</v>
      </c>
      <c r="AD140" t="s">
        <v>67</v>
      </c>
      <c r="AE140" t="s">
        <v>90</v>
      </c>
      <c r="AF140" t="s">
        <v>70</v>
      </c>
      <c r="AG140" t="s">
        <v>71</v>
      </c>
      <c r="AH140" t="s">
        <v>72</v>
      </c>
      <c r="AI140" t="s">
        <v>73</v>
      </c>
      <c r="AJ140">
        <v>0</v>
      </c>
      <c r="AK140">
        <v>0</v>
      </c>
      <c r="AL140">
        <v>0</v>
      </c>
      <c r="AM140">
        <v>0</v>
      </c>
      <c r="AN140">
        <v>39</v>
      </c>
      <c r="AO140">
        <v>8469.24</v>
      </c>
      <c r="AP140">
        <v>39</v>
      </c>
      <c r="AV140">
        <v>-1</v>
      </c>
    </row>
    <row r="141" spans="1:48" x14ac:dyDescent="0.55000000000000004">
      <c r="A141" t="str">
        <f>HYPERLINK("https://www.infodis.net/philips/net/Shipment/Details?InfodisNumber=4567288&amp;DomainCode=DAP", "4567288")</f>
        <v>4567288</v>
      </c>
      <c r="B141" t="s">
        <v>696</v>
      </c>
      <c r="C141" t="s">
        <v>153</v>
      </c>
      <c r="D141" t="s">
        <v>154</v>
      </c>
      <c r="E141" t="s">
        <v>94</v>
      </c>
      <c r="F141" t="s">
        <v>697</v>
      </c>
      <c r="G141" t="s">
        <v>82</v>
      </c>
      <c r="H141" t="s">
        <v>83</v>
      </c>
      <c r="I141" t="s">
        <v>156</v>
      </c>
      <c r="J141" t="s">
        <v>246</v>
      </c>
      <c r="K141" t="s">
        <v>219</v>
      </c>
      <c r="L141" t="s">
        <v>180</v>
      </c>
      <c r="M141" t="s">
        <v>60</v>
      </c>
      <c r="P141" t="s">
        <v>87</v>
      </c>
      <c r="R141" t="s">
        <v>223</v>
      </c>
      <c r="S141" s="2">
        <v>44161</v>
      </c>
      <c r="T141" s="2">
        <v>44143</v>
      </c>
      <c r="V141" s="2">
        <v>44149</v>
      </c>
      <c r="Y141" t="s">
        <v>138</v>
      </c>
      <c r="Z141" t="s">
        <v>138</v>
      </c>
      <c r="AA141" t="s">
        <v>138</v>
      </c>
      <c r="AB141" t="s">
        <v>67</v>
      </c>
      <c r="AC141" t="s">
        <v>67</v>
      </c>
      <c r="AD141" t="s">
        <v>67</v>
      </c>
      <c r="AE141" t="s">
        <v>698</v>
      </c>
      <c r="AF141" t="s">
        <v>70</v>
      </c>
      <c r="AG141" t="s">
        <v>71</v>
      </c>
      <c r="AH141" t="s">
        <v>72</v>
      </c>
      <c r="AI141" t="s">
        <v>73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10000</v>
      </c>
      <c r="AP141">
        <v>45</v>
      </c>
      <c r="AV141">
        <v>-1</v>
      </c>
    </row>
    <row r="142" spans="1:48" x14ac:dyDescent="0.55000000000000004">
      <c r="A142" t="str">
        <f>HYPERLINK("https://www.infodis.net/philips/net/Shipment/Details?InfodisNumber=4567314&amp;DomainCode=DAP", "4567314")</f>
        <v>4567314</v>
      </c>
      <c r="B142" t="s">
        <v>699</v>
      </c>
      <c r="C142" t="s">
        <v>376</v>
      </c>
      <c r="D142" t="s">
        <v>377</v>
      </c>
      <c r="E142" t="s">
        <v>304</v>
      </c>
      <c r="F142" t="s">
        <v>403</v>
      </c>
      <c r="G142" t="s">
        <v>379</v>
      </c>
      <c r="H142" t="s">
        <v>380</v>
      </c>
      <c r="I142" t="s">
        <v>681</v>
      </c>
      <c r="J142" t="s">
        <v>157</v>
      </c>
      <c r="K142" t="s">
        <v>158</v>
      </c>
      <c r="L142" t="s">
        <v>159</v>
      </c>
      <c r="M142" t="s">
        <v>60</v>
      </c>
      <c r="P142" t="s">
        <v>388</v>
      </c>
      <c r="R142" t="s">
        <v>161</v>
      </c>
      <c r="S142" s="2">
        <v>44161</v>
      </c>
      <c r="T142" s="2">
        <v>44165</v>
      </c>
      <c r="V142" s="2">
        <v>44170</v>
      </c>
      <c r="Y142" t="s">
        <v>238</v>
      </c>
      <c r="Z142" t="s">
        <v>238</v>
      </c>
      <c r="AA142" t="s">
        <v>66</v>
      </c>
      <c r="AB142" t="s">
        <v>67</v>
      </c>
      <c r="AC142" t="s">
        <v>67</v>
      </c>
      <c r="AD142" t="s">
        <v>68</v>
      </c>
      <c r="AE142" t="s">
        <v>90</v>
      </c>
      <c r="AF142" t="s">
        <v>70</v>
      </c>
      <c r="AG142" t="s">
        <v>71</v>
      </c>
      <c r="AH142" t="s">
        <v>72</v>
      </c>
      <c r="AI142" t="s">
        <v>73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3907</v>
      </c>
      <c r="AP142">
        <v>34</v>
      </c>
      <c r="AV142">
        <v>-1</v>
      </c>
    </row>
    <row r="143" spans="1:48" x14ac:dyDescent="0.55000000000000004">
      <c r="A143" t="str">
        <f>HYPERLINK("https://www.infodis.net/philips/net/Shipment/Details?InfodisNumber=4567549&amp;DomainCode=DAP", "4567549")</f>
        <v>4567549</v>
      </c>
      <c r="B143" t="s">
        <v>700</v>
      </c>
      <c r="C143" t="s">
        <v>302</v>
      </c>
      <c r="D143" t="s">
        <v>303</v>
      </c>
      <c r="E143" t="s">
        <v>304</v>
      </c>
      <c r="F143" t="s">
        <v>305</v>
      </c>
      <c r="G143" t="s">
        <v>306</v>
      </c>
      <c r="H143" t="s">
        <v>307</v>
      </c>
      <c r="I143" t="s">
        <v>245</v>
      </c>
      <c r="J143" t="s">
        <v>334</v>
      </c>
      <c r="K143" t="s">
        <v>308</v>
      </c>
      <c r="L143" t="s">
        <v>180</v>
      </c>
      <c r="M143" t="s">
        <v>60</v>
      </c>
      <c r="P143" t="s">
        <v>312</v>
      </c>
      <c r="R143" t="s">
        <v>313</v>
      </c>
      <c r="S143" s="2">
        <v>44161</v>
      </c>
      <c r="T143" s="2">
        <v>44167</v>
      </c>
      <c r="V143" s="2">
        <v>44172</v>
      </c>
      <c r="Y143" t="s">
        <v>65</v>
      </c>
      <c r="Z143" t="s">
        <v>65</v>
      </c>
      <c r="AA143" t="s">
        <v>65</v>
      </c>
      <c r="AB143" t="s">
        <v>67</v>
      </c>
      <c r="AC143" t="s">
        <v>67</v>
      </c>
      <c r="AD143" t="s">
        <v>67</v>
      </c>
      <c r="AE143" t="s">
        <v>90</v>
      </c>
      <c r="AF143" t="s">
        <v>70</v>
      </c>
      <c r="AG143" t="s">
        <v>71</v>
      </c>
      <c r="AH143" t="s">
        <v>72</v>
      </c>
      <c r="AI143" t="s">
        <v>73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259</v>
      </c>
      <c r="AP143">
        <v>2.472</v>
      </c>
      <c r="AV143">
        <v>-1</v>
      </c>
    </row>
    <row r="144" spans="1:48" x14ac:dyDescent="0.55000000000000004">
      <c r="A144" t="str">
        <f>HYPERLINK("https://www.infodis.net/philips/net/Shipment/Details?InfodisNumber=4567577&amp;DomainCode=DAP", "4567577")</f>
        <v>4567577</v>
      </c>
      <c r="B144" t="s">
        <v>701</v>
      </c>
      <c r="C144" t="s">
        <v>302</v>
      </c>
      <c r="D144" t="s">
        <v>303</v>
      </c>
      <c r="E144" t="s">
        <v>304</v>
      </c>
      <c r="F144" t="s">
        <v>215</v>
      </c>
      <c r="G144" t="s">
        <v>306</v>
      </c>
      <c r="H144" t="s">
        <v>307</v>
      </c>
      <c r="I144" t="s">
        <v>245</v>
      </c>
      <c r="J144" t="s">
        <v>334</v>
      </c>
      <c r="K144" t="s">
        <v>219</v>
      </c>
      <c r="L144" t="s">
        <v>180</v>
      </c>
      <c r="M144" t="s">
        <v>309</v>
      </c>
      <c r="P144" t="s">
        <v>312</v>
      </c>
      <c r="R144" t="s">
        <v>223</v>
      </c>
      <c r="S144" s="2">
        <v>44161</v>
      </c>
      <c r="T144" s="2">
        <v>44167</v>
      </c>
      <c r="V144" s="2">
        <v>44172</v>
      </c>
      <c r="Y144" t="s">
        <v>65</v>
      </c>
      <c r="Z144" t="s">
        <v>65</v>
      </c>
      <c r="AA144" t="s">
        <v>65</v>
      </c>
      <c r="AB144" t="s">
        <v>67</v>
      </c>
      <c r="AC144" t="s">
        <v>67</v>
      </c>
      <c r="AD144" t="s">
        <v>67</v>
      </c>
      <c r="AE144" t="s">
        <v>90</v>
      </c>
      <c r="AF144" t="s">
        <v>70</v>
      </c>
      <c r="AG144" t="s">
        <v>71</v>
      </c>
      <c r="AH144" t="s">
        <v>72</v>
      </c>
      <c r="AI144" t="s">
        <v>73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2048</v>
      </c>
      <c r="AP144">
        <v>18.36</v>
      </c>
      <c r="AV144">
        <v>-1</v>
      </c>
    </row>
    <row r="145" spans="1:49" x14ac:dyDescent="0.55000000000000004">
      <c r="A145" t="str">
        <f>HYPERLINK("https://www.infodis.net/philips/net/Shipment/Details?InfodisNumber=4567562&amp;DomainCode=DAP", "4567562")</f>
        <v>4567562</v>
      </c>
      <c r="B145" t="s">
        <v>702</v>
      </c>
      <c r="C145" t="s">
        <v>302</v>
      </c>
      <c r="D145" t="s">
        <v>303</v>
      </c>
      <c r="E145" t="s">
        <v>304</v>
      </c>
      <c r="F145" t="s">
        <v>333</v>
      </c>
      <c r="G145" t="s">
        <v>306</v>
      </c>
      <c r="H145" t="s">
        <v>307</v>
      </c>
      <c r="I145" t="s">
        <v>245</v>
      </c>
      <c r="J145" t="s">
        <v>334</v>
      </c>
      <c r="K145" t="s">
        <v>269</v>
      </c>
      <c r="L145" t="s">
        <v>180</v>
      </c>
      <c r="M145" t="s">
        <v>309</v>
      </c>
      <c r="P145" t="s">
        <v>312</v>
      </c>
      <c r="R145" t="s">
        <v>271</v>
      </c>
      <c r="S145" s="2">
        <v>44161</v>
      </c>
      <c r="T145" s="2">
        <v>44167</v>
      </c>
      <c r="V145" s="2">
        <v>44172</v>
      </c>
      <c r="Y145" t="s">
        <v>65</v>
      </c>
      <c r="Z145" t="s">
        <v>65</v>
      </c>
      <c r="AA145" t="s">
        <v>65</v>
      </c>
      <c r="AB145" t="s">
        <v>67</v>
      </c>
      <c r="AC145" t="s">
        <v>67</v>
      </c>
      <c r="AD145" t="s">
        <v>67</v>
      </c>
      <c r="AE145" t="s">
        <v>90</v>
      </c>
      <c r="AF145" t="s">
        <v>70</v>
      </c>
      <c r="AG145" t="s">
        <v>71</v>
      </c>
      <c r="AH145" t="s">
        <v>72</v>
      </c>
      <c r="AI145" t="s">
        <v>73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4776</v>
      </c>
      <c r="AP145">
        <v>40.93</v>
      </c>
      <c r="AV145">
        <v>-1</v>
      </c>
    </row>
    <row r="146" spans="1:49" x14ac:dyDescent="0.55000000000000004">
      <c r="A146" t="str">
        <f>HYPERLINK("https://www.infodis.net/philips/net/Shipment/Details?InfodisNumber=4567565&amp;DomainCode=DAP", "4567565")</f>
        <v>4567565</v>
      </c>
      <c r="B146" t="s">
        <v>703</v>
      </c>
      <c r="C146" t="s">
        <v>302</v>
      </c>
      <c r="D146" t="s">
        <v>303</v>
      </c>
      <c r="E146" t="s">
        <v>304</v>
      </c>
      <c r="F146" t="s">
        <v>305</v>
      </c>
      <c r="G146" t="s">
        <v>306</v>
      </c>
      <c r="H146" t="s">
        <v>307</v>
      </c>
      <c r="I146" t="s">
        <v>245</v>
      </c>
      <c r="J146" t="s">
        <v>334</v>
      </c>
      <c r="K146" t="s">
        <v>308</v>
      </c>
      <c r="L146" t="s">
        <v>180</v>
      </c>
      <c r="M146" t="s">
        <v>60</v>
      </c>
      <c r="P146" t="s">
        <v>312</v>
      </c>
      <c r="R146" t="s">
        <v>313</v>
      </c>
      <c r="S146" s="2">
        <v>44161</v>
      </c>
      <c r="T146" s="2">
        <v>44167</v>
      </c>
      <c r="V146" s="2">
        <v>44172</v>
      </c>
      <c r="Y146" t="s">
        <v>65</v>
      </c>
      <c r="Z146" t="s">
        <v>65</v>
      </c>
      <c r="AA146" t="s">
        <v>65</v>
      </c>
      <c r="AB146" t="s">
        <v>67</v>
      </c>
      <c r="AC146" t="s">
        <v>67</v>
      </c>
      <c r="AD146" t="s">
        <v>67</v>
      </c>
      <c r="AE146" t="s">
        <v>90</v>
      </c>
      <c r="AF146" t="s">
        <v>70</v>
      </c>
      <c r="AG146" t="s">
        <v>71</v>
      </c>
      <c r="AH146" t="s">
        <v>72</v>
      </c>
      <c r="AI146" t="s">
        <v>73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3612</v>
      </c>
      <c r="AP146">
        <v>33.049999999999997</v>
      </c>
      <c r="AV146">
        <v>-1</v>
      </c>
    </row>
    <row r="147" spans="1:49" x14ac:dyDescent="0.55000000000000004">
      <c r="A147" s="3" t="str">
        <f>HYPERLINK("https://www.infodis.net/philips/net/Shipment/Details?InfodisNumber=4556419&amp;DomainCode=DAP", "4556419")</f>
        <v>4556419</v>
      </c>
      <c r="B147" s="3" t="s">
        <v>704</v>
      </c>
      <c r="C147" s="3" t="s">
        <v>302</v>
      </c>
      <c r="D147" s="3" t="s">
        <v>303</v>
      </c>
      <c r="E147" s="3" t="s">
        <v>304</v>
      </c>
      <c r="F147" s="3" t="s">
        <v>705</v>
      </c>
      <c r="G147" s="3" t="s">
        <v>306</v>
      </c>
      <c r="H147" s="3" t="s">
        <v>307</v>
      </c>
      <c r="I147" s="3" t="s">
        <v>706</v>
      </c>
      <c r="J147" s="3" t="s">
        <v>707</v>
      </c>
      <c r="K147" s="3" t="s">
        <v>708</v>
      </c>
      <c r="L147" s="3" t="s">
        <v>709</v>
      </c>
      <c r="M147" s="3" t="s">
        <v>60</v>
      </c>
      <c r="N147" s="3" t="s">
        <v>710</v>
      </c>
      <c r="O147" s="3" t="s">
        <v>711</v>
      </c>
      <c r="P147" s="3" t="s">
        <v>312</v>
      </c>
      <c r="Q147" s="3"/>
      <c r="R147" s="3" t="s">
        <v>712</v>
      </c>
      <c r="S147" s="4">
        <v>44147</v>
      </c>
      <c r="T147" s="4">
        <v>44159</v>
      </c>
      <c r="U147" s="4">
        <v>44158</v>
      </c>
      <c r="V147" s="4">
        <v>44166</v>
      </c>
      <c r="W147" s="3"/>
      <c r="X147" s="3"/>
      <c r="Y147" s="3" t="s">
        <v>238</v>
      </c>
      <c r="Z147" s="3" t="s">
        <v>238</v>
      </c>
      <c r="AA147" s="3" t="s">
        <v>238</v>
      </c>
      <c r="AB147" s="3" t="s">
        <v>67</v>
      </c>
      <c r="AC147" s="3" t="s">
        <v>67</v>
      </c>
      <c r="AD147" s="3" t="s">
        <v>67</v>
      </c>
      <c r="AE147" s="3" t="s">
        <v>90</v>
      </c>
      <c r="AF147" s="3" t="s">
        <v>70</v>
      </c>
      <c r="AG147" s="3" t="s">
        <v>71</v>
      </c>
      <c r="AH147" s="3" t="s">
        <v>72</v>
      </c>
      <c r="AI147" s="3" t="s">
        <v>73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889.03</v>
      </c>
      <c r="AP147" s="3">
        <v>9.0190000000000001</v>
      </c>
      <c r="AQ147" s="3" t="s">
        <v>713</v>
      </c>
      <c r="AR147" s="3" t="s">
        <v>714</v>
      </c>
      <c r="AS147" s="3" t="s">
        <v>713</v>
      </c>
      <c r="AT147" s="4">
        <v>44159</v>
      </c>
      <c r="AU147" s="3" t="s">
        <v>715</v>
      </c>
      <c r="AV147" s="3">
        <v>3</v>
      </c>
      <c r="AW147" s="3" t="s">
        <v>716</v>
      </c>
    </row>
    <row r="148" spans="1:49" x14ac:dyDescent="0.55000000000000004">
      <c r="A148" s="3" t="str">
        <f>HYPERLINK("https://www.infodis.net/philips/net/Shipment/Details?InfodisNumber=4523826&amp;DomainCode=DAP", "4523826")</f>
        <v>4523826</v>
      </c>
      <c r="B148" s="3" t="s">
        <v>717</v>
      </c>
      <c r="C148" s="3" t="s">
        <v>302</v>
      </c>
      <c r="D148" s="3" t="s">
        <v>303</v>
      </c>
      <c r="E148" s="3" t="s">
        <v>304</v>
      </c>
      <c r="F148" s="3" t="s">
        <v>305</v>
      </c>
      <c r="G148" s="3" t="s">
        <v>306</v>
      </c>
      <c r="H148" s="3" t="s">
        <v>307</v>
      </c>
      <c r="I148" s="3" t="s">
        <v>245</v>
      </c>
      <c r="J148" s="3" t="s">
        <v>218</v>
      </c>
      <c r="K148" s="3" t="s">
        <v>219</v>
      </c>
      <c r="L148" s="3" t="s">
        <v>180</v>
      </c>
      <c r="M148" s="3" t="s">
        <v>60</v>
      </c>
      <c r="N148" s="3" t="s">
        <v>718</v>
      </c>
      <c r="O148" s="3" t="s">
        <v>719</v>
      </c>
      <c r="P148" s="3" t="s">
        <v>312</v>
      </c>
      <c r="Q148" s="3"/>
      <c r="R148" s="3" t="s">
        <v>223</v>
      </c>
      <c r="S148" s="4">
        <v>44102</v>
      </c>
      <c r="T148" s="4">
        <v>44103</v>
      </c>
      <c r="U148" s="4">
        <v>44103</v>
      </c>
      <c r="V148" s="4">
        <v>44111</v>
      </c>
      <c r="W148" s="4">
        <v>44113</v>
      </c>
      <c r="X148" s="3"/>
      <c r="Y148" s="3" t="s">
        <v>65</v>
      </c>
      <c r="Z148" s="3" t="s">
        <v>65</v>
      </c>
      <c r="AA148" s="3" t="s">
        <v>198</v>
      </c>
      <c r="AB148" s="3" t="s">
        <v>67</v>
      </c>
      <c r="AC148" s="3" t="s">
        <v>67</v>
      </c>
      <c r="AD148" s="3" t="s">
        <v>67</v>
      </c>
      <c r="AE148" s="3" t="s">
        <v>90</v>
      </c>
      <c r="AF148" s="3" t="s">
        <v>70</v>
      </c>
      <c r="AG148" s="3" t="s">
        <v>71</v>
      </c>
      <c r="AH148" s="3" t="s">
        <v>199</v>
      </c>
      <c r="AI148" s="3" t="s">
        <v>73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4054.2660000000001</v>
      </c>
      <c r="AP148" s="3">
        <v>38.015999999999998</v>
      </c>
      <c r="AQ148" s="3" t="s">
        <v>713</v>
      </c>
      <c r="AR148" s="3" t="s">
        <v>714</v>
      </c>
      <c r="AS148" s="3" t="s">
        <v>713</v>
      </c>
      <c r="AT148" s="4">
        <v>44103</v>
      </c>
      <c r="AU148" s="3" t="s">
        <v>720</v>
      </c>
      <c r="AV148" s="3">
        <v>59</v>
      </c>
      <c r="AW148" s="3" t="s">
        <v>721</v>
      </c>
    </row>
    <row r="149" spans="1:49" x14ac:dyDescent="0.55000000000000004">
      <c r="A149" s="3" t="str">
        <f>HYPERLINK("https://www.infodis.net/philips/net/Shipment/Details?InfodisNumber=4534354&amp;DomainCode=DAP", "4534354")</f>
        <v>4534354</v>
      </c>
      <c r="B149" s="3" t="s">
        <v>722</v>
      </c>
      <c r="C149" s="3" t="s">
        <v>410</v>
      </c>
      <c r="D149" s="3" t="s">
        <v>411</v>
      </c>
      <c r="E149" s="3" t="s">
        <v>94</v>
      </c>
      <c r="F149" s="3" t="s">
        <v>95</v>
      </c>
      <c r="G149" s="3" t="s">
        <v>96</v>
      </c>
      <c r="H149" s="3" t="s">
        <v>79</v>
      </c>
      <c r="I149" s="3" t="s">
        <v>97</v>
      </c>
      <c r="J149" s="3" t="s">
        <v>723</v>
      </c>
      <c r="K149" s="3" t="s">
        <v>99</v>
      </c>
      <c r="L149" s="3" t="s">
        <v>100</v>
      </c>
      <c r="M149" s="3" t="s">
        <v>60</v>
      </c>
      <c r="N149" s="3" t="s">
        <v>724</v>
      </c>
      <c r="O149" s="3"/>
      <c r="P149" s="3" t="s">
        <v>415</v>
      </c>
      <c r="Q149" s="3"/>
      <c r="R149" s="3" t="s">
        <v>104</v>
      </c>
      <c r="S149" s="4">
        <v>44119</v>
      </c>
      <c r="T149" s="4">
        <v>44124</v>
      </c>
      <c r="U149" s="4">
        <v>44125</v>
      </c>
      <c r="V149" s="4">
        <v>44129</v>
      </c>
      <c r="W149" s="3"/>
      <c r="X149" s="3"/>
      <c r="Y149" s="3" t="s">
        <v>89</v>
      </c>
      <c r="Z149" s="3" t="s">
        <v>105</v>
      </c>
      <c r="AA149" s="3" t="s">
        <v>106</v>
      </c>
      <c r="AB149" s="3" t="s">
        <v>67</v>
      </c>
      <c r="AC149" s="3" t="s">
        <v>67</v>
      </c>
      <c r="AD149" s="3" t="s">
        <v>67</v>
      </c>
      <c r="AE149" s="3" t="s">
        <v>90</v>
      </c>
      <c r="AF149" s="3" t="s">
        <v>70</v>
      </c>
      <c r="AG149" s="3" t="s">
        <v>71</v>
      </c>
      <c r="AH149" s="3" t="s">
        <v>72</v>
      </c>
      <c r="AI149" s="3" t="s">
        <v>73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6844.61</v>
      </c>
      <c r="AP149" s="3">
        <v>50.076000000000001</v>
      </c>
      <c r="AQ149" s="3" t="s">
        <v>713</v>
      </c>
      <c r="AR149" s="3" t="s">
        <v>714</v>
      </c>
      <c r="AS149" s="3" t="s">
        <v>713</v>
      </c>
      <c r="AT149" s="4">
        <v>44124</v>
      </c>
      <c r="AU149" s="3" t="s">
        <v>725</v>
      </c>
      <c r="AV149" s="3">
        <v>38</v>
      </c>
      <c r="AW149" s="3" t="s">
        <v>726</v>
      </c>
    </row>
    <row r="150" spans="1:49" x14ac:dyDescent="0.55000000000000004">
      <c r="A150" s="3" t="str">
        <f>HYPERLINK("https://www.infodis.net/philips/net/Shipment/Details?InfodisNumber=4534351&amp;DomainCode=DAP", "4534351")</f>
        <v>4534351</v>
      </c>
      <c r="B150" s="3" t="s">
        <v>727</v>
      </c>
      <c r="C150" s="3" t="s">
        <v>410</v>
      </c>
      <c r="D150" s="3" t="s">
        <v>411</v>
      </c>
      <c r="E150" s="3" t="s">
        <v>94</v>
      </c>
      <c r="F150" s="3" t="s">
        <v>95</v>
      </c>
      <c r="G150" s="3" t="s">
        <v>96</v>
      </c>
      <c r="H150" s="3" t="s">
        <v>79</v>
      </c>
      <c r="I150" s="3" t="s">
        <v>97</v>
      </c>
      <c r="J150" s="3" t="s">
        <v>723</v>
      </c>
      <c r="K150" s="3" t="s">
        <v>99</v>
      </c>
      <c r="L150" s="3" t="s">
        <v>100</v>
      </c>
      <c r="M150" s="3" t="s">
        <v>60</v>
      </c>
      <c r="N150" s="3" t="s">
        <v>728</v>
      </c>
      <c r="O150" s="3" t="s">
        <v>729</v>
      </c>
      <c r="P150" s="3" t="s">
        <v>415</v>
      </c>
      <c r="Q150" s="3"/>
      <c r="R150" s="3" t="s">
        <v>104</v>
      </c>
      <c r="S150" s="4">
        <v>44119</v>
      </c>
      <c r="T150" s="4">
        <v>44124</v>
      </c>
      <c r="U150" s="4">
        <v>44127</v>
      </c>
      <c r="V150" s="4">
        <v>44129</v>
      </c>
      <c r="W150" s="4">
        <v>44140</v>
      </c>
      <c r="X150" s="3"/>
      <c r="Y150" s="3" t="s">
        <v>89</v>
      </c>
      <c r="Z150" s="3" t="s">
        <v>138</v>
      </c>
      <c r="AA150" s="3" t="s">
        <v>106</v>
      </c>
      <c r="AB150" s="3" t="s">
        <v>67</v>
      </c>
      <c r="AC150" s="3" t="s">
        <v>67</v>
      </c>
      <c r="AD150" s="3" t="s">
        <v>67</v>
      </c>
      <c r="AE150" s="3" t="s">
        <v>69</v>
      </c>
      <c r="AF150" s="3" t="s">
        <v>70</v>
      </c>
      <c r="AG150" s="3" t="s">
        <v>71</v>
      </c>
      <c r="AH150" s="3" t="s">
        <v>72</v>
      </c>
      <c r="AI150" s="3" t="s">
        <v>73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7985.38</v>
      </c>
      <c r="AP150" s="3">
        <v>58.421999999999997</v>
      </c>
      <c r="AQ150" s="3" t="s">
        <v>713</v>
      </c>
      <c r="AR150" s="3" t="s">
        <v>714</v>
      </c>
      <c r="AS150" s="3" t="s">
        <v>713</v>
      </c>
      <c r="AT150" s="4">
        <v>44124</v>
      </c>
      <c r="AU150" s="3" t="s">
        <v>725</v>
      </c>
      <c r="AV150" s="3">
        <v>38</v>
      </c>
      <c r="AW150" s="3" t="s">
        <v>726</v>
      </c>
    </row>
    <row r="151" spans="1:49" x14ac:dyDescent="0.55000000000000004">
      <c r="A151" s="3" t="str">
        <f>HYPERLINK("https://www.infodis.net/philips/net/Shipment/Details?InfodisNumber=4526111&amp;DomainCode=DAP", "4526111")</f>
        <v>4526111</v>
      </c>
      <c r="B151" s="3" t="s">
        <v>730</v>
      </c>
      <c r="C151" s="3" t="s">
        <v>560</v>
      </c>
      <c r="D151" s="3" t="s">
        <v>561</v>
      </c>
      <c r="E151" s="3" t="s">
        <v>562</v>
      </c>
      <c r="F151" s="3" t="s">
        <v>731</v>
      </c>
      <c r="G151" s="3" t="s">
        <v>54</v>
      </c>
      <c r="H151" s="3" t="s">
        <v>55</v>
      </c>
      <c r="I151" s="3" t="s">
        <v>495</v>
      </c>
      <c r="J151" s="3" t="s">
        <v>732</v>
      </c>
      <c r="K151" s="3" t="s">
        <v>733</v>
      </c>
      <c r="L151" s="3" t="s">
        <v>734</v>
      </c>
      <c r="M151" s="3" t="s">
        <v>133</v>
      </c>
      <c r="N151" s="3" t="s">
        <v>735</v>
      </c>
      <c r="O151" s="3" t="s">
        <v>736</v>
      </c>
      <c r="P151" s="3" t="s">
        <v>63</v>
      </c>
      <c r="Q151" s="3" t="s">
        <v>736</v>
      </c>
      <c r="R151" s="3"/>
      <c r="S151" s="4">
        <v>44104</v>
      </c>
      <c r="T151" s="4">
        <v>44109</v>
      </c>
      <c r="U151" s="4">
        <v>44104</v>
      </c>
      <c r="V151" s="4">
        <v>44114</v>
      </c>
      <c r="W151" s="4">
        <v>44112</v>
      </c>
      <c r="X151" s="3"/>
      <c r="Y151" s="3" t="s">
        <v>686</v>
      </c>
      <c r="Z151" s="3" t="s">
        <v>686</v>
      </c>
      <c r="AA151" s="3" t="s">
        <v>66</v>
      </c>
      <c r="AB151" s="3" t="s">
        <v>67</v>
      </c>
      <c r="AC151" s="3" t="s">
        <v>67</v>
      </c>
      <c r="AD151" s="3" t="s">
        <v>68</v>
      </c>
      <c r="AE151" s="3" t="s">
        <v>162</v>
      </c>
      <c r="AF151" s="3" t="s">
        <v>70</v>
      </c>
      <c r="AG151" s="3" t="s">
        <v>71</v>
      </c>
      <c r="AH151" s="3" t="s">
        <v>72</v>
      </c>
      <c r="AI151" s="3" t="s">
        <v>73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728</v>
      </c>
      <c r="AP151" s="3">
        <v>5.1020000000000003</v>
      </c>
      <c r="AQ151" s="3" t="s">
        <v>713</v>
      </c>
      <c r="AR151" s="3" t="s">
        <v>714</v>
      </c>
      <c r="AS151" s="3" t="s">
        <v>713</v>
      </c>
      <c r="AT151" s="4">
        <v>44139</v>
      </c>
      <c r="AU151" s="3" t="s">
        <v>737</v>
      </c>
      <c r="AV151" s="3">
        <v>23</v>
      </c>
      <c r="AW151" s="3" t="s">
        <v>738</v>
      </c>
    </row>
    <row r="152" spans="1:49" x14ac:dyDescent="0.55000000000000004">
      <c r="A152" s="3" t="str">
        <f>HYPERLINK("https://www.infodis.net/philips/net/Shipment/Details?InfodisNumber=4552378&amp;DomainCode=DAP", "4552378")</f>
        <v>4552378</v>
      </c>
      <c r="B152" s="3" t="s">
        <v>739</v>
      </c>
      <c r="C152" s="3" t="s">
        <v>75</v>
      </c>
      <c r="D152" s="3" t="s">
        <v>76</v>
      </c>
      <c r="E152" s="3" t="s">
        <v>75</v>
      </c>
      <c r="F152" s="3" t="s">
        <v>77</v>
      </c>
      <c r="G152" s="3" t="s">
        <v>78</v>
      </c>
      <c r="H152" s="3" t="s">
        <v>79</v>
      </c>
      <c r="I152" s="3" t="s">
        <v>80</v>
      </c>
      <c r="J152" s="3" t="s">
        <v>81</v>
      </c>
      <c r="K152" s="3" t="s">
        <v>82</v>
      </c>
      <c r="L152" s="3" t="s">
        <v>83</v>
      </c>
      <c r="M152" s="3" t="s">
        <v>84</v>
      </c>
      <c r="N152" s="3" t="s">
        <v>740</v>
      </c>
      <c r="O152" s="3"/>
      <c r="P152" s="3" t="s">
        <v>86</v>
      </c>
      <c r="Q152" s="3"/>
      <c r="R152" s="3" t="s">
        <v>87</v>
      </c>
      <c r="S152" s="4">
        <v>44144</v>
      </c>
      <c r="T152" s="4">
        <v>44145</v>
      </c>
      <c r="U152" s="4">
        <v>44145</v>
      </c>
      <c r="V152" s="4">
        <v>44150</v>
      </c>
      <c r="W152" s="3"/>
      <c r="X152" s="3"/>
      <c r="Y152" s="3" t="s">
        <v>88</v>
      </c>
      <c r="Z152" s="3" t="s">
        <v>89</v>
      </c>
      <c r="AA152" s="3" t="s">
        <v>89</v>
      </c>
      <c r="AB152" s="3" t="s">
        <v>67</v>
      </c>
      <c r="AC152" s="3" t="s">
        <v>67</v>
      </c>
      <c r="AD152" s="3" t="s">
        <v>67</v>
      </c>
      <c r="AE152" s="3" t="s">
        <v>90</v>
      </c>
      <c r="AF152" s="3" t="s">
        <v>70</v>
      </c>
      <c r="AG152" s="3" t="s">
        <v>71</v>
      </c>
      <c r="AH152" s="3" t="s">
        <v>72</v>
      </c>
      <c r="AI152" s="3" t="s">
        <v>73</v>
      </c>
      <c r="AJ152" s="3">
        <v>0</v>
      </c>
      <c r="AK152" s="3">
        <v>0</v>
      </c>
      <c r="AL152" s="3">
        <v>0</v>
      </c>
      <c r="AM152" s="3">
        <v>0</v>
      </c>
      <c r="AN152" s="3">
        <v>48</v>
      </c>
      <c r="AO152" s="3">
        <v>9219.26</v>
      </c>
      <c r="AP152" s="3">
        <v>48</v>
      </c>
      <c r="AQ152" s="3" t="s">
        <v>713</v>
      </c>
      <c r="AR152" s="3" t="s">
        <v>714</v>
      </c>
      <c r="AS152" s="3" t="s">
        <v>713</v>
      </c>
      <c r="AT152" s="4">
        <v>44151</v>
      </c>
      <c r="AU152" s="3" t="s">
        <v>741</v>
      </c>
      <c r="AV152" s="3">
        <v>11</v>
      </c>
      <c r="AW152" s="3" t="s">
        <v>742</v>
      </c>
    </row>
    <row r="153" spans="1:49" x14ac:dyDescent="0.55000000000000004">
      <c r="A153" s="3" t="str">
        <f>HYPERLINK("https://www.infodis.net/philips/net/Shipment/Details?InfodisNumber=6861122&amp;DomainCode=PHILIPSR1", "6861122")</f>
        <v>6861122</v>
      </c>
      <c r="B153" s="3" t="s">
        <v>743</v>
      </c>
      <c r="C153" s="3" t="s">
        <v>456</v>
      </c>
      <c r="D153" s="3" t="s">
        <v>457</v>
      </c>
      <c r="E153" s="3" t="s">
        <v>242</v>
      </c>
      <c r="F153" s="3" t="s">
        <v>459</v>
      </c>
      <c r="G153" s="3" t="s">
        <v>460</v>
      </c>
      <c r="H153" s="3" t="s">
        <v>180</v>
      </c>
      <c r="I153" s="3" t="s">
        <v>461</v>
      </c>
      <c r="J153" s="3" t="s">
        <v>268</v>
      </c>
      <c r="K153" s="3" t="s">
        <v>462</v>
      </c>
      <c r="L153" s="3" t="s">
        <v>79</v>
      </c>
      <c r="M153" s="3" t="s">
        <v>60</v>
      </c>
      <c r="N153" s="3" t="s">
        <v>744</v>
      </c>
      <c r="O153" s="3" t="s">
        <v>745</v>
      </c>
      <c r="P153" s="3" t="s">
        <v>465</v>
      </c>
      <c r="Q153" s="3"/>
      <c r="R153" s="3" t="s">
        <v>746</v>
      </c>
      <c r="S153" s="4">
        <v>44109</v>
      </c>
      <c r="T153" s="4">
        <v>44120</v>
      </c>
      <c r="U153" s="3"/>
      <c r="V153" s="4">
        <v>44129</v>
      </c>
      <c r="W153" s="4">
        <v>44129</v>
      </c>
      <c r="X153" s="3"/>
      <c r="Y153" s="3" t="s">
        <v>138</v>
      </c>
      <c r="Z153" s="3" t="s">
        <v>138</v>
      </c>
      <c r="AA153" s="3" t="s">
        <v>467</v>
      </c>
      <c r="AB153" s="3" t="s">
        <v>67</v>
      </c>
      <c r="AC153" s="3" t="s">
        <v>67</v>
      </c>
      <c r="AD153" s="3" t="s">
        <v>67</v>
      </c>
      <c r="AE153" s="3" t="s">
        <v>69</v>
      </c>
      <c r="AF153" s="3" t="s">
        <v>70</v>
      </c>
      <c r="AG153" s="3" t="s">
        <v>71</v>
      </c>
      <c r="AH153" s="3" t="s">
        <v>72</v>
      </c>
      <c r="AI153" s="3" t="s">
        <v>252</v>
      </c>
      <c r="AJ153" s="3">
        <v>0</v>
      </c>
      <c r="AK153" s="3">
        <v>0</v>
      </c>
      <c r="AL153" s="3">
        <v>0</v>
      </c>
      <c r="AM153" s="3">
        <v>0</v>
      </c>
      <c r="AN153" s="3">
        <v>14</v>
      </c>
      <c r="AO153" s="3">
        <v>3241.37</v>
      </c>
      <c r="AP153" s="3">
        <v>25.495000000000001</v>
      </c>
      <c r="AQ153" s="3" t="s">
        <v>713</v>
      </c>
      <c r="AR153" s="3" t="s">
        <v>714</v>
      </c>
      <c r="AS153" s="3" t="s">
        <v>713</v>
      </c>
      <c r="AT153" s="4">
        <v>44124</v>
      </c>
      <c r="AU153" s="3" t="s">
        <v>747</v>
      </c>
      <c r="AV153" s="3">
        <v>38</v>
      </c>
      <c r="AW153" s="3" t="s">
        <v>748</v>
      </c>
    </row>
    <row r="154" spans="1:49" x14ac:dyDescent="0.55000000000000004">
      <c r="A154" s="3" t="str">
        <f>HYPERLINK("https://www.infodis.net/philips/net/Shipment/Details?InfodisNumber=4529720&amp;DomainCode=DAP", "4529720")</f>
        <v>4529720</v>
      </c>
      <c r="B154" s="3" t="s">
        <v>749</v>
      </c>
      <c r="C154" s="3" t="s">
        <v>410</v>
      </c>
      <c r="D154" s="3" t="s">
        <v>411</v>
      </c>
      <c r="E154" s="3" t="s">
        <v>94</v>
      </c>
      <c r="F154" s="3" t="s">
        <v>95</v>
      </c>
      <c r="G154" s="3" t="s">
        <v>96</v>
      </c>
      <c r="H154" s="3" t="s">
        <v>79</v>
      </c>
      <c r="I154" s="3" t="s">
        <v>97</v>
      </c>
      <c r="J154" s="3" t="s">
        <v>491</v>
      </c>
      <c r="K154" s="3" t="s">
        <v>99</v>
      </c>
      <c r="L154" s="3" t="s">
        <v>100</v>
      </c>
      <c r="M154" s="3" t="s">
        <v>60</v>
      </c>
      <c r="N154" s="3" t="s">
        <v>750</v>
      </c>
      <c r="O154" s="3"/>
      <c r="P154" s="3" t="s">
        <v>415</v>
      </c>
      <c r="Q154" s="3"/>
      <c r="R154" s="3" t="s">
        <v>104</v>
      </c>
      <c r="S154" s="4">
        <v>44111</v>
      </c>
      <c r="T154" s="4">
        <v>44117</v>
      </c>
      <c r="U154" s="4">
        <v>44125</v>
      </c>
      <c r="V154" s="4">
        <v>44127</v>
      </c>
      <c r="W154" s="3"/>
      <c r="X154" s="3"/>
      <c r="Y154" s="3" t="s">
        <v>89</v>
      </c>
      <c r="Z154" s="3" t="s">
        <v>105</v>
      </c>
      <c r="AA154" s="3" t="s">
        <v>106</v>
      </c>
      <c r="AB154" s="3" t="s">
        <v>67</v>
      </c>
      <c r="AC154" s="3" t="s">
        <v>67</v>
      </c>
      <c r="AD154" s="3" t="s">
        <v>67</v>
      </c>
      <c r="AE154" s="3" t="s">
        <v>90</v>
      </c>
      <c r="AF154" s="3" t="s">
        <v>70</v>
      </c>
      <c r="AG154" s="3" t="s">
        <v>71</v>
      </c>
      <c r="AH154" s="3" t="s">
        <v>72</v>
      </c>
      <c r="AI154" s="3" t="s">
        <v>73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6777.5</v>
      </c>
      <c r="AP154" s="3">
        <v>49.585000000000001</v>
      </c>
      <c r="AQ154" s="3" t="s">
        <v>713</v>
      </c>
      <c r="AR154" s="3" t="s">
        <v>714</v>
      </c>
      <c r="AS154" s="3" t="s">
        <v>713</v>
      </c>
      <c r="AT154" s="4">
        <v>44124</v>
      </c>
      <c r="AU154" s="3" t="s">
        <v>725</v>
      </c>
      <c r="AV154" s="3">
        <v>38</v>
      </c>
      <c r="AW154" s="3" t="s">
        <v>726</v>
      </c>
    </row>
    <row r="155" spans="1:49" x14ac:dyDescent="0.55000000000000004">
      <c r="A155" s="3" t="str">
        <f>HYPERLINK("https://www.infodis.net/philips/net/Shipment/Details?InfodisNumber=4530324&amp;DomainCode=DAP", "4530324")</f>
        <v>4530324</v>
      </c>
      <c r="B155" s="3" t="s">
        <v>751</v>
      </c>
      <c r="C155" s="3" t="s">
        <v>302</v>
      </c>
      <c r="D155" s="3" t="s">
        <v>303</v>
      </c>
      <c r="E155" s="3" t="s">
        <v>304</v>
      </c>
      <c r="F155" s="3" t="s">
        <v>305</v>
      </c>
      <c r="G155" s="3" t="s">
        <v>306</v>
      </c>
      <c r="H155" s="3" t="s">
        <v>307</v>
      </c>
      <c r="I155" s="3" t="s">
        <v>245</v>
      </c>
      <c r="J155" s="3" t="s">
        <v>218</v>
      </c>
      <c r="K155" s="3" t="s">
        <v>308</v>
      </c>
      <c r="L155" s="3" t="s">
        <v>180</v>
      </c>
      <c r="M155" s="3" t="s">
        <v>309</v>
      </c>
      <c r="N155" s="3" t="s">
        <v>752</v>
      </c>
      <c r="O155" s="3" t="s">
        <v>753</v>
      </c>
      <c r="P155" s="3" t="s">
        <v>312</v>
      </c>
      <c r="Q155" s="3"/>
      <c r="R155" s="3" t="s">
        <v>313</v>
      </c>
      <c r="S155" s="4">
        <v>44112</v>
      </c>
      <c r="T155" s="4">
        <v>44119</v>
      </c>
      <c r="U155" s="4">
        <v>44119</v>
      </c>
      <c r="V155" s="4">
        <v>44129</v>
      </c>
      <c r="W155" s="4">
        <v>44129</v>
      </c>
      <c r="X155" s="3"/>
      <c r="Y155" s="3" t="s">
        <v>65</v>
      </c>
      <c r="Z155" s="3" t="s">
        <v>65</v>
      </c>
      <c r="AA155" s="3" t="s">
        <v>198</v>
      </c>
      <c r="AB155" s="3" t="s">
        <v>67</v>
      </c>
      <c r="AC155" s="3" t="s">
        <v>67</v>
      </c>
      <c r="AD155" s="3" t="s">
        <v>67</v>
      </c>
      <c r="AE155" s="3" t="s">
        <v>90</v>
      </c>
      <c r="AF155" s="3" t="s">
        <v>70</v>
      </c>
      <c r="AG155" s="3" t="s">
        <v>71</v>
      </c>
      <c r="AH155" s="3" t="s">
        <v>199</v>
      </c>
      <c r="AI155" s="3" t="s">
        <v>73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3170.0479999999998</v>
      </c>
      <c r="AP155" s="3">
        <v>29.568000000000001</v>
      </c>
      <c r="AQ155" s="3" t="s">
        <v>713</v>
      </c>
      <c r="AR155" s="3" t="s">
        <v>714</v>
      </c>
      <c r="AS155" s="3" t="s">
        <v>713</v>
      </c>
      <c r="AT155" s="4">
        <v>44151</v>
      </c>
      <c r="AU155" s="3" t="s">
        <v>754</v>
      </c>
      <c r="AV155" s="3">
        <v>11</v>
      </c>
      <c r="AW155" s="3" t="s">
        <v>721</v>
      </c>
    </row>
    <row r="156" spans="1:49" x14ac:dyDescent="0.55000000000000004">
      <c r="A156" s="3" t="str">
        <f>HYPERLINK("https://www.infodis.net/philips/net/Shipment/Details?InfodisNumber=4536531&amp;DomainCode=DAP", "4536531")</f>
        <v>4536531</v>
      </c>
      <c r="B156" s="3" t="s">
        <v>755</v>
      </c>
      <c r="C156" s="3" t="s">
        <v>756</v>
      </c>
      <c r="D156" s="3" t="s">
        <v>757</v>
      </c>
      <c r="E156" s="3" t="s">
        <v>191</v>
      </c>
      <c r="F156" s="3" t="s">
        <v>758</v>
      </c>
      <c r="G156" s="3" t="s">
        <v>219</v>
      </c>
      <c r="H156" s="3" t="s">
        <v>180</v>
      </c>
      <c r="I156" s="3" t="s">
        <v>547</v>
      </c>
      <c r="J156" s="3" t="s">
        <v>759</v>
      </c>
      <c r="K156" s="3" t="s">
        <v>760</v>
      </c>
      <c r="L156" s="3" t="s">
        <v>260</v>
      </c>
      <c r="M156" s="3" t="s">
        <v>60</v>
      </c>
      <c r="N156" s="3"/>
      <c r="O156" s="3"/>
      <c r="P156" s="3" t="s">
        <v>223</v>
      </c>
      <c r="Q156" s="3"/>
      <c r="R156" s="3" t="s">
        <v>761</v>
      </c>
      <c r="S156" s="4">
        <v>44120</v>
      </c>
      <c r="T156" s="4">
        <v>44130</v>
      </c>
      <c r="U156" s="3"/>
      <c r="V156" s="4">
        <v>44138</v>
      </c>
      <c r="W156" s="3"/>
      <c r="X156" s="3"/>
      <c r="Y156" s="3" t="s">
        <v>135</v>
      </c>
      <c r="Z156" s="3" t="s">
        <v>135</v>
      </c>
      <c r="AA156" s="3" t="s">
        <v>135</v>
      </c>
      <c r="AB156" s="3" t="s">
        <v>67</v>
      </c>
      <c r="AC156" s="3" t="s">
        <v>67</v>
      </c>
      <c r="AD156" s="3" t="s">
        <v>67</v>
      </c>
      <c r="AE156" s="3" t="s">
        <v>90</v>
      </c>
      <c r="AF156" s="3" t="s">
        <v>70</v>
      </c>
      <c r="AG156" s="3" t="s">
        <v>71</v>
      </c>
      <c r="AH156" s="3" t="s">
        <v>72</v>
      </c>
      <c r="AI156" s="3" t="s">
        <v>73</v>
      </c>
      <c r="AJ156" s="3">
        <v>0</v>
      </c>
      <c r="AK156" s="3">
        <v>0</v>
      </c>
      <c r="AL156" s="3">
        <v>0</v>
      </c>
      <c r="AM156" s="3">
        <v>0</v>
      </c>
      <c r="AN156" s="3">
        <v>20</v>
      </c>
      <c r="AO156" s="3">
        <v>3596</v>
      </c>
      <c r="AP156" s="3">
        <v>23.829000000000001</v>
      </c>
      <c r="AQ156" s="3" t="s">
        <v>713</v>
      </c>
      <c r="AR156" s="3" t="s">
        <v>714</v>
      </c>
      <c r="AS156" s="3" t="s">
        <v>713</v>
      </c>
      <c r="AT156" s="4">
        <v>44123</v>
      </c>
      <c r="AU156" s="3" t="s">
        <v>762</v>
      </c>
      <c r="AV156" s="3">
        <v>39</v>
      </c>
      <c r="AW156" s="3" t="s">
        <v>763</v>
      </c>
    </row>
    <row r="157" spans="1:49" x14ac:dyDescent="0.55000000000000004">
      <c r="A157" s="3" t="str">
        <f>HYPERLINK("https://www.infodis.net/philips/net/Shipment/Details?InfodisNumber=4536533&amp;DomainCode=DAP", "4536533")</f>
        <v>4536533</v>
      </c>
      <c r="B157" s="3" t="s">
        <v>764</v>
      </c>
      <c r="C157" s="3" t="s">
        <v>756</v>
      </c>
      <c r="D157" s="3" t="s">
        <v>757</v>
      </c>
      <c r="E157" s="3" t="s">
        <v>191</v>
      </c>
      <c r="F157" s="3" t="s">
        <v>758</v>
      </c>
      <c r="G157" s="3" t="s">
        <v>219</v>
      </c>
      <c r="H157" s="3" t="s">
        <v>180</v>
      </c>
      <c r="I157" s="3" t="s">
        <v>547</v>
      </c>
      <c r="J157" s="3" t="s">
        <v>759</v>
      </c>
      <c r="K157" s="3" t="s">
        <v>760</v>
      </c>
      <c r="L157" s="3" t="s">
        <v>260</v>
      </c>
      <c r="M157" s="3" t="s">
        <v>60</v>
      </c>
      <c r="N157" s="3"/>
      <c r="O157" s="3"/>
      <c r="P157" s="3" t="s">
        <v>223</v>
      </c>
      <c r="Q157" s="3"/>
      <c r="R157" s="3" t="s">
        <v>761</v>
      </c>
      <c r="S157" s="4">
        <v>44120</v>
      </c>
      <c r="T157" s="4">
        <v>44165</v>
      </c>
      <c r="U157" s="3"/>
      <c r="V157" s="4">
        <v>44176</v>
      </c>
      <c r="W157" s="3"/>
      <c r="X157" s="3"/>
      <c r="Y157" s="3" t="s">
        <v>135</v>
      </c>
      <c r="Z157" s="3" t="s">
        <v>135</v>
      </c>
      <c r="AA157" s="3" t="s">
        <v>135</v>
      </c>
      <c r="AB157" s="3" t="s">
        <v>67</v>
      </c>
      <c r="AC157" s="3" t="s">
        <v>67</v>
      </c>
      <c r="AD157" s="3" t="s">
        <v>67</v>
      </c>
      <c r="AE157" s="3" t="s">
        <v>90</v>
      </c>
      <c r="AF157" s="3" t="s">
        <v>70</v>
      </c>
      <c r="AG157" s="3" t="s">
        <v>71</v>
      </c>
      <c r="AH157" s="3" t="s">
        <v>72</v>
      </c>
      <c r="AI157" s="3" t="s">
        <v>73</v>
      </c>
      <c r="AJ157" s="3">
        <v>0</v>
      </c>
      <c r="AK157" s="3">
        <v>0</v>
      </c>
      <c r="AL157" s="3">
        <v>0</v>
      </c>
      <c r="AM157" s="3">
        <v>0</v>
      </c>
      <c r="AN157" s="3">
        <v>20</v>
      </c>
      <c r="AO157" s="3">
        <v>5404</v>
      </c>
      <c r="AP157" s="3">
        <v>18.055</v>
      </c>
      <c r="AQ157" s="3" t="s">
        <v>713</v>
      </c>
      <c r="AR157" s="3" t="s">
        <v>714</v>
      </c>
      <c r="AS157" s="3" t="s">
        <v>713</v>
      </c>
      <c r="AT157" s="4">
        <v>44123</v>
      </c>
      <c r="AU157" s="3" t="s">
        <v>762</v>
      </c>
      <c r="AV157" s="3">
        <v>39</v>
      </c>
      <c r="AW157" s="3" t="s">
        <v>763</v>
      </c>
    </row>
    <row r="158" spans="1:49" x14ac:dyDescent="0.55000000000000004">
      <c r="A158" s="3" t="str">
        <f>HYPERLINK("https://www.infodis.net/philips/net/Shipment/Details?InfodisNumber=4536537&amp;DomainCode=DAP", "4536537")</f>
        <v>4536537</v>
      </c>
      <c r="B158" s="3" t="s">
        <v>765</v>
      </c>
      <c r="C158" s="3" t="s">
        <v>756</v>
      </c>
      <c r="D158" s="3" t="s">
        <v>757</v>
      </c>
      <c r="E158" s="3" t="s">
        <v>191</v>
      </c>
      <c r="F158" s="3" t="s">
        <v>758</v>
      </c>
      <c r="G158" s="3" t="s">
        <v>219</v>
      </c>
      <c r="H158" s="3" t="s">
        <v>180</v>
      </c>
      <c r="I158" s="3" t="s">
        <v>547</v>
      </c>
      <c r="J158" s="3" t="s">
        <v>759</v>
      </c>
      <c r="K158" s="3" t="s">
        <v>760</v>
      </c>
      <c r="L158" s="3" t="s">
        <v>260</v>
      </c>
      <c r="M158" s="3" t="s">
        <v>60</v>
      </c>
      <c r="N158" s="3" t="s">
        <v>766</v>
      </c>
      <c r="O158" s="3" t="s">
        <v>767</v>
      </c>
      <c r="P158" s="3" t="s">
        <v>223</v>
      </c>
      <c r="Q158" s="3"/>
      <c r="R158" s="3" t="s">
        <v>761</v>
      </c>
      <c r="S158" s="4">
        <v>44120</v>
      </c>
      <c r="T158" s="4">
        <v>44130</v>
      </c>
      <c r="U158" s="3"/>
      <c r="V158" s="4">
        <v>44143</v>
      </c>
      <c r="W158" s="4">
        <v>44145</v>
      </c>
      <c r="X158" s="3"/>
      <c r="Y158" s="3" t="s">
        <v>135</v>
      </c>
      <c r="Z158" s="3" t="s">
        <v>135</v>
      </c>
      <c r="AA158" s="3" t="s">
        <v>135</v>
      </c>
      <c r="AB158" s="3" t="s">
        <v>67</v>
      </c>
      <c r="AC158" s="3" t="s">
        <v>67</v>
      </c>
      <c r="AD158" s="3" t="s">
        <v>67</v>
      </c>
      <c r="AE158" s="3" t="s">
        <v>162</v>
      </c>
      <c r="AF158" s="3" t="s">
        <v>70</v>
      </c>
      <c r="AG158" s="3" t="s">
        <v>71</v>
      </c>
      <c r="AH158" s="3" t="s">
        <v>72</v>
      </c>
      <c r="AI158" s="3" t="s">
        <v>73</v>
      </c>
      <c r="AJ158" s="3">
        <v>0</v>
      </c>
      <c r="AK158" s="3">
        <v>0</v>
      </c>
      <c r="AL158" s="3">
        <v>0</v>
      </c>
      <c r="AM158" s="3">
        <v>0</v>
      </c>
      <c r="AN158" s="3">
        <v>10</v>
      </c>
      <c r="AO158" s="3">
        <v>11340</v>
      </c>
      <c r="AP158" s="3">
        <v>17.391999999999999</v>
      </c>
      <c r="AQ158" s="3" t="s">
        <v>713</v>
      </c>
      <c r="AR158" s="3" t="s">
        <v>714</v>
      </c>
      <c r="AS158" s="3" t="s">
        <v>713</v>
      </c>
      <c r="AT158" s="4">
        <v>44123</v>
      </c>
      <c r="AU158" s="3" t="s">
        <v>762</v>
      </c>
      <c r="AV158" s="3">
        <v>39</v>
      </c>
      <c r="AW158" s="3" t="s">
        <v>763</v>
      </c>
    </row>
    <row r="159" spans="1:49" x14ac:dyDescent="0.55000000000000004">
      <c r="A159" s="3" t="str">
        <f>HYPERLINK("https://www.infodis.net/philips/net/Shipment/Details?InfodisNumber=4561245&amp;DomainCode=DAP", "4561245")</f>
        <v>4561245</v>
      </c>
      <c r="B159" s="3" t="s">
        <v>768</v>
      </c>
      <c r="C159" s="3" t="s">
        <v>50</v>
      </c>
      <c r="D159" s="3" t="s">
        <v>51</v>
      </c>
      <c r="E159" s="3" t="s">
        <v>52</v>
      </c>
      <c r="F159" s="3" t="s">
        <v>769</v>
      </c>
      <c r="G159" s="3" t="s">
        <v>54</v>
      </c>
      <c r="H159" s="3" t="s">
        <v>55</v>
      </c>
      <c r="I159" s="3" t="s">
        <v>245</v>
      </c>
      <c r="J159" s="3" t="s">
        <v>770</v>
      </c>
      <c r="K159" s="3" t="s">
        <v>771</v>
      </c>
      <c r="L159" s="3" t="s">
        <v>772</v>
      </c>
      <c r="M159" s="3" t="s">
        <v>60</v>
      </c>
      <c r="N159" s="3" t="s">
        <v>773</v>
      </c>
      <c r="O159" s="3" t="s">
        <v>774</v>
      </c>
      <c r="P159" s="3" t="s">
        <v>63</v>
      </c>
      <c r="Q159" s="3"/>
      <c r="R159" s="3" t="s">
        <v>775</v>
      </c>
      <c r="S159" s="4">
        <v>44154</v>
      </c>
      <c r="T159" s="4">
        <v>44155</v>
      </c>
      <c r="U159" s="3"/>
      <c r="V159" s="4">
        <v>44167</v>
      </c>
      <c r="W159" s="3"/>
      <c r="X159" s="3"/>
      <c r="Y159" s="3" t="s">
        <v>65</v>
      </c>
      <c r="Z159" s="3" t="s">
        <v>65</v>
      </c>
      <c r="AA159" s="3" t="s">
        <v>66</v>
      </c>
      <c r="AB159" s="3" t="s">
        <v>67</v>
      </c>
      <c r="AC159" s="3" t="s">
        <v>67</v>
      </c>
      <c r="AD159" s="3" t="s">
        <v>68</v>
      </c>
      <c r="AE159" s="3" t="s">
        <v>69</v>
      </c>
      <c r="AF159" s="3" t="s">
        <v>70</v>
      </c>
      <c r="AG159" s="3" t="s">
        <v>71</v>
      </c>
      <c r="AH159" s="3" t="s">
        <v>72</v>
      </c>
      <c r="AI159" s="3" t="s">
        <v>73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4179</v>
      </c>
      <c r="AP159" s="3">
        <v>36.857999999999997</v>
      </c>
      <c r="AQ159" s="3" t="s">
        <v>713</v>
      </c>
      <c r="AR159" s="3" t="s">
        <v>714</v>
      </c>
      <c r="AS159" s="3" t="s">
        <v>713</v>
      </c>
      <c r="AT159" s="4">
        <v>44155</v>
      </c>
      <c r="AU159" s="3" t="s">
        <v>776</v>
      </c>
      <c r="AV159" s="3">
        <v>7</v>
      </c>
      <c r="AW159" s="3" t="s">
        <v>777</v>
      </c>
    </row>
    <row r="160" spans="1:49" x14ac:dyDescent="0.55000000000000004">
      <c r="A160" s="3" t="str">
        <f>HYPERLINK("https://www.infodis.net/philips/net/Shipment/Details?InfodisNumber=4537331&amp;DomainCode=DAP", "4537331")</f>
        <v>4537331</v>
      </c>
      <c r="B160" s="3" t="s">
        <v>778</v>
      </c>
      <c r="C160" s="3" t="s">
        <v>92</v>
      </c>
      <c r="D160" s="3" t="s">
        <v>93</v>
      </c>
      <c r="E160" s="3" t="s">
        <v>94</v>
      </c>
      <c r="F160" s="3" t="s">
        <v>95</v>
      </c>
      <c r="G160" s="3" t="s">
        <v>96</v>
      </c>
      <c r="H160" s="3" t="s">
        <v>79</v>
      </c>
      <c r="I160" s="3" t="s">
        <v>97</v>
      </c>
      <c r="J160" s="3" t="s">
        <v>98</v>
      </c>
      <c r="K160" s="3" t="s">
        <v>99</v>
      </c>
      <c r="L160" s="3" t="s">
        <v>100</v>
      </c>
      <c r="M160" s="3" t="s">
        <v>60</v>
      </c>
      <c r="N160" s="3" t="s">
        <v>779</v>
      </c>
      <c r="O160" s="3" t="s">
        <v>780</v>
      </c>
      <c r="P160" s="3" t="s">
        <v>103</v>
      </c>
      <c r="Q160" s="3"/>
      <c r="R160" s="3" t="s">
        <v>104</v>
      </c>
      <c r="S160" s="4">
        <v>44123</v>
      </c>
      <c r="T160" s="4">
        <v>44155</v>
      </c>
      <c r="U160" s="4">
        <v>44125</v>
      </c>
      <c r="V160" s="4">
        <v>44129</v>
      </c>
      <c r="W160" s="3"/>
      <c r="X160" s="3"/>
      <c r="Y160" s="3" t="s">
        <v>89</v>
      </c>
      <c r="Z160" s="3" t="s">
        <v>105</v>
      </c>
      <c r="AA160" s="3" t="s">
        <v>106</v>
      </c>
      <c r="AB160" s="3" t="s">
        <v>67</v>
      </c>
      <c r="AC160" s="3" t="s">
        <v>67</v>
      </c>
      <c r="AD160" s="3" t="s">
        <v>67</v>
      </c>
      <c r="AE160" s="3" t="s">
        <v>162</v>
      </c>
      <c r="AF160" s="3" t="s">
        <v>70</v>
      </c>
      <c r="AG160" s="3" t="s">
        <v>71</v>
      </c>
      <c r="AH160" s="3" t="s">
        <v>72</v>
      </c>
      <c r="AI160" s="3" t="s">
        <v>73</v>
      </c>
      <c r="AJ160" s="3">
        <v>0</v>
      </c>
      <c r="AK160" s="3">
        <v>0</v>
      </c>
      <c r="AL160" s="3">
        <v>0</v>
      </c>
      <c r="AM160" s="3">
        <v>0</v>
      </c>
      <c r="AN160" s="3">
        <v>8</v>
      </c>
      <c r="AO160" s="3">
        <v>3285.36</v>
      </c>
      <c r="AP160" s="3">
        <v>17.751000000000001</v>
      </c>
      <c r="AQ160" s="3" t="s">
        <v>713</v>
      </c>
      <c r="AR160" s="3" t="s">
        <v>714</v>
      </c>
      <c r="AS160" s="3" t="s">
        <v>713</v>
      </c>
      <c r="AT160" s="4">
        <v>44124</v>
      </c>
      <c r="AU160" s="3" t="s">
        <v>725</v>
      </c>
      <c r="AV160" s="3">
        <v>38</v>
      </c>
      <c r="AW160" s="3" t="s">
        <v>726</v>
      </c>
    </row>
    <row r="161" spans="1:49" x14ac:dyDescent="0.55000000000000004">
      <c r="A161" s="3" t="str">
        <f>HYPERLINK("https://www.infodis.net/philips/net/Shipment/Details?InfodisNumber=4538528&amp;DomainCode=DAP", "4538528")</f>
        <v>4538528</v>
      </c>
      <c r="B161" s="3" t="s">
        <v>781</v>
      </c>
      <c r="C161" s="3" t="s">
        <v>410</v>
      </c>
      <c r="D161" s="3" t="s">
        <v>411</v>
      </c>
      <c r="E161" s="3" t="s">
        <v>94</v>
      </c>
      <c r="F161" s="3" t="s">
        <v>95</v>
      </c>
      <c r="G161" s="3" t="s">
        <v>96</v>
      </c>
      <c r="H161" s="3" t="s">
        <v>79</v>
      </c>
      <c r="I161" s="3" t="s">
        <v>97</v>
      </c>
      <c r="J161" s="3" t="s">
        <v>723</v>
      </c>
      <c r="K161" s="3" t="s">
        <v>99</v>
      </c>
      <c r="L161" s="3" t="s">
        <v>100</v>
      </c>
      <c r="M161" s="3" t="s">
        <v>60</v>
      </c>
      <c r="N161" s="3" t="s">
        <v>115</v>
      </c>
      <c r="O161" s="3" t="s">
        <v>782</v>
      </c>
      <c r="P161" s="3" t="s">
        <v>415</v>
      </c>
      <c r="Q161" s="3"/>
      <c r="R161" s="3" t="s">
        <v>104</v>
      </c>
      <c r="S161" s="4">
        <v>44124</v>
      </c>
      <c r="T161" s="4">
        <v>44130</v>
      </c>
      <c r="U161" s="4">
        <v>44132</v>
      </c>
      <c r="V161" s="4">
        <v>44135</v>
      </c>
      <c r="W161" s="4">
        <v>44136</v>
      </c>
      <c r="X161" s="3"/>
      <c r="Y161" s="3" t="s">
        <v>89</v>
      </c>
      <c r="Z161" s="3" t="s">
        <v>105</v>
      </c>
      <c r="AA161" s="3" t="s">
        <v>106</v>
      </c>
      <c r="AB161" s="3" t="s">
        <v>67</v>
      </c>
      <c r="AC161" s="3" t="s">
        <v>67</v>
      </c>
      <c r="AD161" s="3" t="s">
        <v>67</v>
      </c>
      <c r="AE161" s="3" t="s">
        <v>119</v>
      </c>
      <c r="AF161" s="3" t="s">
        <v>70</v>
      </c>
      <c r="AG161" s="3" t="s">
        <v>71</v>
      </c>
      <c r="AH161" s="3" t="s">
        <v>72</v>
      </c>
      <c r="AI161" s="3" t="s">
        <v>73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8282.4</v>
      </c>
      <c r="AP161" s="3">
        <v>57.91</v>
      </c>
      <c r="AQ161" s="3" t="s">
        <v>713</v>
      </c>
      <c r="AR161" s="3" t="s">
        <v>714</v>
      </c>
      <c r="AS161" s="3" t="s">
        <v>713</v>
      </c>
      <c r="AT161" s="4">
        <v>44133</v>
      </c>
      <c r="AU161" s="3" t="s">
        <v>783</v>
      </c>
      <c r="AV161" s="3">
        <v>29</v>
      </c>
      <c r="AW161" s="3" t="s">
        <v>784</v>
      </c>
    </row>
    <row r="162" spans="1:49" x14ac:dyDescent="0.55000000000000004">
      <c r="A162" s="3" t="str">
        <f>HYPERLINK("https://www.infodis.net/philips/net/Shipment/Details?InfodisNumber=4538962&amp;DomainCode=DAP", "4538962")</f>
        <v>4538962</v>
      </c>
      <c r="B162" s="3" t="s">
        <v>785</v>
      </c>
      <c r="C162" s="3" t="s">
        <v>401</v>
      </c>
      <c r="D162" s="3" t="s">
        <v>402</v>
      </c>
      <c r="E162" s="3" t="s">
        <v>304</v>
      </c>
      <c r="F162" s="3" t="s">
        <v>121</v>
      </c>
      <c r="G162" s="3" t="s">
        <v>404</v>
      </c>
      <c r="H162" s="3" t="s">
        <v>307</v>
      </c>
      <c r="I162" s="3" t="s">
        <v>786</v>
      </c>
      <c r="J162" s="3" t="s">
        <v>787</v>
      </c>
      <c r="K162" s="3" t="s">
        <v>124</v>
      </c>
      <c r="L162" s="3" t="s">
        <v>125</v>
      </c>
      <c r="M162" s="3" t="s">
        <v>133</v>
      </c>
      <c r="N162" s="3" t="s">
        <v>788</v>
      </c>
      <c r="O162" s="3" t="s">
        <v>789</v>
      </c>
      <c r="P162" s="3" t="s">
        <v>408</v>
      </c>
      <c r="Q162" s="3"/>
      <c r="R162" s="3" t="s">
        <v>126</v>
      </c>
      <c r="S162" s="4">
        <v>44125</v>
      </c>
      <c r="T162" s="4">
        <v>44125</v>
      </c>
      <c r="U162" s="3"/>
      <c r="V162" s="4">
        <v>44130</v>
      </c>
      <c r="W162" s="3"/>
      <c r="X162" s="3"/>
      <c r="Y162" s="3" t="s">
        <v>135</v>
      </c>
      <c r="Z162" s="3" t="s">
        <v>135</v>
      </c>
      <c r="AA162" s="3" t="s">
        <v>135</v>
      </c>
      <c r="AB162" s="3" t="s">
        <v>67</v>
      </c>
      <c r="AC162" s="3" t="s">
        <v>67</v>
      </c>
      <c r="AD162" s="3" t="s">
        <v>67</v>
      </c>
      <c r="AE162" s="3" t="s">
        <v>90</v>
      </c>
      <c r="AF162" s="3" t="s">
        <v>70</v>
      </c>
      <c r="AG162" s="3" t="s">
        <v>71</v>
      </c>
      <c r="AH162" s="3" t="s">
        <v>72</v>
      </c>
      <c r="AI162" s="3" t="s">
        <v>73</v>
      </c>
      <c r="AJ162" s="3">
        <v>0</v>
      </c>
      <c r="AK162" s="3">
        <v>0</v>
      </c>
      <c r="AL162" s="3">
        <v>0</v>
      </c>
      <c r="AM162" s="3">
        <v>0</v>
      </c>
      <c r="AN162" s="3">
        <v>14</v>
      </c>
      <c r="AO162" s="3">
        <v>2082</v>
      </c>
      <c r="AP162" s="3">
        <v>20.832000000000001</v>
      </c>
      <c r="AQ162" s="3" t="s">
        <v>713</v>
      </c>
      <c r="AR162" s="3" t="s">
        <v>714</v>
      </c>
      <c r="AS162" s="3" t="s">
        <v>713</v>
      </c>
      <c r="AT162" s="4">
        <v>44126</v>
      </c>
      <c r="AU162" s="3" t="s">
        <v>790</v>
      </c>
      <c r="AV162" s="3">
        <v>36</v>
      </c>
      <c r="AW162" s="3" t="s">
        <v>791</v>
      </c>
    </row>
    <row r="163" spans="1:49" x14ac:dyDescent="0.55000000000000004">
      <c r="A163" s="3" t="str">
        <f>HYPERLINK("https://www.infodis.net/philips/net/Shipment/Details?InfodisNumber=4540205&amp;DomainCode=DAP", "4540205")</f>
        <v>4540205</v>
      </c>
      <c r="B163" s="3" t="s">
        <v>792</v>
      </c>
      <c r="C163" s="3" t="s">
        <v>302</v>
      </c>
      <c r="D163" s="3" t="s">
        <v>303</v>
      </c>
      <c r="E163" s="3" t="s">
        <v>304</v>
      </c>
      <c r="F163" s="3" t="s">
        <v>305</v>
      </c>
      <c r="G163" s="3" t="s">
        <v>306</v>
      </c>
      <c r="H163" s="3" t="s">
        <v>307</v>
      </c>
      <c r="I163" s="3" t="s">
        <v>245</v>
      </c>
      <c r="J163" s="3" t="s">
        <v>334</v>
      </c>
      <c r="K163" s="3" t="s">
        <v>308</v>
      </c>
      <c r="L163" s="3" t="s">
        <v>180</v>
      </c>
      <c r="M163" s="3" t="s">
        <v>309</v>
      </c>
      <c r="N163" s="3" t="s">
        <v>793</v>
      </c>
      <c r="O163" s="3" t="s">
        <v>794</v>
      </c>
      <c r="P163" s="3" t="s">
        <v>312</v>
      </c>
      <c r="Q163" s="3"/>
      <c r="R163" s="3" t="s">
        <v>313</v>
      </c>
      <c r="S163" s="4">
        <v>44126</v>
      </c>
      <c r="T163" s="4">
        <v>44134</v>
      </c>
      <c r="U163" s="3"/>
      <c r="V163" s="4">
        <v>44143</v>
      </c>
      <c r="W163" s="4">
        <v>44151</v>
      </c>
      <c r="X163" s="3"/>
      <c r="Y163" s="3" t="s">
        <v>65</v>
      </c>
      <c r="Z163" s="3" t="s">
        <v>65</v>
      </c>
      <c r="AA163" s="3" t="s">
        <v>198</v>
      </c>
      <c r="AB163" s="3" t="s">
        <v>67</v>
      </c>
      <c r="AC163" s="3" t="s">
        <v>67</v>
      </c>
      <c r="AD163" s="3" t="s">
        <v>67</v>
      </c>
      <c r="AE163" s="3" t="s">
        <v>90</v>
      </c>
      <c r="AF163" s="3" t="s">
        <v>70</v>
      </c>
      <c r="AG163" s="3" t="s">
        <v>71</v>
      </c>
      <c r="AH163" s="3" t="s">
        <v>199</v>
      </c>
      <c r="AI163" s="3" t="s">
        <v>73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3655.4360000000001</v>
      </c>
      <c r="AP163" s="3">
        <v>36.78</v>
      </c>
      <c r="AQ163" s="3" t="s">
        <v>713</v>
      </c>
      <c r="AR163" s="3" t="s">
        <v>714</v>
      </c>
      <c r="AS163" s="3" t="s">
        <v>713</v>
      </c>
      <c r="AT163" s="4">
        <v>44151</v>
      </c>
      <c r="AU163" s="3" t="s">
        <v>754</v>
      </c>
      <c r="AV163" s="3">
        <v>11</v>
      </c>
      <c r="AW163" s="3" t="s">
        <v>721</v>
      </c>
    </row>
    <row r="164" spans="1:49" x14ac:dyDescent="0.55000000000000004">
      <c r="A164" s="3" t="str">
        <f>HYPERLINK("https://www.infodis.net/philips/net/Shipment/Details?InfodisNumber=4513891&amp;DomainCode=DAP", "4513891")</f>
        <v>4513891</v>
      </c>
      <c r="B164" s="3" t="s">
        <v>795</v>
      </c>
      <c r="C164" s="3" t="s">
        <v>479</v>
      </c>
      <c r="D164" s="3" t="s">
        <v>432</v>
      </c>
      <c r="E164" s="3" t="s">
        <v>94</v>
      </c>
      <c r="F164" s="3" t="s">
        <v>796</v>
      </c>
      <c r="G164" s="3" t="s">
        <v>480</v>
      </c>
      <c r="H164" s="3" t="s">
        <v>79</v>
      </c>
      <c r="I164" s="3" t="s">
        <v>122</v>
      </c>
      <c r="J164" s="3" t="s">
        <v>495</v>
      </c>
      <c r="K164" s="3" t="s">
        <v>797</v>
      </c>
      <c r="L164" s="3" t="s">
        <v>55</v>
      </c>
      <c r="M164" s="3" t="s">
        <v>60</v>
      </c>
      <c r="N164" s="3"/>
      <c r="O164" s="3" t="s">
        <v>798</v>
      </c>
      <c r="P164" s="3" t="s">
        <v>466</v>
      </c>
      <c r="Q164" s="3"/>
      <c r="R164" s="3" t="s">
        <v>615</v>
      </c>
      <c r="S164" s="4">
        <v>44089</v>
      </c>
      <c r="T164" s="4">
        <v>44133</v>
      </c>
      <c r="U164" s="4">
        <v>44134</v>
      </c>
      <c r="V164" s="4">
        <v>44137</v>
      </c>
      <c r="W164" s="4">
        <v>44137</v>
      </c>
      <c r="X164" s="3"/>
      <c r="Y164" s="3" t="s">
        <v>89</v>
      </c>
      <c r="Z164" s="3" t="s">
        <v>135</v>
      </c>
      <c r="AA164" s="3" t="s">
        <v>135</v>
      </c>
      <c r="AB164" s="3" t="s">
        <v>67</v>
      </c>
      <c r="AC164" s="3" t="s">
        <v>67</v>
      </c>
      <c r="AD164" s="3" t="s">
        <v>67</v>
      </c>
      <c r="AE164" s="3" t="s">
        <v>799</v>
      </c>
      <c r="AF164" s="3" t="s">
        <v>70</v>
      </c>
      <c r="AG164" s="3" t="s">
        <v>71</v>
      </c>
      <c r="AH164" s="3" t="s">
        <v>72</v>
      </c>
      <c r="AI164" s="3" t="s">
        <v>73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51917.692999999999</v>
      </c>
      <c r="AP164" s="3">
        <v>439.06299999999999</v>
      </c>
      <c r="AQ164" s="3" t="s">
        <v>713</v>
      </c>
      <c r="AR164" s="3" t="s">
        <v>714</v>
      </c>
      <c r="AS164" s="3" t="s">
        <v>713</v>
      </c>
      <c r="AT164" s="4">
        <v>44140</v>
      </c>
      <c r="AU164" s="3" t="s">
        <v>800</v>
      </c>
      <c r="AV164" s="3">
        <v>22</v>
      </c>
      <c r="AW164" s="3" t="s">
        <v>721</v>
      </c>
    </row>
    <row r="165" spans="1:49" x14ac:dyDescent="0.55000000000000004">
      <c r="A165" s="3" t="str">
        <f>HYPERLINK("https://www.infodis.net/philips/net/Shipment/Details?InfodisNumber=4513822&amp;DomainCode=DAP", "4513822")</f>
        <v>4513822</v>
      </c>
      <c r="B165" s="3" t="s">
        <v>801</v>
      </c>
      <c r="C165" s="3" t="s">
        <v>479</v>
      </c>
      <c r="D165" s="3" t="s">
        <v>432</v>
      </c>
      <c r="E165" s="3" t="s">
        <v>94</v>
      </c>
      <c r="F165" s="3" t="s">
        <v>203</v>
      </c>
      <c r="G165" s="3" t="s">
        <v>480</v>
      </c>
      <c r="H165" s="3" t="s">
        <v>79</v>
      </c>
      <c r="I165" s="3" t="s">
        <v>112</v>
      </c>
      <c r="J165" s="3" t="s">
        <v>205</v>
      </c>
      <c r="K165" s="3" t="s">
        <v>481</v>
      </c>
      <c r="L165" s="3" t="s">
        <v>207</v>
      </c>
      <c r="M165" s="3" t="s">
        <v>60</v>
      </c>
      <c r="N165" s="3"/>
      <c r="O165" s="3" t="s">
        <v>802</v>
      </c>
      <c r="P165" s="3" t="s">
        <v>466</v>
      </c>
      <c r="Q165" s="3"/>
      <c r="R165" s="3" t="s">
        <v>482</v>
      </c>
      <c r="S165" s="4">
        <v>44089</v>
      </c>
      <c r="T165" s="4">
        <v>44135</v>
      </c>
      <c r="U165" s="4">
        <v>44132</v>
      </c>
      <c r="V165" s="4">
        <v>44137</v>
      </c>
      <c r="W165" s="4">
        <v>44143</v>
      </c>
      <c r="X165" s="3"/>
      <c r="Y165" s="3" t="s">
        <v>89</v>
      </c>
      <c r="Z165" s="3" t="s">
        <v>118</v>
      </c>
      <c r="AA165" s="3" t="s">
        <v>210</v>
      </c>
      <c r="AB165" s="3" t="s">
        <v>67</v>
      </c>
      <c r="AC165" s="3" t="s">
        <v>67</v>
      </c>
      <c r="AD165" s="3" t="s">
        <v>67</v>
      </c>
      <c r="AE165" s="3" t="s">
        <v>437</v>
      </c>
      <c r="AF165" s="3" t="s">
        <v>70</v>
      </c>
      <c r="AG165" s="3" t="s">
        <v>71</v>
      </c>
      <c r="AH165" s="3" t="s">
        <v>72</v>
      </c>
      <c r="AI165" s="3" t="s">
        <v>73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13218.752</v>
      </c>
      <c r="AP165" s="3">
        <v>116.77</v>
      </c>
      <c r="AQ165" s="3" t="s">
        <v>713</v>
      </c>
      <c r="AR165" s="3" t="s">
        <v>714</v>
      </c>
      <c r="AS165" s="3" t="s">
        <v>713</v>
      </c>
      <c r="AT165" s="4">
        <v>44140</v>
      </c>
      <c r="AU165" s="3" t="s">
        <v>800</v>
      </c>
      <c r="AV165" s="3">
        <v>22</v>
      </c>
      <c r="AW165" s="3" t="s">
        <v>721</v>
      </c>
    </row>
    <row r="166" spans="1:49" x14ac:dyDescent="0.55000000000000004">
      <c r="A166" s="3" t="str">
        <f>HYPERLINK("https://www.infodis.net/philips/net/Shipment/Details?InfodisNumber=4513762&amp;DomainCode=DAP", "4513762")</f>
        <v>4513762</v>
      </c>
      <c r="B166" s="3" t="s">
        <v>803</v>
      </c>
      <c r="C166" s="3" t="s">
        <v>212</v>
      </c>
      <c r="D166" s="3" t="s">
        <v>213</v>
      </c>
      <c r="E166" s="3" t="s">
        <v>214</v>
      </c>
      <c r="F166" s="3" t="s">
        <v>215</v>
      </c>
      <c r="G166" s="3" t="s">
        <v>216</v>
      </c>
      <c r="H166" s="3" t="s">
        <v>55</v>
      </c>
      <c r="I166" s="3" t="s">
        <v>217</v>
      </c>
      <c r="J166" s="3" t="s">
        <v>218</v>
      </c>
      <c r="K166" s="3" t="s">
        <v>219</v>
      </c>
      <c r="L166" s="3" t="s">
        <v>180</v>
      </c>
      <c r="M166" s="3" t="s">
        <v>60</v>
      </c>
      <c r="N166" s="3" t="s">
        <v>804</v>
      </c>
      <c r="O166" s="3" t="s">
        <v>805</v>
      </c>
      <c r="P166" s="3" t="s">
        <v>222</v>
      </c>
      <c r="Q166" s="3"/>
      <c r="R166" s="3" t="s">
        <v>223</v>
      </c>
      <c r="S166" s="4">
        <v>44089</v>
      </c>
      <c r="T166" s="4">
        <v>44092</v>
      </c>
      <c r="U166" s="4">
        <v>44092</v>
      </c>
      <c r="V166" s="4">
        <v>44096</v>
      </c>
      <c r="W166" s="3"/>
      <c r="X166" s="4">
        <v>44132</v>
      </c>
      <c r="Y166" s="3" t="s">
        <v>65</v>
      </c>
      <c r="Z166" s="3" t="s">
        <v>65</v>
      </c>
      <c r="AA166" s="3" t="s">
        <v>65</v>
      </c>
      <c r="AB166" s="3" t="s">
        <v>67</v>
      </c>
      <c r="AC166" s="3" t="s">
        <v>67</v>
      </c>
      <c r="AD166" s="3" t="s">
        <v>67</v>
      </c>
      <c r="AE166" s="3" t="s">
        <v>69</v>
      </c>
      <c r="AF166" s="3" t="s">
        <v>70</v>
      </c>
      <c r="AG166" s="3" t="s">
        <v>71</v>
      </c>
      <c r="AH166" s="3" t="s">
        <v>72</v>
      </c>
      <c r="AI166" s="3" t="s">
        <v>73</v>
      </c>
      <c r="AJ166" s="3">
        <v>0</v>
      </c>
      <c r="AK166" s="3">
        <v>0</v>
      </c>
      <c r="AL166" s="3">
        <v>0</v>
      </c>
      <c r="AM166" s="3">
        <v>0</v>
      </c>
      <c r="AN166" s="3">
        <v>20</v>
      </c>
      <c r="AO166" s="3">
        <v>5869.1090000000004</v>
      </c>
      <c r="AP166" s="3">
        <v>51.486999999999988</v>
      </c>
      <c r="AQ166" s="3" t="s">
        <v>713</v>
      </c>
      <c r="AR166" s="3" t="s">
        <v>714</v>
      </c>
      <c r="AS166" s="3" t="s">
        <v>713</v>
      </c>
      <c r="AT166" s="4">
        <v>44102</v>
      </c>
      <c r="AU166" s="3" t="s">
        <v>806</v>
      </c>
      <c r="AV166" s="3">
        <v>60</v>
      </c>
      <c r="AW166" s="3" t="s">
        <v>807</v>
      </c>
    </row>
    <row r="167" spans="1:49" x14ac:dyDescent="0.55000000000000004">
      <c r="A167" s="3" t="str">
        <f>HYPERLINK("https://www.infodis.net/philips/net/Shipment/Details?InfodisNumber=6917896&amp;DomainCode=PHILIPSR1", "6917896")</f>
        <v>6917896</v>
      </c>
      <c r="B167" s="3" t="s">
        <v>808</v>
      </c>
      <c r="C167" s="3" t="s">
        <v>240</v>
      </c>
      <c r="D167" s="3" t="s">
        <v>241</v>
      </c>
      <c r="E167" s="3" t="s">
        <v>240</v>
      </c>
      <c r="F167" s="3" t="s">
        <v>242</v>
      </c>
      <c r="G167" s="3" t="s">
        <v>243</v>
      </c>
      <c r="H167" s="3" t="s">
        <v>244</v>
      </c>
      <c r="I167" s="3" t="s">
        <v>245</v>
      </c>
      <c r="J167" s="3" t="s">
        <v>246</v>
      </c>
      <c r="K167" s="3" t="s">
        <v>247</v>
      </c>
      <c r="L167" s="3" t="s">
        <v>180</v>
      </c>
      <c r="M167" s="3" t="s">
        <v>84</v>
      </c>
      <c r="N167" s="3" t="s">
        <v>809</v>
      </c>
      <c r="O167" s="3" t="s">
        <v>810</v>
      </c>
      <c r="P167" s="3" t="s">
        <v>250</v>
      </c>
      <c r="Q167" s="3"/>
      <c r="R167" s="3" t="s">
        <v>251</v>
      </c>
      <c r="S167" s="4">
        <v>44126</v>
      </c>
      <c r="T167" s="4">
        <v>44140</v>
      </c>
      <c r="U167" s="3"/>
      <c r="V167" s="4">
        <v>44164</v>
      </c>
      <c r="W167" s="3"/>
      <c r="X167" s="3"/>
      <c r="Y167" s="3" t="s">
        <v>65</v>
      </c>
      <c r="Z167" s="3" t="s">
        <v>65</v>
      </c>
      <c r="AA167" s="3" t="s">
        <v>65</v>
      </c>
      <c r="AB167" s="3" t="s">
        <v>67</v>
      </c>
      <c r="AC167" s="3" t="s">
        <v>67</v>
      </c>
      <c r="AD167" s="3" t="s">
        <v>67</v>
      </c>
      <c r="AE167" s="3" t="s">
        <v>90</v>
      </c>
      <c r="AF167" s="3" t="s">
        <v>70</v>
      </c>
      <c r="AG167" s="3" t="s">
        <v>71</v>
      </c>
      <c r="AH167" s="3" t="s">
        <v>72</v>
      </c>
      <c r="AI167" s="3" t="s">
        <v>252</v>
      </c>
      <c r="AJ167" s="3">
        <v>0</v>
      </c>
      <c r="AK167" s="3">
        <v>0</v>
      </c>
      <c r="AL167" s="3">
        <v>0</v>
      </c>
      <c r="AM167" s="3">
        <v>0</v>
      </c>
      <c r="AN167" s="3">
        <v>16</v>
      </c>
      <c r="AO167" s="3">
        <v>1395</v>
      </c>
      <c r="AP167" s="3">
        <v>23</v>
      </c>
      <c r="AQ167" s="3" t="s">
        <v>713</v>
      </c>
      <c r="AR167" s="3" t="s">
        <v>714</v>
      </c>
      <c r="AS167" s="3" t="s">
        <v>713</v>
      </c>
      <c r="AT167" s="4">
        <v>44127</v>
      </c>
      <c r="AU167" s="3" t="s">
        <v>811</v>
      </c>
      <c r="AV167" s="3">
        <v>35</v>
      </c>
      <c r="AW167" s="3" t="s">
        <v>812</v>
      </c>
    </row>
    <row r="168" spans="1:49" x14ac:dyDescent="0.55000000000000004">
      <c r="A168" s="3" t="str">
        <f>HYPERLINK("https://www.infodis.net/philips/net/Shipment/Details?InfodisNumber=4540237&amp;DomainCode=DAP", "4540237")</f>
        <v>4540237</v>
      </c>
      <c r="B168" s="3" t="s">
        <v>813</v>
      </c>
      <c r="C168" s="3" t="s">
        <v>302</v>
      </c>
      <c r="D168" s="3" t="s">
        <v>303</v>
      </c>
      <c r="E168" s="3" t="s">
        <v>304</v>
      </c>
      <c r="F168" s="3" t="s">
        <v>305</v>
      </c>
      <c r="G168" s="3" t="s">
        <v>306</v>
      </c>
      <c r="H168" s="3" t="s">
        <v>307</v>
      </c>
      <c r="I168" s="3" t="s">
        <v>245</v>
      </c>
      <c r="J168" s="3" t="s">
        <v>334</v>
      </c>
      <c r="K168" s="3" t="s">
        <v>219</v>
      </c>
      <c r="L168" s="3" t="s">
        <v>180</v>
      </c>
      <c r="M168" s="3" t="s">
        <v>60</v>
      </c>
      <c r="N168" s="3" t="s">
        <v>814</v>
      </c>
      <c r="O168" s="3" t="s">
        <v>815</v>
      </c>
      <c r="P168" s="3" t="s">
        <v>312</v>
      </c>
      <c r="Q168" s="3"/>
      <c r="R168" s="3" t="s">
        <v>223</v>
      </c>
      <c r="S168" s="4">
        <v>44126</v>
      </c>
      <c r="T168" s="4">
        <v>44134</v>
      </c>
      <c r="U168" s="3"/>
      <c r="V168" s="4">
        <v>44143</v>
      </c>
      <c r="W168" s="4">
        <v>44151</v>
      </c>
      <c r="X168" s="3"/>
      <c r="Y168" s="3" t="s">
        <v>65</v>
      </c>
      <c r="Z168" s="3" t="s">
        <v>65</v>
      </c>
      <c r="AA168" s="3" t="s">
        <v>198</v>
      </c>
      <c r="AB168" s="3" t="s">
        <v>67</v>
      </c>
      <c r="AC168" s="3" t="s">
        <v>67</v>
      </c>
      <c r="AD168" s="3" t="s">
        <v>67</v>
      </c>
      <c r="AE168" s="3" t="s">
        <v>69</v>
      </c>
      <c r="AF168" s="3" t="s">
        <v>70</v>
      </c>
      <c r="AG168" s="3" t="s">
        <v>71</v>
      </c>
      <c r="AH168" s="3" t="s">
        <v>199</v>
      </c>
      <c r="AI168" s="3" t="s">
        <v>73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2748.5160000000001</v>
      </c>
      <c r="AP168" s="3">
        <v>27.940999999999999</v>
      </c>
      <c r="AQ168" s="3" t="s">
        <v>713</v>
      </c>
      <c r="AR168" s="3" t="s">
        <v>714</v>
      </c>
      <c r="AS168" s="3" t="s">
        <v>713</v>
      </c>
      <c r="AT168" s="4">
        <v>44133</v>
      </c>
      <c r="AU168" s="3" t="s">
        <v>816</v>
      </c>
      <c r="AV168" s="3">
        <v>29</v>
      </c>
      <c r="AW168" s="3" t="s">
        <v>721</v>
      </c>
    </row>
    <row r="169" spans="1:49" x14ac:dyDescent="0.55000000000000004">
      <c r="A169" s="3" t="str">
        <f>HYPERLINK("https://www.infodis.net/philips/net/Shipment/Details?InfodisNumber=4540252&amp;DomainCode=DAP", "4540252")</f>
        <v>4540252</v>
      </c>
      <c r="B169" s="3" t="s">
        <v>817</v>
      </c>
      <c r="C169" s="3" t="s">
        <v>302</v>
      </c>
      <c r="D169" s="3" t="s">
        <v>303</v>
      </c>
      <c r="E169" s="3" t="s">
        <v>304</v>
      </c>
      <c r="F169" s="3" t="s">
        <v>705</v>
      </c>
      <c r="G169" s="3" t="s">
        <v>306</v>
      </c>
      <c r="H169" s="3" t="s">
        <v>307</v>
      </c>
      <c r="I169" s="3" t="s">
        <v>706</v>
      </c>
      <c r="J169" s="3" t="s">
        <v>707</v>
      </c>
      <c r="K169" s="3" t="s">
        <v>708</v>
      </c>
      <c r="L169" s="3" t="s">
        <v>709</v>
      </c>
      <c r="M169" s="3" t="s">
        <v>60</v>
      </c>
      <c r="N169" s="3" t="s">
        <v>818</v>
      </c>
      <c r="O169" s="3" t="s">
        <v>819</v>
      </c>
      <c r="P169" s="3" t="s">
        <v>312</v>
      </c>
      <c r="Q169" s="3"/>
      <c r="R169" s="3" t="s">
        <v>712</v>
      </c>
      <c r="S169" s="4">
        <v>44126</v>
      </c>
      <c r="T169" s="4">
        <v>44145</v>
      </c>
      <c r="U169" s="3"/>
      <c r="V169" s="4">
        <v>44150</v>
      </c>
      <c r="W169" s="4">
        <v>44150</v>
      </c>
      <c r="X169" s="3"/>
      <c r="Y169" s="3" t="s">
        <v>238</v>
      </c>
      <c r="Z169" s="3" t="s">
        <v>238</v>
      </c>
      <c r="AA169" s="3" t="s">
        <v>238</v>
      </c>
      <c r="AB169" s="3" t="s">
        <v>67</v>
      </c>
      <c r="AC169" s="3" t="s">
        <v>67</v>
      </c>
      <c r="AD169" s="3" t="s">
        <v>67</v>
      </c>
      <c r="AE169" s="3" t="s">
        <v>162</v>
      </c>
      <c r="AF169" s="3" t="s">
        <v>70</v>
      </c>
      <c r="AG169" s="3" t="s">
        <v>71</v>
      </c>
      <c r="AH169" s="3" t="s">
        <v>72</v>
      </c>
      <c r="AI169" s="3" t="s">
        <v>73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158.34399999999999</v>
      </c>
      <c r="AP169" s="3">
        <v>2.9729999999999999</v>
      </c>
      <c r="AQ169" s="3" t="s">
        <v>713</v>
      </c>
      <c r="AR169" s="3" t="s">
        <v>714</v>
      </c>
      <c r="AS169" s="3" t="s">
        <v>713</v>
      </c>
      <c r="AT169" s="4">
        <v>44127</v>
      </c>
      <c r="AU169" s="3" t="s">
        <v>820</v>
      </c>
      <c r="AV169" s="3">
        <v>35</v>
      </c>
      <c r="AW169" s="3" t="s">
        <v>716</v>
      </c>
    </row>
    <row r="170" spans="1:49" x14ac:dyDescent="0.55000000000000004">
      <c r="A170" s="3" t="str">
        <f>HYPERLINK("https://www.infodis.net/philips/net/Shipment/Details?InfodisNumber=4540545&amp;DomainCode=DAP", "4540545")</f>
        <v>4540545</v>
      </c>
      <c r="B170" s="3" t="s">
        <v>821</v>
      </c>
      <c r="C170" s="3" t="s">
        <v>569</v>
      </c>
      <c r="D170" s="3" t="s">
        <v>570</v>
      </c>
      <c r="E170" s="3" t="s">
        <v>569</v>
      </c>
      <c r="F170" s="3" t="s">
        <v>52</v>
      </c>
      <c r="G170" s="3" t="s">
        <v>572</v>
      </c>
      <c r="H170" s="3" t="s">
        <v>125</v>
      </c>
      <c r="I170" s="3" t="s">
        <v>787</v>
      </c>
      <c r="J170" s="3" t="s">
        <v>56</v>
      </c>
      <c r="K170" s="3" t="s">
        <v>54</v>
      </c>
      <c r="L170" s="3" t="s">
        <v>55</v>
      </c>
      <c r="M170" s="3" t="s">
        <v>84</v>
      </c>
      <c r="N170" s="3" t="s">
        <v>822</v>
      </c>
      <c r="O170" s="3"/>
      <c r="P170" s="3" t="s">
        <v>574</v>
      </c>
      <c r="Q170" s="3"/>
      <c r="R170" s="3" t="s">
        <v>63</v>
      </c>
      <c r="S170" s="4">
        <v>44126</v>
      </c>
      <c r="T170" s="4">
        <v>44172</v>
      </c>
      <c r="U170" s="3"/>
      <c r="V170" s="4">
        <v>44174</v>
      </c>
      <c r="W170" s="3"/>
      <c r="X170" s="3"/>
      <c r="Y170" s="3" t="s">
        <v>65</v>
      </c>
      <c r="Z170" s="3" t="s">
        <v>65</v>
      </c>
      <c r="AA170" s="3" t="s">
        <v>65</v>
      </c>
      <c r="AB170" s="3" t="s">
        <v>67</v>
      </c>
      <c r="AC170" s="3" t="s">
        <v>67</v>
      </c>
      <c r="AD170" s="3" t="s">
        <v>67</v>
      </c>
      <c r="AE170" s="3" t="s">
        <v>162</v>
      </c>
      <c r="AF170" s="3" t="s">
        <v>70</v>
      </c>
      <c r="AG170" s="3" t="s">
        <v>71</v>
      </c>
      <c r="AH170" s="3" t="s">
        <v>72</v>
      </c>
      <c r="AI170" s="3" t="s">
        <v>73</v>
      </c>
      <c r="AJ170" s="3">
        <v>0</v>
      </c>
      <c r="AK170" s="3">
        <v>0</v>
      </c>
      <c r="AL170" s="3">
        <v>0</v>
      </c>
      <c r="AM170" s="3">
        <v>0</v>
      </c>
      <c r="AN170" s="3">
        <v>22</v>
      </c>
      <c r="AO170" s="3">
        <v>2266</v>
      </c>
      <c r="AP170" s="3">
        <v>15.628</v>
      </c>
      <c r="AQ170" s="3" t="s">
        <v>713</v>
      </c>
      <c r="AR170" s="3" t="s">
        <v>714</v>
      </c>
      <c r="AS170" s="3" t="s">
        <v>713</v>
      </c>
      <c r="AT170" s="4">
        <v>44127</v>
      </c>
      <c r="AU170" s="3" t="s">
        <v>823</v>
      </c>
      <c r="AV170" s="3">
        <v>35</v>
      </c>
      <c r="AW170" s="3" t="s">
        <v>824</v>
      </c>
    </row>
    <row r="171" spans="1:49" x14ac:dyDescent="0.55000000000000004">
      <c r="A171" s="3" t="str">
        <f>HYPERLINK("https://www.infodis.net/philips/net/Shipment/Details?InfodisNumber=4550719&amp;DomainCode=DAP", "4550719")</f>
        <v>4550719</v>
      </c>
      <c r="B171" s="3" t="s">
        <v>825</v>
      </c>
      <c r="C171" s="3" t="s">
        <v>302</v>
      </c>
      <c r="D171" s="3" t="s">
        <v>303</v>
      </c>
      <c r="E171" s="3" t="s">
        <v>304</v>
      </c>
      <c r="F171" s="3" t="s">
        <v>305</v>
      </c>
      <c r="G171" s="3" t="s">
        <v>306</v>
      </c>
      <c r="H171" s="3" t="s">
        <v>307</v>
      </c>
      <c r="I171" s="3" t="s">
        <v>245</v>
      </c>
      <c r="J171" s="3" t="s">
        <v>218</v>
      </c>
      <c r="K171" s="3" t="s">
        <v>308</v>
      </c>
      <c r="L171" s="3" t="s">
        <v>180</v>
      </c>
      <c r="M171" s="3" t="s">
        <v>309</v>
      </c>
      <c r="N171" s="3" t="s">
        <v>826</v>
      </c>
      <c r="O171" s="3" t="s">
        <v>827</v>
      </c>
      <c r="P171" s="3" t="s">
        <v>312</v>
      </c>
      <c r="Q171" s="3"/>
      <c r="R171" s="3" t="s">
        <v>313</v>
      </c>
      <c r="S171" s="4">
        <v>44140</v>
      </c>
      <c r="T171" s="4">
        <v>44148</v>
      </c>
      <c r="U171" s="3"/>
      <c r="V171" s="4">
        <v>44157</v>
      </c>
      <c r="W171" s="4">
        <v>44158</v>
      </c>
      <c r="X171" s="3"/>
      <c r="Y171" s="3" t="s">
        <v>65</v>
      </c>
      <c r="Z171" s="3" t="s">
        <v>65</v>
      </c>
      <c r="AA171" s="3" t="s">
        <v>198</v>
      </c>
      <c r="AB171" s="3" t="s">
        <v>67</v>
      </c>
      <c r="AC171" s="3" t="s">
        <v>67</v>
      </c>
      <c r="AD171" s="3" t="s">
        <v>67</v>
      </c>
      <c r="AE171" s="3" t="s">
        <v>69</v>
      </c>
      <c r="AF171" s="3" t="s">
        <v>70</v>
      </c>
      <c r="AG171" s="3" t="s">
        <v>71</v>
      </c>
      <c r="AH171" s="3" t="s">
        <v>72</v>
      </c>
      <c r="AI171" s="3" t="s">
        <v>73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1009.896</v>
      </c>
      <c r="AP171" s="3">
        <v>9.7240000000000002</v>
      </c>
      <c r="AQ171" s="3" t="s">
        <v>713</v>
      </c>
      <c r="AR171" s="3" t="s">
        <v>714</v>
      </c>
      <c r="AS171" s="3" t="s">
        <v>713</v>
      </c>
      <c r="AT171" s="4">
        <v>44141</v>
      </c>
      <c r="AU171" s="3" t="s">
        <v>828</v>
      </c>
      <c r="AV171" s="3">
        <v>21</v>
      </c>
      <c r="AW171" s="3" t="s">
        <v>721</v>
      </c>
    </row>
    <row r="172" spans="1:49" x14ac:dyDescent="0.55000000000000004">
      <c r="A172" s="3" t="str">
        <f>HYPERLINK("https://www.infodis.net/philips/net/Shipment/Details?InfodisNumber=4537377&amp;DomainCode=DAP", "4537377")</f>
        <v>4537377</v>
      </c>
      <c r="B172" s="3" t="s">
        <v>829</v>
      </c>
      <c r="C172" s="3" t="s">
        <v>498</v>
      </c>
      <c r="D172" s="3" t="s">
        <v>499</v>
      </c>
      <c r="E172" s="3" t="s">
        <v>94</v>
      </c>
      <c r="F172" s="3" t="s">
        <v>95</v>
      </c>
      <c r="G172" s="3" t="s">
        <v>96</v>
      </c>
      <c r="H172" s="3" t="s">
        <v>79</v>
      </c>
      <c r="I172" s="3" t="s">
        <v>412</v>
      </c>
      <c r="J172" s="3" t="s">
        <v>491</v>
      </c>
      <c r="K172" s="3" t="s">
        <v>99</v>
      </c>
      <c r="L172" s="3" t="s">
        <v>100</v>
      </c>
      <c r="M172" s="3" t="s">
        <v>60</v>
      </c>
      <c r="N172" s="3" t="s">
        <v>115</v>
      </c>
      <c r="O172" s="3" t="s">
        <v>830</v>
      </c>
      <c r="P172" s="3" t="s">
        <v>501</v>
      </c>
      <c r="Q172" s="3"/>
      <c r="R172" s="3" t="s">
        <v>104</v>
      </c>
      <c r="S172" s="4">
        <v>44123</v>
      </c>
      <c r="T172" s="4">
        <v>44125</v>
      </c>
      <c r="U172" s="4">
        <v>44127</v>
      </c>
      <c r="V172" s="4">
        <v>44130</v>
      </c>
      <c r="W172" s="4">
        <v>44140</v>
      </c>
      <c r="X172" s="3"/>
      <c r="Y172" s="3" t="s">
        <v>89</v>
      </c>
      <c r="Z172" s="3" t="s">
        <v>138</v>
      </c>
      <c r="AA172" s="3" t="s">
        <v>106</v>
      </c>
      <c r="AB172" s="3" t="s">
        <v>67</v>
      </c>
      <c r="AC172" s="3" t="s">
        <v>67</v>
      </c>
      <c r="AD172" s="3" t="s">
        <v>67</v>
      </c>
      <c r="AE172" s="3" t="s">
        <v>417</v>
      </c>
      <c r="AF172" s="3" t="s">
        <v>70</v>
      </c>
      <c r="AG172" s="3" t="s">
        <v>71</v>
      </c>
      <c r="AH172" s="3" t="s">
        <v>72</v>
      </c>
      <c r="AI172" s="3" t="s">
        <v>73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21643.7</v>
      </c>
      <c r="AP172" s="3">
        <v>174.869</v>
      </c>
      <c r="AQ172" s="3" t="s">
        <v>713</v>
      </c>
      <c r="AR172" s="3" t="s">
        <v>714</v>
      </c>
      <c r="AS172" s="3" t="s">
        <v>713</v>
      </c>
      <c r="AT172" s="4">
        <v>44124</v>
      </c>
      <c r="AU172" s="3" t="s">
        <v>725</v>
      </c>
      <c r="AV172" s="3">
        <v>38</v>
      </c>
      <c r="AW172" s="3" t="s">
        <v>726</v>
      </c>
    </row>
    <row r="173" spans="1:49" x14ac:dyDescent="0.55000000000000004">
      <c r="A173" s="3" t="str">
        <f>HYPERLINK("https://www.infodis.net/philips/net/Shipment/Details?InfodisNumber=4511295&amp;DomainCode=DAP", "4511295")</f>
        <v>4511295</v>
      </c>
      <c r="B173" s="3" t="s">
        <v>831</v>
      </c>
      <c r="C173" s="3" t="s">
        <v>189</v>
      </c>
      <c r="D173" s="3" t="s">
        <v>190</v>
      </c>
      <c r="E173" s="3" t="s">
        <v>191</v>
      </c>
      <c r="F173" s="3" t="s">
        <v>191</v>
      </c>
      <c r="G173" s="3" t="s">
        <v>192</v>
      </c>
      <c r="H173" s="3" t="s">
        <v>79</v>
      </c>
      <c r="I173" s="3" t="s">
        <v>193</v>
      </c>
      <c r="J173" s="3" t="s">
        <v>194</v>
      </c>
      <c r="K173" s="3" t="s">
        <v>195</v>
      </c>
      <c r="L173" s="3" t="s">
        <v>180</v>
      </c>
      <c r="M173" s="3" t="s">
        <v>84</v>
      </c>
      <c r="N173" s="3" t="s">
        <v>832</v>
      </c>
      <c r="O173" s="3" t="s">
        <v>833</v>
      </c>
      <c r="P173" s="3" t="s">
        <v>196</v>
      </c>
      <c r="Q173" s="3"/>
      <c r="R173" s="3" t="s">
        <v>197</v>
      </c>
      <c r="S173" s="4">
        <v>44085</v>
      </c>
      <c r="T173" s="4">
        <v>44134</v>
      </c>
      <c r="U173" s="3"/>
      <c r="V173" s="4">
        <v>44137</v>
      </c>
      <c r="W173" s="4">
        <v>44137</v>
      </c>
      <c r="X173" s="3"/>
      <c r="Y173" s="3" t="s">
        <v>66</v>
      </c>
      <c r="Z173" s="3" t="s">
        <v>65</v>
      </c>
      <c r="AA173" s="3" t="s">
        <v>198</v>
      </c>
      <c r="AB173" s="3" t="s">
        <v>68</v>
      </c>
      <c r="AC173" s="3" t="s">
        <v>67</v>
      </c>
      <c r="AD173" s="3" t="s">
        <v>67</v>
      </c>
      <c r="AE173" s="3" t="s">
        <v>69</v>
      </c>
      <c r="AF173" s="3" t="s">
        <v>70</v>
      </c>
      <c r="AG173" s="3" t="s">
        <v>71</v>
      </c>
      <c r="AH173" s="3" t="s">
        <v>199</v>
      </c>
      <c r="AI173" s="3" t="s">
        <v>73</v>
      </c>
      <c r="AJ173" s="3">
        <v>0</v>
      </c>
      <c r="AK173" s="3">
        <v>0</v>
      </c>
      <c r="AL173" s="3">
        <v>0</v>
      </c>
      <c r="AM173" s="3">
        <v>0</v>
      </c>
      <c r="AN173" s="3">
        <v>15</v>
      </c>
      <c r="AO173" s="3">
        <v>2550</v>
      </c>
      <c r="AP173" s="3">
        <v>40</v>
      </c>
      <c r="AQ173" s="3" t="s">
        <v>713</v>
      </c>
      <c r="AR173" s="3" t="s">
        <v>714</v>
      </c>
      <c r="AS173" s="3" t="s">
        <v>713</v>
      </c>
      <c r="AT173" s="4">
        <v>44102</v>
      </c>
      <c r="AU173" s="3" t="s">
        <v>834</v>
      </c>
      <c r="AV173" s="3">
        <v>60</v>
      </c>
      <c r="AW173" s="3" t="s">
        <v>835</v>
      </c>
    </row>
    <row r="174" spans="1:49" x14ac:dyDescent="0.55000000000000004">
      <c r="A174" s="3" t="str">
        <f>HYPERLINK("https://www.infodis.net/philips/net/Shipment/Details?InfodisNumber=4561226&amp;DomainCode=DAP", "4561226")</f>
        <v>4561226</v>
      </c>
      <c r="B174" s="3" t="s">
        <v>836</v>
      </c>
      <c r="C174" s="3" t="s">
        <v>50</v>
      </c>
      <c r="D174" s="3" t="s">
        <v>51</v>
      </c>
      <c r="E174" s="3" t="s">
        <v>52</v>
      </c>
      <c r="F174" s="3" t="s">
        <v>769</v>
      </c>
      <c r="G174" s="3" t="s">
        <v>54</v>
      </c>
      <c r="H174" s="3" t="s">
        <v>55</v>
      </c>
      <c r="I174" s="3" t="s">
        <v>245</v>
      </c>
      <c r="J174" s="3" t="s">
        <v>770</v>
      </c>
      <c r="K174" s="3" t="s">
        <v>771</v>
      </c>
      <c r="L174" s="3" t="s">
        <v>772</v>
      </c>
      <c r="M174" s="3" t="s">
        <v>60</v>
      </c>
      <c r="N174" s="3" t="s">
        <v>837</v>
      </c>
      <c r="O174" s="3" t="s">
        <v>838</v>
      </c>
      <c r="P174" s="3" t="s">
        <v>63</v>
      </c>
      <c r="Q174" s="3"/>
      <c r="R174" s="3" t="s">
        <v>775</v>
      </c>
      <c r="S174" s="4">
        <v>44154</v>
      </c>
      <c r="T174" s="4">
        <v>44155</v>
      </c>
      <c r="U174" s="3"/>
      <c r="V174" s="4">
        <v>44167</v>
      </c>
      <c r="W174" s="3"/>
      <c r="X174" s="3"/>
      <c r="Y174" s="3" t="s">
        <v>65</v>
      </c>
      <c r="Z174" s="3" t="s">
        <v>65</v>
      </c>
      <c r="AA174" s="3" t="s">
        <v>66</v>
      </c>
      <c r="AB174" s="3" t="s">
        <v>67</v>
      </c>
      <c r="AC174" s="3" t="s">
        <v>67</v>
      </c>
      <c r="AD174" s="3" t="s">
        <v>68</v>
      </c>
      <c r="AE174" s="3" t="s">
        <v>69</v>
      </c>
      <c r="AF174" s="3" t="s">
        <v>70</v>
      </c>
      <c r="AG174" s="3" t="s">
        <v>71</v>
      </c>
      <c r="AH174" s="3" t="s">
        <v>72</v>
      </c>
      <c r="AI174" s="3" t="s">
        <v>73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4191</v>
      </c>
      <c r="AP174" s="3">
        <v>36.923000000000002</v>
      </c>
      <c r="AQ174" s="3" t="s">
        <v>713</v>
      </c>
      <c r="AR174" s="3" t="s">
        <v>714</v>
      </c>
      <c r="AS174" s="3" t="s">
        <v>713</v>
      </c>
      <c r="AT174" s="4">
        <v>44155</v>
      </c>
      <c r="AU174" s="3" t="s">
        <v>776</v>
      </c>
      <c r="AV174" s="3">
        <v>7</v>
      </c>
      <c r="AW174" s="3" t="s">
        <v>777</v>
      </c>
    </row>
    <row r="175" spans="1:49" x14ac:dyDescent="0.55000000000000004">
      <c r="A175" s="3" t="str">
        <f>HYPERLINK("https://www.infodis.net/philips/net/Shipment/Details?InfodisNumber=4521497&amp;DomainCode=DAP", "4521497")</f>
        <v>4521497</v>
      </c>
      <c r="B175" s="3" t="s">
        <v>839</v>
      </c>
      <c r="C175" s="3" t="s">
        <v>302</v>
      </c>
      <c r="D175" s="3" t="s">
        <v>303</v>
      </c>
      <c r="E175" s="3" t="s">
        <v>304</v>
      </c>
      <c r="F175" s="3" t="s">
        <v>305</v>
      </c>
      <c r="G175" s="3" t="s">
        <v>306</v>
      </c>
      <c r="H175" s="3" t="s">
        <v>307</v>
      </c>
      <c r="I175" s="3" t="s">
        <v>245</v>
      </c>
      <c r="J175" s="3" t="s">
        <v>334</v>
      </c>
      <c r="K175" s="3" t="s">
        <v>219</v>
      </c>
      <c r="L175" s="3" t="s">
        <v>180</v>
      </c>
      <c r="M175" s="3" t="s">
        <v>309</v>
      </c>
      <c r="N175" s="3" t="s">
        <v>840</v>
      </c>
      <c r="O175" s="3" t="s">
        <v>841</v>
      </c>
      <c r="P175" s="3" t="s">
        <v>312</v>
      </c>
      <c r="Q175" s="3"/>
      <c r="R175" s="3" t="s">
        <v>223</v>
      </c>
      <c r="S175" s="4">
        <v>44098</v>
      </c>
      <c r="T175" s="4">
        <v>44106</v>
      </c>
      <c r="U175" s="4">
        <v>44106</v>
      </c>
      <c r="V175" s="4">
        <v>44116</v>
      </c>
      <c r="W175" s="4">
        <v>44116</v>
      </c>
      <c r="X175" s="3"/>
      <c r="Y175" s="3" t="s">
        <v>65</v>
      </c>
      <c r="Z175" s="3" t="s">
        <v>65</v>
      </c>
      <c r="AA175" s="3" t="s">
        <v>198</v>
      </c>
      <c r="AB175" s="3" t="s">
        <v>67</v>
      </c>
      <c r="AC175" s="3" t="s">
        <v>67</v>
      </c>
      <c r="AD175" s="3" t="s">
        <v>67</v>
      </c>
      <c r="AE175" s="3" t="s">
        <v>90</v>
      </c>
      <c r="AF175" s="3" t="s">
        <v>70</v>
      </c>
      <c r="AG175" s="3" t="s">
        <v>71</v>
      </c>
      <c r="AH175" s="3" t="s">
        <v>199</v>
      </c>
      <c r="AI175" s="3" t="s">
        <v>73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1194.56</v>
      </c>
      <c r="AP175" s="3">
        <v>11.206</v>
      </c>
      <c r="AQ175" s="3" t="s">
        <v>713</v>
      </c>
      <c r="AR175" s="3" t="s">
        <v>714</v>
      </c>
      <c r="AS175" s="3" t="s">
        <v>713</v>
      </c>
      <c r="AT175" s="4">
        <v>44103</v>
      </c>
      <c r="AU175" s="3" t="s">
        <v>720</v>
      </c>
      <c r="AV175" s="3">
        <v>59</v>
      </c>
      <c r="AW175" s="3" t="s">
        <v>721</v>
      </c>
    </row>
    <row r="176" spans="1:49" x14ac:dyDescent="0.55000000000000004">
      <c r="A176" s="3" t="str">
        <f>HYPERLINK("https://www.infodis.net/philips/net/Shipment/Details?InfodisNumber=4473402&amp;DomainCode=DAP", "4473402")</f>
        <v>4473402</v>
      </c>
      <c r="B176" s="3" t="s">
        <v>842</v>
      </c>
      <c r="C176" s="3" t="s">
        <v>50</v>
      </c>
      <c r="D176" s="3" t="s">
        <v>51</v>
      </c>
      <c r="E176" s="3" t="s">
        <v>52</v>
      </c>
      <c r="F176" s="3" t="s">
        <v>843</v>
      </c>
      <c r="G176" s="3" t="s">
        <v>54</v>
      </c>
      <c r="H176" s="3" t="s">
        <v>55</v>
      </c>
      <c r="I176" s="3" t="s">
        <v>495</v>
      </c>
      <c r="J176" s="3" t="s">
        <v>844</v>
      </c>
      <c r="K176" s="3" t="s">
        <v>845</v>
      </c>
      <c r="L176" s="3" t="s">
        <v>846</v>
      </c>
      <c r="M176" s="3" t="s">
        <v>60</v>
      </c>
      <c r="N176" s="3" t="s">
        <v>847</v>
      </c>
      <c r="O176" s="3"/>
      <c r="P176" s="3" t="s">
        <v>63</v>
      </c>
      <c r="Q176" s="3"/>
      <c r="R176" s="3" t="s">
        <v>848</v>
      </c>
      <c r="S176" s="4">
        <v>44026</v>
      </c>
      <c r="T176" s="4">
        <v>44035</v>
      </c>
      <c r="U176" s="4">
        <v>44035</v>
      </c>
      <c r="V176" s="4">
        <v>44040</v>
      </c>
      <c r="W176" s="4">
        <v>44040</v>
      </c>
      <c r="X176" s="3"/>
      <c r="Y176" s="3" t="s">
        <v>686</v>
      </c>
      <c r="Z176" s="3" t="s">
        <v>686</v>
      </c>
      <c r="AA176" s="3" t="s">
        <v>66</v>
      </c>
      <c r="AB176" s="3" t="s">
        <v>67</v>
      </c>
      <c r="AC176" s="3" t="s">
        <v>67</v>
      </c>
      <c r="AD176" s="3" t="s">
        <v>68</v>
      </c>
      <c r="AE176" s="3" t="s">
        <v>69</v>
      </c>
      <c r="AF176" s="3" t="s">
        <v>70</v>
      </c>
      <c r="AG176" s="3" t="s">
        <v>71</v>
      </c>
      <c r="AH176" s="3" t="s">
        <v>72</v>
      </c>
      <c r="AI176" s="3" t="s">
        <v>73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3210</v>
      </c>
      <c r="AP176" s="3">
        <v>27.986999999999998</v>
      </c>
      <c r="AQ176" s="3" t="s">
        <v>713</v>
      </c>
      <c r="AR176" s="3" t="s">
        <v>714</v>
      </c>
      <c r="AS176" s="3" t="s">
        <v>713</v>
      </c>
      <c r="AT176" s="4">
        <v>44081</v>
      </c>
      <c r="AU176" s="3" t="s">
        <v>849</v>
      </c>
      <c r="AV176" s="3">
        <v>81</v>
      </c>
      <c r="AW176" s="3" t="s">
        <v>850</v>
      </c>
    </row>
    <row r="177" spans="1:49" x14ac:dyDescent="0.55000000000000004">
      <c r="A177" s="3" t="str">
        <f>HYPERLINK("https://www.infodis.net/philips/net/Shipment/Details?InfodisNumber=4473800&amp;DomainCode=DAP", "4473800")</f>
        <v>4473800</v>
      </c>
      <c r="B177" s="3" t="s">
        <v>851</v>
      </c>
      <c r="C177" s="3" t="s">
        <v>852</v>
      </c>
      <c r="D177" s="3" t="s">
        <v>853</v>
      </c>
      <c r="E177" s="3" t="s">
        <v>852</v>
      </c>
      <c r="F177" s="3" t="s">
        <v>393</v>
      </c>
      <c r="G177" s="3" t="s">
        <v>854</v>
      </c>
      <c r="H177" s="3" t="s">
        <v>244</v>
      </c>
      <c r="I177" s="3" t="s">
        <v>706</v>
      </c>
      <c r="J177" s="3" t="s">
        <v>268</v>
      </c>
      <c r="K177" s="3" t="s">
        <v>855</v>
      </c>
      <c r="L177" s="3" t="s">
        <v>267</v>
      </c>
      <c r="M177" s="3" t="s">
        <v>84</v>
      </c>
      <c r="N177" s="3"/>
      <c r="O177" s="3"/>
      <c r="P177" s="3" t="s">
        <v>856</v>
      </c>
      <c r="Q177" s="3"/>
      <c r="R177" s="3" t="s">
        <v>268</v>
      </c>
      <c r="S177" s="4">
        <v>44027</v>
      </c>
      <c r="T177" s="4">
        <v>44028</v>
      </c>
      <c r="U177" s="4">
        <v>44033</v>
      </c>
      <c r="V177" s="4">
        <v>44033</v>
      </c>
      <c r="W177" s="4">
        <v>44048</v>
      </c>
      <c r="X177" s="4">
        <v>44088</v>
      </c>
      <c r="Y177" s="3" t="s">
        <v>857</v>
      </c>
      <c r="Z177" s="3" t="s">
        <v>857</v>
      </c>
      <c r="AA177" s="3" t="s">
        <v>857</v>
      </c>
      <c r="AB177" s="3" t="s">
        <v>67</v>
      </c>
      <c r="AC177" s="3" t="s">
        <v>67</v>
      </c>
      <c r="AD177" s="3" t="s">
        <v>67</v>
      </c>
      <c r="AE177" s="3"/>
      <c r="AF177" s="3" t="s">
        <v>70</v>
      </c>
      <c r="AG177" s="3" t="s">
        <v>71</v>
      </c>
      <c r="AH177" s="3" t="s">
        <v>199</v>
      </c>
      <c r="AI177" s="3" t="s">
        <v>73</v>
      </c>
      <c r="AJ177" s="3">
        <v>0</v>
      </c>
      <c r="AK177" s="3">
        <v>0</v>
      </c>
      <c r="AL177" s="3">
        <v>0</v>
      </c>
      <c r="AM177" s="3">
        <v>0</v>
      </c>
      <c r="AN177" s="3">
        <v>2</v>
      </c>
      <c r="AO177" s="3">
        <v>720.1</v>
      </c>
      <c r="AP177" s="3">
        <v>1.536</v>
      </c>
      <c r="AQ177" s="3" t="s">
        <v>713</v>
      </c>
      <c r="AR177" s="3" t="s">
        <v>714</v>
      </c>
      <c r="AS177" s="3" t="s">
        <v>713</v>
      </c>
      <c r="AT177" s="4">
        <v>44130</v>
      </c>
      <c r="AU177" s="3" t="s">
        <v>858</v>
      </c>
      <c r="AV177" s="3">
        <v>32</v>
      </c>
      <c r="AW177" s="3" t="s">
        <v>859</v>
      </c>
    </row>
    <row r="178" spans="1:49" x14ac:dyDescent="0.55000000000000004">
      <c r="A178" s="3" t="str">
        <f>HYPERLINK("https://www.infodis.net/philips/net/Shipment/Details?InfodisNumber=4482610&amp;DomainCode=DAP", "4482610")</f>
        <v>4482610</v>
      </c>
      <c r="B178" s="3" t="s">
        <v>860</v>
      </c>
      <c r="C178" s="3" t="s">
        <v>852</v>
      </c>
      <c r="D178" s="3" t="s">
        <v>853</v>
      </c>
      <c r="E178" s="3" t="s">
        <v>852</v>
      </c>
      <c r="F178" s="3" t="s">
        <v>393</v>
      </c>
      <c r="G178" s="3" t="s">
        <v>854</v>
      </c>
      <c r="H178" s="3" t="s">
        <v>244</v>
      </c>
      <c r="I178" s="3" t="s">
        <v>706</v>
      </c>
      <c r="J178" s="3" t="s">
        <v>268</v>
      </c>
      <c r="K178" s="3" t="s">
        <v>855</v>
      </c>
      <c r="L178" s="3" t="s">
        <v>267</v>
      </c>
      <c r="M178" s="3" t="s">
        <v>84</v>
      </c>
      <c r="N178" s="3"/>
      <c r="O178" s="3"/>
      <c r="P178" s="3" t="s">
        <v>856</v>
      </c>
      <c r="Q178" s="3" t="s">
        <v>861</v>
      </c>
      <c r="R178" s="3" t="s">
        <v>268</v>
      </c>
      <c r="S178" s="4">
        <v>44041</v>
      </c>
      <c r="T178" s="4">
        <v>44042</v>
      </c>
      <c r="U178" s="4">
        <v>44043</v>
      </c>
      <c r="V178" s="4">
        <v>44046</v>
      </c>
      <c r="W178" s="4">
        <v>44056</v>
      </c>
      <c r="X178" s="3"/>
      <c r="Y178" s="3" t="s">
        <v>857</v>
      </c>
      <c r="Z178" s="3" t="s">
        <v>857</v>
      </c>
      <c r="AA178" s="3" t="s">
        <v>857</v>
      </c>
      <c r="AB178" s="3" t="s">
        <v>67</v>
      </c>
      <c r="AC178" s="3" t="s">
        <v>67</v>
      </c>
      <c r="AD178" s="3" t="s">
        <v>67</v>
      </c>
      <c r="AE178" s="3"/>
      <c r="AF178" s="3" t="s">
        <v>70</v>
      </c>
      <c r="AG178" s="3" t="s">
        <v>71</v>
      </c>
      <c r="AH178" s="3" t="s">
        <v>199</v>
      </c>
      <c r="AI178" s="3" t="s">
        <v>73</v>
      </c>
      <c r="AJ178" s="3">
        <v>0</v>
      </c>
      <c r="AK178" s="3">
        <v>0</v>
      </c>
      <c r="AL178" s="3">
        <v>0</v>
      </c>
      <c r="AM178" s="3">
        <v>0</v>
      </c>
      <c r="AN178" s="3">
        <v>2</v>
      </c>
      <c r="AO178" s="3">
        <v>1151</v>
      </c>
      <c r="AP178" s="3">
        <v>1.978</v>
      </c>
      <c r="AQ178" s="3" t="s">
        <v>713</v>
      </c>
      <c r="AR178" s="3" t="s">
        <v>714</v>
      </c>
      <c r="AS178" s="3" t="s">
        <v>713</v>
      </c>
      <c r="AT178" s="4">
        <v>44130</v>
      </c>
      <c r="AU178" s="3" t="s">
        <v>858</v>
      </c>
      <c r="AV178" s="3">
        <v>32</v>
      </c>
      <c r="AW178" s="3" t="s">
        <v>859</v>
      </c>
    </row>
    <row r="179" spans="1:49" x14ac:dyDescent="0.55000000000000004">
      <c r="A179" s="3" t="str">
        <f>HYPERLINK("https://www.infodis.net/philips/net/Shipment/Details?InfodisNumber=4482722&amp;DomainCode=DAP", "4482722")</f>
        <v>4482722</v>
      </c>
      <c r="B179" s="3" t="s">
        <v>862</v>
      </c>
      <c r="C179" s="3" t="s">
        <v>560</v>
      </c>
      <c r="D179" s="3" t="s">
        <v>561</v>
      </c>
      <c r="E179" s="3" t="s">
        <v>562</v>
      </c>
      <c r="F179" s="3" t="s">
        <v>863</v>
      </c>
      <c r="G179" s="3" t="s">
        <v>54</v>
      </c>
      <c r="H179" s="3" t="s">
        <v>55</v>
      </c>
      <c r="I179" s="3" t="s">
        <v>495</v>
      </c>
      <c r="J179" s="3" t="s">
        <v>130</v>
      </c>
      <c r="K179" s="3" t="s">
        <v>864</v>
      </c>
      <c r="L179" s="3" t="s">
        <v>132</v>
      </c>
      <c r="M179" s="3" t="s">
        <v>133</v>
      </c>
      <c r="N179" s="3" t="s">
        <v>115</v>
      </c>
      <c r="O179" s="3"/>
      <c r="P179" s="3" t="s">
        <v>63</v>
      </c>
      <c r="Q179" s="3"/>
      <c r="R179" s="3" t="s">
        <v>865</v>
      </c>
      <c r="S179" s="4">
        <v>44041</v>
      </c>
      <c r="T179" s="4">
        <v>44048</v>
      </c>
      <c r="U179" s="4">
        <v>44048</v>
      </c>
      <c r="V179" s="4">
        <v>44053</v>
      </c>
      <c r="W179" s="4">
        <v>44056</v>
      </c>
      <c r="X179" s="3"/>
      <c r="Y179" s="3" t="s">
        <v>686</v>
      </c>
      <c r="Z179" s="3" t="s">
        <v>686</v>
      </c>
      <c r="AA179" s="3" t="s">
        <v>66</v>
      </c>
      <c r="AB179" s="3" t="s">
        <v>67</v>
      </c>
      <c r="AC179" s="3" t="s">
        <v>67</v>
      </c>
      <c r="AD179" s="3" t="s">
        <v>68</v>
      </c>
      <c r="AE179" s="3" t="s">
        <v>349</v>
      </c>
      <c r="AF179" s="3" t="s">
        <v>70</v>
      </c>
      <c r="AG179" s="3" t="s">
        <v>71</v>
      </c>
      <c r="AH179" s="3" t="s">
        <v>72</v>
      </c>
      <c r="AI179" s="3" t="s">
        <v>73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8563.2999999999993</v>
      </c>
      <c r="AP179" s="3">
        <v>53.151000000000003</v>
      </c>
      <c r="AQ179" s="3" t="s">
        <v>713</v>
      </c>
      <c r="AR179" s="3" t="s">
        <v>714</v>
      </c>
      <c r="AS179" s="3" t="s">
        <v>713</v>
      </c>
      <c r="AT179" s="4">
        <v>44081</v>
      </c>
      <c r="AU179" s="3" t="s">
        <v>866</v>
      </c>
      <c r="AV179" s="3">
        <v>81</v>
      </c>
      <c r="AW179" s="3" t="s">
        <v>867</v>
      </c>
    </row>
    <row r="180" spans="1:49" x14ac:dyDescent="0.55000000000000004">
      <c r="A180" s="3" t="str">
        <f>HYPERLINK("https://www.infodis.net/philips/net/Shipment/Details?InfodisNumber=4485411&amp;DomainCode=DAP", "4485411")</f>
        <v>4485411</v>
      </c>
      <c r="B180" s="3" t="s">
        <v>868</v>
      </c>
      <c r="C180" s="3" t="s">
        <v>560</v>
      </c>
      <c r="D180" s="3" t="s">
        <v>561</v>
      </c>
      <c r="E180" s="3" t="s">
        <v>562</v>
      </c>
      <c r="F180" s="3" t="s">
        <v>869</v>
      </c>
      <c r="G180" s="3" t="s">
        <v>54</v>
      </c>
      <c r="H180" s="3" t="s">
        <v>55</v>
      </c>
      <c r="I180" s="3" t="s">
        <v>495</v>
      </c>
      <c r="J180" s="3" t="s">
        <v>870</v>
      </c>
      <c r="K180" s="3" t="s">
        <v>871</v>
      </c>
      <c r="L180" s="3" t="s">
        <v>872</v>
      </c>
      <c r="M180" s="3" t="s">
        <v>133</v>
      </c>
      <c r="N180" s="3" t="s">
        <v>873</v>
      </c>
      <c r="O180" s="3"/>
      <c r="P180" s="3" t="s">
        <v>63</v>
      </c>
      <c r="Q180" s="3"/>
      <c r="R180" s="3"/>
      <c r="S180" s="4">
        <v>44046</v>
      </c>
      <c r="T180" s="4">
        <v>44050</v>
      </c>
      <c r="U180" s="4">
        <v>44057</v>
      </c>
      <c r="V180" s="4">
        <v>44055</v>
      </c>
      <c r="W180" s="4">
        <v>44064</v>
      </c>
      <c r="X180" s="3"/>
      <c r="Y180" s="3" t="s">
        <v>686</v>
      </c>
      <c r="Z180" s="3" t="s">
        <v>686</v>
      </c>
      <c r="AA180" s="3" t="s">
        <v>66</v>
      </c>
      <c r="AB180" s="3" t="s">
        <v>67</v>
      </c>
      <c r="AC180" s="3" t="s">
        <v>67</v>
      </c>
      <c r="AD180" s="3" t="s">
        <v>68</v>
      </c>
      <c r="AE180" s="3" t="s">
        <v>69</v>
      </c>
      <c r="AF180" s="3" t="s">
        <v>70</v>
      </c>
      <c r="AG180" s="3" t="s">
        <v>71</v>
      </c>
      <c r="AH180" s="3" t="s">
        <v>72</v>
      </c>
      <c r="AI180" s="3" t="s">
        <v>73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5306</v>
      </c>
      <c r="AP180" s="3">
        <v>25</v>
      </c>
      <c r="AQ180" s="3" t="s">
        <v>713</v>
      </c>
      <c r="AR180" s="3" t="s">
        <v>714</v>
      </c>
      <c r="AS180" s="3" t="s">
        <v>713</v>
      </c>
      <c r="AT180" s="4">
        <v>44081</v>
      </c>
      <c r="AU180" s="3" t="s">
        <v>874</v>
      </c>
      <c r="AV180" s="3">
        <v>81</v>
      </c>
      <c r="AW180" s="3" t="s">
        <v>875</v>
      </c>
    </row>
    <row r="181" spans="1:49" x14ac:dyDescent="0.55000000000000004">
      <c r="A181" s="3" t="str">
        <f>HYPERLINK("https://www.infodis.net/philips/net/Shipment/Details?InfodisNumber=6693191&amp;DomainCode=PHILIPSR1", "6693191")</f>
        <v>6693191</v>
      </c>
      <c r="B181" s="3" t="s">
        <v>876</v>
      </c>
      <c r="C181" s="3" t="s">
        <v>877</v>
      </c>
      <c r="D181" s="3" t="s">
        <v>878</v>
      </c>
      <c r="E181" s="3" t="s">
        <v>877</v>
      </c>
      <c r="F181" s="3" t="s">
        <v>879</v>
      </c>
      <c r="G181" s="3" t="s">
        <v>880</v>
      </c>
      <c r="H181" s="3" t="s">
        <v>881</v>
      </c>
      <c r="I181" s="3" t="s">
        <v>882</v>
      </c>
      <c r="J181" s="3" t="s">
        <v>883</v>
      </c>
      <c r="K181" s="3" t="s">
        <v>884</v>
      </c>
      <c r="L181" s="3" t="s">
        <v>885</v>
      </c>
      <c r="M181" s="3" t="s">
        <v>60</v>
      </c>
      <c r="N181" s="3" t="s">
        <v>886</v>
      </c>
      <c r="O181" s="3" t="s">
        <v>887</v>
      </c>
      <c r="P181" s="3" t="s">
        <v>888</v>
      </c>
      <c r="Q181" s="3"/>
      <c r="R181" s="3" t="s">
        <v>889</v>
      </c>
      <c r="S181" s="4">
        <v>44048</v>
      </c>
      <c r="T181" s="4">
        <v>44050</v>
      </c>
      <c r="U181" s="3"/>
      <c r="V181" s="4">
        <v>44055</v>
      </c>
      <c r="W181" s="4">
        <v>44065</v>
      </c>
      <c r="X181" s="4">
        <v>44085</v>
      </c>
      <c r="Y181" s="3" t="s">
        <v>467</v>
      </c>
      <c r="Z181" s="3" t="s">
        <v>467</v>
      </c>
      <c r="AA181" s="3" t="s">
        <v>467</v>
      </c>
      <c r="AB181" s="3" t="s">
        <v>67</v>
      </c>
      <c r="AC181" s="3" t="s">
        <v>67</v>
      </c>
      <c r="AD181" s="3" t="s">
        <v>67</v>
      </c>
      <c r="AE181" s="3" t="s">
        <v>90</v>
      </c>
      <c r="AF181" s="3" t="s">
        <v>70</v>
      </c>
      <c r="AG181" s="3" t="s">
        <v>71</v>
      </c>
      <c r="AH181" s="3" t="s">
        <v>72</v>
      </c>
      <c r="AI181" s="3" t="s">
        <v>252</v>
      </c>
      <c r="AJ181" s="3">
        <v>0</v>
      </c>
      <c r="AK181" s="3">
        <v>0</v>
      </c>
      <c r="AL181" s="3">
        <v>0</v>
      </c>
      <c r="AM181" s="3">
        <v>0</v>
      </c>
      <c r="AN181" s="3">
        <v>22</v>
      </c>
      <c r="AO181" s="3">
        <v>6594</v>
      </c>
      <c r="AP181" s="3">
        <v>36.409999999999997</v>
      </c>
      <c r="AQ181" s="3" t="s">
        <v>713</v>
      </c>
      <c r="AR181" s="3" t="s">
        <v>714</v>
      </c>
      <c r="AS181" s="3" t="s">
        <v>713</v>
      </c>
      <c r="AT181" s="4">
        <v>44102</v>
      </c>
      <c r="AU181" s="3" t="s">
        <v>890</v>
      </c>
      <c r="AV181" s="3">
        <v>60</v>
      </c>
      <c r="AW181" s="3" t="s">
        <v>891</v>
      </c>
    </row>
    <row r="182" spans="1:49" x14ac:dyDescent="0.55000000000000004">
      <c r="A182" s="3" t="str">
        <f>HYPERLINK("https://www.infodis.net/philips/net/Shipment/Details?InfodisNumber=6727433&amp;DomainCode=PHILIPSR1", "6727433")</f>
        <v>6727433</v>
      </c>
      <c r="B182" s="3" t="s">
        <v>892</v>
      </c>
      <c r="C182" s="3" t="s">
        <v>893</v>
      </c>
      <c r="D182" s="3" t="s">
        <v>894</v>
      </c>
      <c r="E182" s="3" t="s">
        <v>458</v>
      </c>
      <c r="F182" s="3" t="s">
        <v>459</v>
      </c>
      <c r="G182" s="3" t="s">
        <v>895</v>
      </c>
      <c r="H182" s="3" t="s">
        <v>180</v>
      </c>
      <c r="I182" s="3" t="s">
        <v>194</v>
      </c>
      <c r="J182" s="3" t="s">
        <v>122</v>
      </c>
      <c r="K182" s="3" t="s">
        <v>462</v>
      </c>
      <c r="L182" s="3" t="s">
        <v>79</v>
      </c>
      <c r="M182" s="3" t="s">
        <v>133</v>
      </c>
      <c r="N182" s="3" t="s">
        <v>896</v>
      </c>
      <c r="O182" s="3" t="s">
        <v>897</v>
      </c>
      <c r="P182" s="3" t="s">
        <v>898</v>
      </c>
      <c r="Q182" s="3"/>
      <c r="R182" s="3" t="s">
        <v>746</v>
      </c>
      <c r="S182" s="4">
        <v>44062</v>
      </c>
      <c r="T182" s="4">
        <v>44072</v>
      </c>
      <c r="U182" s="4">
        <v>44068</v>
      </c>
      <c r="V182" s="4">
        <v>44080</v>
      </c>
      <c r="W182" s="4">
        <v>44080</v>
      </c>
      <c r="X182" s="4">
        <v>44114</v>
      </c>
      <c r="Y182" s="3" t="s">
        <v>238</v>
      </c>
      <c r="Z182" s="3" t="s">
        <v>238</v>
      </c>
      <c r="AA182" s="3" t="s">
        <v>66</v>
      </c>
      <c r="AB182" s="3" t="s">
        <v>67</v>
      </c>
      <c r="AC182" s="3" t="s">
        <v>67</v>
      </c>
      <c r="AD182" s="3" t="s">
        <v>68</v>
      </c>
      <c r="AE182" s="3" t="s">
        <v>69</v>
      </c>
      <c r="AF182" s="3" t="s">
        <v>70</v>
      </c>
      <c r="AG182" s="3" t="s">
        <v>71</v>
      </c>
      <c r="AH182" s="3" t="s">
        <v>72</v>
      </c>
      <c r="AI182" s="3" t="s">
        <v>252</v>
      </c>
      <c r="AJ182" s="3">
        <v>0</v>
      </c>
      <c r="AK182" s="3">
        <v>0</v>
      </c>
      <c r="AL182" s="3">
        <v>0</v>
      </c>
      <c r="AM182" s="3">
        <v>0</v>
      </c>
      <c r="AN182" s="3">
        <v>20</v>
      </c>
      <c r="AO182" s="3">
        <v>2928.85</v>
      </c>
      <c r="AP182" s="3">
        <v>38.667999999999999</v>
      </c>
      <c r="AQ182" s="3" t="s">
        <v>713</v>
      </c>
      <c r="AR182" s="3" t="s">
        <v>714</v>
      </c>
      <c r="AS182" s="3" t="s">
        <v>713</v>
      </c>
      <c r="AT182" s="4">
        <v>44102</v>
      </c>
      <c r="AU182" s="3" t="s">
        <v>899</v>
      </c>
      <c r="AV182" s="3">
        <v>60</v>
      </c>
      <c r="AW182" s="3" t="s">
        <v>900</v>
      </c>
    </row>
    <row r="183" spans="1:49" x14ac:dyDescent="0.55000000000000004">
      <c r="A183" s="3" t="str">
        <f>HYPERLINK("https://www.infodis.net/philips/net/Shipment/Details?InfodisNumber=4500532&amp;DomainCode=DAP", "4500532")</f>
        <v>4500532</v>
      </c>
      <c r="B183" s="3" t="s">
        <v>901</v>
      </c>
      <c r="C183" s="3" t="s">
        <v>302</v>
      </c>
      <c r="D183" s="3" t="s">
        <v>303</v>
      </c>
      <c r="E183" s="3" t="s">
        <v>304</v>
      </c>
      <c r="F183" s="3" t="s">
        <v>902</v>
      </c>
      <c r="G183" s="3" t="s">
        <v>306</v>
      </c>
      <c r="H183" s="3" t="s">
        <v>307</v>
      </c>
      <c r="I183" s="3" t="s">
        <v>706</v>
      </c>
      <c r="J183" s="3" t="s">
        <v>903</v>
      </c>
      <c r="K183" s="3" t="s">
        <v>904</v>
      </c>
      <c r="L183" s="3" t="s">
        <v>905</v>
      </c>
      <c r="M183" s="3" t="s">
        <v>60</v>
      </c>
      <c r="N183" s="3" t="s">
        <v>906</v>
      </c>
      <c r="O183" s="3" t="s">
        <v>907</v>
      </c>
      <c r="P183" s="3" t="s">
        <v>312</v>
      </c>
      <c r="Q183" s="3"/>
      <c r="R183" s="3" t="s">
        <v>908</v>
      </c>
      <c r="S183" s="4">
        <v>44071</v>
      </c>
      <c r="T183" s="4">
        <v>44079</v>
      </c>
      <c r="U183" s="3"/>
      <c r="V183" s="4">
        <v>44091</v>
      </c>
      <c r="W183" s="4">
        <v>44092</v>
      </c>
      <c r="X183" s="4">
        <v>44124</v>
      </c>
      <c r="Y183" s="3" t="s">
        <v>238</v>
      </c>
      <c r="Z183" s="3" t="s">
        <v>238</v>
      </c>
      <c r="AA183" s="3" t="s">
        <v>238</v>
      </c>
      <c r="AB183" s="3" t="s">
        <v>67</v>
      </c>
      <c r="AC183" s="3" t="s">
        <v>67</v>
      </c>
      <c r="AD183" s="3" t="s">
        <v>67</v>
      </c>
      <c r="AE183" s="3" t="s">
        <v>69</v>
      </c>
      <c r="AF183" s="3" t="s">
        <v>70</v>
      </c>
      <c r="AG183" s="3" t="s">
        <v>71</v>
      </c>
      <c r="AH183" s="3" t="s">
        <v>72</v>
      </c>
      <c r="AI183" s="3" t="s">
        <v>73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2874.16</v>
      </c>
      <c r="AP183" s="3">
        <v>27.001000000000001</v>
      </c>
      <c r="AQ183" s="3" t="s">
        <v>713</v>
      </c>
      <c r="AR183" s="3" t="s">
        <v>714</v>
      </c>
      <c r="AS183" s="3" t="s">
        <v>713</v>
      </c>
      <c r="AT183" s="4">
        <v>44097</v>
      </c>
      <c r="AU183" s="3" t="s">
        <v>909</v>
      </c>
      <c r="AV183" s="3">
        <v>65</v>
      </c>
      <c r="AW183" s="3" t="s">
        <v>910</v>
      </c>
    </row>
    <row r="184" spans="1:49" x14ac:dyDescent="0.55000000000000004">
      <c r="A184" s="3" t="str">
        <f>HYPERLINK("https://www.infodis.net/philips/net/Shipment/Details?InfodisNumber=6763281&amp;DomainCode=PHILIPSR1", "6763281")</f>
        <v>6763281</v>
      </c>
      <c r="B184" s="3" t="s">
        <v>911</v>
      </c>
      <c r="C184" s="3" t="s">
        <v>912</v>
      </c>
      <c r="D184" s="3" t="s">
        <v>913</v>
      </c>
      <c r="E184" s="3" t="s">
        <v>914</v>
      </c>
      <c r="F184" s="3" t="s">
        <v>915</v>
      </c>
      <c r="G184" s="3" t="s">
        <v>916</v>
      </c>
      <c r="H184" s="3" t="s">
        <v>180</v>
      </c>
      <c r="I184" s="3" t="s">
        <v>246</v>
      </c>
      <c r="J184" s="3" t="s">
        <v>917</v>
      </c>
      <c r="K184" s="3" t="s">
        <v>918</v>
      </c>
      <c r="L184" s="3" t="s">
        <v>881</v>
      </c>
      <c r="M184" s="3" t="s">
        <v>60</v>
      </c>
      <c r="N184" s="3" t="s">
        <v>919</v>
      </c>
      <c r="O184" s="3"/>
      <c r="P184" s="3" t="s">
        <v>920</v>
      </c>
      <c r="Q184" s="3"/>
      <c r="R184" s="3" t="s">
        <v>888</v>
      </c>
      <c r="S184" s="4">
        <v>44075</v>
      </c>
      <c r="T184" s="4">
        <v>44077</v>
      </c>
      <c r="U184" s="4">
        <v>44082</v>
      </c>
      <c r="V184" s="4">
        <v>44089</v>
      </c>
      <c r="W184" s="4">
        <v>44090</v>
      </c>
      <c r="X184" s="4">
        <v>44112</v>
      </c>
      <c r="Y184" s="3" t="s">
        <v>467</v>
      </c>
      <c r="Z184" s="3" t="s">
        <v>467</v>
      </c>
      <c r="AA184" s="3" t="s">
        <v>467</v>
      </c>
      <c r="AB184" s="3" t="s">
        <v>67</v>
      </c>
      <c r="AC184" s="3" t="s">
        <v>67</v>
      </c>
      <c r="AD184" s="3" t="s">
        <v>67</v>
      </c>
      <c r="AE184" s="3" t="s">
        <v>69</v>
      </c>
      <c r="AF184" s="3" t="s">
        <v>70</v>
      </c>
      <c r="AG184" s="3" t="s">
        <v>71</v>
      </c>
      <c r="AH184" s="3" t="s">
        <v>72</v>
      </c>
      <c r="AI184" s="3" t="s">
        <v>252</v>
      </c>
      <c r="AJ184" s="3">
        <v>0</v>
      </c>
      <c r="AK184" s="3">
        <v>0</v>
      </c>
      <c r="AL184" s="3">
        <v>0</v>
      </c>
      <c r="AM184" s="3">
        <v>0</v>
      </c>
      <c r="AN184" s="3">
        <v>24</v>
      </c>
      <c r="AO184" s="3">
        <v>7910.65</v>
      </c>
      <c r="AP184" s="3">
        <v>7176.6239999999998</v>
      </c>
      <c r="AQ184" s="3" t="s">
        <v>713</v>
      </c>
      <c r="AR184" s="3" t="s">
        <v>714</v>
      </c>
      <c r="AS184" s="3" t="s">
        <v>713</v>
      </c>
      <c r="AT184" s="4">
        <v>44102</v>
      </c>
      <c r="AU184" s="3" t="s">
        <v>921</v>
      </c>
      <c r="AV184" s="3">
        <v>60</v>
      </c>
      <c r="AW184" s="3" t="s">
        <v>922</v>
      </c>
    </row>
    <row r="185" spans="1:49" x14ac:dyDescent="0.55000000000000004">
      <c r="A185" s="3" t="str">
        <f>HYPERLINK("https://www.infodis.net/philips/net/Shipment/Details?InfodisNumber=6763282&amp;DomainCode=PHILIPSR1", "6763282")</f>
        <v>6763282</v>
      </c>
      <c r="B185" s="3" t="s">
        <v>923</v>
      </c>
      <c r="C185" s="3" t="s">
        <v>912</v>
      </c>
      <c r="D185" s="3" t="s">
        <v>913</v>
      </c>
      <c r="E185" s="3" t="s">
        <v>914</v>
      </c>
      <c r="F185" s="3" t="s">
        <v>915</v>
      </c>
      <c r="G185" s="3" t="s">
        <v>916</v>
      </c>
      <c r="H185" s="3" t="s">
        <v>180</v>
      </c>
      <c r="I185" s="3" t="s">
        <v>246</v>
      </c>
      <c r="J185" s="3" t="s">
        <v>917</v>
      </c>
      <c r="K185" s="3" t="s">
        <v>918</v>
      </c>
      <c r="L185" s="3" t="s">
        <v>881</v>
      </c>
      <c r="M185" s="3" t="s">
        <v>60</v>
      </c>
      <c r="N185" s="3" t="s">
        <v>924</v>
      </c>
      <c r="O185" s="3"/>
      <c r="P185" s="3" t="s">
        <v>920</v>
      </c>
      <c r="Q185" s="3"/>
      <c r="R185" s="3" t="s">
        <v>888</v>
      </c>
      <c r="S185" s="4">
        <v>44075</v>
      </c>
      <c r="T185" s="4">
        <v>44078</v>
      </c>
      <c r="U185" s="4">
        <v>44082</v>
      </c>
      <c r="V185" s="4">
        <v>44092</v>
      </c>
      <c r="W185" s="4">
        <v>44090</v>
      </c>
      <c r="X185" s="4">
        <v>44112</v>
      </c>
      <c r="Y185" s="3" t="s">
        <v>467</v>
      </c>
      <c r="Z185" s="3" t="s">
        <v>467</v>
      </c>
      <c r="AA185" s="3" t="s">
        <v>467</v>
      </c>
      <c r="AB185" s="3" t="s">
        <v>67</v>
      </c>
      <c r="AC185" s="3" t="s">
        <v>67</v>
      </c>
      <c r="AD185" s="3" t="s">
        <v>67</v>
      </c>
      <c r="AE185" s="3" t="s">
        <v>69</v>
      </c>
      <c r="AF185" s="3" t="s">
        <v>70</v>
      </c>
      <c r="AG185" s="3" t="s">
        <v>71</v>
      </c>
      <c r="AH185" s="3" t="s">
        <v>72</v>
      </c>
      <c r="AI185" s="3" t="s">
        <v>252</v>
      </c>
      <c r="AJ185" s="3">
        <v>0</v>
      </c>
      <c r="AK185" s="3">
        <v>0</v>
      </c>
      <c r="AL185" s="3">
        <v>0</v>
      </c>
      <c r="AM185" s="3">
        <v>0</v>
      </c>
      <c r="AN185" s="3">
        <v>24</v>
      </c>
      <c r="AO185" s="3">
        <v>7983.23</v>
      </c>
      <c r="AP185" s="3">
        <v>7176.6239999999998</v>
      </c>
      <c r="AQ185" s="3" t="s">
        <v>713</v>
      </c>
      <c r="AR185" s="3" t="s">
        <v>714</v>
      </c>
      <c r="AS185" s="3" t="s">
        <v>713</v>
      </c>
      <c r="AT185" s="4">
        <v>44102</v>
      </c>
      <c r="AU185" s="3" t="s">
        <v>921</v>
      </c>
      <c r="AV185" s="3">
        <v>60</v>
      </c>
      <c r="AW185" s="3" t="s">
        <v>922</v>
      </c>
    </row>
    <row r="186" spans="1:49" x14ac:dyDescent="0.55000000000000004">
      <c r="A186" s="3" t="str">
        <f>HYPERLINK("https://www.infodis.net/philips/net/Shipment/Details?InfodisNumber=6763283&amp;DomainCode=PHILIPSR1", "6763283")</f>
        <v>6763283</v>
      </c>
      <c r="B186" s="3" t="s">
        <v>925</v>
      </c>
      <c r="C186" s="3" t="s">
        <v>912</v>
      </c>
      <c r="D186" s="3" t="s">
        <v>913</v>
      </c>
      <c r="E186" s="3" t="s">
        <v>914</v>
      </c>
      <c r="F186" s="3" t="s">
        <v>915</v>
      </c>
      <c r="G186" s="3" t="s">
        <v>916</v>
      </c>
      <c r="H186" s="3" t="s">
        <v>180</v>
      </c>
      <c r="I186" s="3" t="s">
        <v>246</v>
      </c>
      <c r="J186" s="3" t="s">
        <v>917</v>
      </c>
      <c r="K186" s="3" t="s">
        <v>918</v>
      </c>
      <c r="L186" s="3" t="s">
        <v>881</v>
      </c>
      <c r="M186" s="3" t="s">
        <v>60</v>
      </c>
      <c r="N186" s="3" t="s">
        <v>926</v>
      </c>
      <c r="O186" s="3"/>
      <c r="P186" s="3" t="s">
        <v>920</v>
      </c>
      <c r="Q186" s="3"/>
      <c r="R186" s="3" t="s">
        <v>888</v>
      </c>
      <c r="S186" s="4">
        <v>44075</v>
      </c>
      <c r="T186" s="4">
        <v>44078</v>
      </c>
      <c r="U186" s="4">
        <v>44084</v>
      </c>
      <c r="V186" s="4">
        <v>44089</v>
      </c>
      <c r="W186" s="4">
        <v>44090</v>
      </c>
      <c r="X186" s="4">
        <v>44113</v>
      </c>
      <c r="Y186" s="3" t="s">
        <v>467</v>
      </c>
      <c r="Z186" s="3" t="s">
        <v>467</v>
      </c>
      <c r="AA186" s="3" t="s">
        <v>467</v>
      </c>
      <c r="AB186" s="3" t="s">
        <v>67</v>
      </c>
      <c r="AC186" s="3" t="s">
        <v>67</v>
      </c>
      <c r="AD186" s="3" t="s">
        <v>67</v>
      </c>
      <c r="AE186" s="3" t="s">
        <v>69</v>
      </c>
      <c r="AF186" s="3" t="s">
        <v>70</v>
      </c>
      <c r="AG186" s="3" t="s">
        <v>71</v>
      </c>
      <c r="AH186" s="3" t="s">
        <v>72</v>
      </c>
      <c r="AI186" s="3" t="s">
        <v>252</v>
      </c>
      <c r="AJ186" s="3">
        <v>0</v>
      </c>
      <c r="AK186" s="3">
        <v>0</v>
      </c>
      <c r="AL186" s="3">
        <v>0</v>
      </c>
      <c r="AM186" s="3">
        <v>0</v>
      </c>
      <c r="AN186" s="3">
        <v>24</v>
      </c>
      <c r="AO186" s="3">
        <v>7952.38</v>
      </c>
      <c r="AP186" s="3">
        <v>7176.6239999999998</v>
      </c>
      <c r="AQ186" s="3" t="s">
        <v>713</v>
      </c>
      <c r="AR186" s="3" t="s">
        <v>714</v>
      </c>
      <c r="AS186" s="3" t="s">
        <v>713</v>
      </c>
      <c r="AT186" s="4">
        <v>44102</v>
      </c>
      <c r="AU186" s="3" t="s">
        <v>921</v>
      </c>
      <c r="AV186" s="3">
        <v>60</v>
      </c>
      <c r="AW186" s="3" t="s">
        <v>922</v>
      </c>
    </row>
    <row r="187" spans="1:49" x14ac:dyDescent="0.55000000000000004">
      <c r="A187" s="3" t="str">
        <f>HYPERLINK("https://www.infodis.net/philips/net/Shipment/Details?InfodisNumber=4561223&amp;DomainCode=DAP", "4561223")</f>
        <v>4561223</v>
      </c>
      <c r="B187" s="3" t="s">
        <v>927</v>
      </c>
      <c r="C187" s="3" t="s">
        <v>50</v>
      </c>
      <c r="D187" s="3" t="s">
        <v>51</v>
      </c>
      <c r="E187" s="3" t="s">
        <v>52</v>
      </c>
      <c r="F187" s="3" t="s">
        <v>769</v>
      </c>
      <c r="G187" s="3" t="s">
        <v>54</v>
      </c>
      <c r="H187" s="3" t="s">
        <v>55</v>
      </c>
      <c r="I187" s="3" t="s">
        <v>245</v>
      </c>
      <c r="J187" s="3" t="s">
        <v>770</v>
      </c>
      <c r="K187" s="3" t="s">
        <v>771</v>
      </c>
      <c r="L187" s="3" t="s">
        <v>772</v>
      </c>
      <c r="M187" s="3" t="s">
        <v>60</v>
      </c>
      <c r="N187" s="3" t="s">
        <v>928</v>
      </c>
      <c r="O187" s="3" t="s">
        <v>929</v>
      </c>
      <c r="P187" s="3" t="s">
        <v>63</v>
      </c>
      <c r="Q187" s="3"/>
      <c r="R187" s="3" t="s">
        <v>775</v>
      </c>
      <c r="S187" s="4">
        <v>44154</v>
      </c>
      <c r="T187" s="4">
        <v>44155</v>
      </c>
      <c r="U187" s="3"/>
      <c r="V187" s="4">
        <v>44167</v>
      </c>
      <c r="W187" s="3"/>
      <c r="X187" s="3"/>
      <c r="Y187" s="3" t="s">
        <v>65</v>
      </c>
      <c r="Z187" s="3" t="s">
        <v>65</v>
      </c>
      <c r="AA187" s="3" t="s">
        <v>66</v>
      </c>
      <c r="AB187" s="3" t="s">
        <v>67</v>
      </c>
      <c r="AC187" s="3" t="s">
        <v>67</v>
      </c>
      <c r="AD187" s="3" t="s">
        <v>68</v>
      </c>
      <c r="AE187" s="3" t="s">
        <v>69</v>
      </c>
      <c r="AF187" s="3" t="s">
        <v>70</v>
      </c>
      <c r="AG187" s="3" t="s">
        <v>71</v>
      </c>
      <c r="AH187" s="3" t="s">
        <v>72</v>
      </c>
      <c r="AI187" s="3" t="s">
        <v>73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4193</v>
      </c>
      <c r="AP187" s="3">
        <v>36.923000000000002</v>
      </c>
      <c r="AQ187" s="3" t="s">
        <v>713</v>
      </c>
      <c r="AR187" s="3" t="s">
        <v>714</v>
      </c>
      <c r="AS187" s="3" t="s">
        <v>713</v>
      </c>
      <c r="AT187" s="4">
        <v>44155</v>
      </c>
      <c r="AU187" s="3" t="s">
        <v>776</v>
      </c>
      <c r="AV187" s="3">
        <v>7</v>
      </c>
      <c r="AW187" s="3" t="s">
        <v>777</v>
      </c>
    </row>
    <row r="188" spans="1:49" x14ac:dyDescent="0.55000000000000004">
      <c r="A188" s="3" t="str">
        <f>HYPERLINK("https://www.infodis.net/philips/net/Shipment/Details?InfodisNumber=6763380&amp;DomainCode=PHILIPSR1", "6763380")</f>
        <v>6763380</v>
      </c>
      <c r="B188" s="3" t="s">
        <v>930</v>
      </c>
      <c r="C188" s="3" t="s">
        <v>912</v>
      </c>
      <c r="D188" s="3" t="s">
        <v>913</v>
      </c>
      <c r="E188" s="3" t="s">
        <v>914</v>
      </c>
      <c r="F188" s="3" t="s">
        <v>915</v>
      </c>
      <c r="G188" s="3" t="s">
        <v>916</v>
      </c>
      <c r="H188" s="3" t="s">
        <v>180</v>
      </c>
      <c r="I188" s="3" t="s">
        <v>246</v>
      </c>
      <c r="J188" s="3" t="s">
        <v>917</v>
      </c>
      <c r="K188" s="3" t="s">
        <v>918</v>
      </c>
      <c r="L188" s="3" t="s">
        <v>881</v>
      </c>
      <c r="M188" s="3" t="s">
        <v>60</v>
      </c>
      <c r="N188" s="3" t="s">
        <v>931</v>
      </c>
      <c r="O188" s="3"/>
      <c r="P188" s="3" t="s">
        <v>920</v>
      </c>
      <c r="Q188" s="3"/>
      <c r="R188" s="3" t="s">
        <v>888</v>
      </c>
      <c r="S188" s="4">
        <v>44075</v>
      </c>
      <c r="T188" s="4">
        <v>44077</v>
      </c>
      <c r="U188" s="4">
        <v>44084</v>
      </c>
      <c r="V188" s="4">
        <v>44089</v>
      </c>
      <c r="W188" s="4">
        <v>44090</v>
      </c>
      <c r="X188" s="4">
        <v>44131</v>
      </c>
      <c r="Y188" s="3" t="s">
        <v>467</v>
      </c>
      <c r="Z188" s="3" t="s">
        <v>467</v>
      </c>
      <c r="AA188" s="3" t="s">
        <v>467</v>
      </c>
      <c r="AB188" s="3" t="s">
        <v>67</v>
      </c>
      <c r="AC188" s="3" t="s">
        <v>67</v>
      </c>
      <c r="AD188" s="3" t="s">
        <v>67</v>
      </c>
      <c r="AE188" s="3" t="s">
        <v>69</v>
      </c>
      <c r="AF188" s="3" t="s">
        <v>70</v>
      </c>
      <c r="AG188" s="3" t="s">
        <v>71</v>
      </c>
      <c r="AH188" s="3" t="s">
        <v>72</v>
      </c>
      <c r="AI188" s="3" t="s">
        <v>252</v>
      </c>
      <c r="AJ188" s="3">
        <v>0</v>
      </c>
      <c r="AK188" s="3">
        <v>0</v>
      </c>
      <c r="AL188" s="3">
        <v>0</v>
      </c>
      <c r="AM188" s="3">
        <v>0</v>
      </c>
      <c r="AN188" s="3">
        <v>24</v>
      </c>
      <c r="AO188" s="3">
        <v>7851.68</v>
      </c>
      <c r="AP188" s="3">
        <v>7176.625</v>
      </c>
      <c r="AQ188" s="3" t="s">
        <v>713</v>
      </c>
      <c r="AR188" s="3" t="s">
        <v>714</v>
      </c>
      <c r="AS188" s="3" t="s">
        <v>713</v>
      </c>
      <c r="AT188" s="4">
        <v>44102</v>
      </c>
      <c r="AU188" s="3" t="s">
        <v>921</v>
      </c>
      <c r="AV188" s="3">
        <v>60</v>
      </c>
      <c r="AW188" s="3" t="s">
        <v>922</v>
      </c>
    </row>
    <row r="189" spans="1:49" x14ac:dyDescent="0.55000000000000004">
      <c r="A189" s="3" t="str">
        <f>HYPERLINK("https://www.infodis.net/philips/net/Shipment/Details?InfodisNumber=4503789&amp;DomainCode=DAP", "4503789")</f>
        <v>4503789</v>
      </c>
      <c r="B189" s="3" t="s">
        <v>932</v>
      </c>
      <c r="C189" s="3" t="s">
        <v>933</v>
      </c>
      <c r="D189" s="3" t="s">
        <v>934</v>
      </c>
      <c r="E189" s="3" t="s">
        <v>304</v>
      </c>
      <c r="F189" s="3" t="s">
        <v>935</v>
      </c>
      <c r="G189" s="3" t="s">
        <v>295</v>
      </c>
      <c r="H189" s="3" t="s">
        <v>296</v>
      </c>
      <c r="I189" s="3" t="s">
        <v>936</v>
      </c>
      <c r="J189" s="3" t="s">
        <v>293</v>
      </c>
      <c r="K189" s="3" t="s">
        <v>937</v>
      </c>
      <c r="L189" s="3" t="s">
        <v>938</v>
      </c>
      <c r="M189" s="3" t="s">
        <v>60</v>
      </c>
      <c r="N189" s="3"/>
      <c r="O189" s="3"/>
      <c r="P189" s="3" t="s">
        <v>300</v>
      </c>
      <c r="Q189" s="3"/>
      <c r="R189" s="3" t="s">
        <v>939</v>
      </c>
      <c r="S189" s="4">
        <v>44076</v>
      </c>
      <c r="T189" s="4">
        <v>44078</v>
      </c>
      <c r="U189" s="4">
        <v>44078</v>
      </c>
      <c r="V189" s="4">
        <v>44084</v>
      </c>
      <c r="W189" s="3"/>
      <c r="X189" s="3"/>
      <c r="Y189" s="3" t="s">
        <v>940</v>
      </c>
      <c r="Z189" s="3" t="s">
        <v>940</v>
      </c>
      <c r="AA189" s="3" t="s">
        <v>66</v>
      </c>
      <c r="AB189" s="3" t="s">
        <v>67</v>
      </c>
      <c r="AC189" s="3" t="s">
        <v>67</v>
      </c>
      <c r="AD189" s="3" t="s">
        <v>68</v>
      </c>
      <c r="AE189" s="3"/>
      <c r="AF189" s="3" t="s">
        <v>70</v>
      </c>
      <c r="AG189" s="3" t="s">
        <v>71</v>
      </c>
      <c r="AH189" s="3" t="s">
        <v>72</v>
      </c>
      <c r="AI189" s="3" t="s">
        <v>73</v>
      </c>
      <c r="AJ189" s="3">
        <v>0</v>
      </c>
      <c r="AK189" s="3">
        <v>0</v>
      </c>
      <c r="AL189" s="3">
        <v>0</v>
      </c>
      <c r="AM189" s="3">
        <v>0</v>
      </c>
      <c r="AN189" s="3">
        <v>2</v>
      </c>
      <c r="AO189" s="3">
        <v>475.70400000000001</v>
      </c>
      <c r="AP189" s="3">
        <v>4.2050000000000001</v>
      </c>
      <c r="AQ189" s="3" t="s">
        <v>713</v>
      </c>
      <c r="AR189" s="3" t="s">
        <v>714</v>
      </c>
      <c r="AS189" s="3" t="s">
        <v>713</v>
      </c>
      <c r="AT189" s="4">
        <v>44118</v>
      </c>
      <c r="AU189" s="3" t="s">
        <v>941</v>
      </c>
      <c r="AV189" s="3">
        <v>44</v>
      </c>
      <c r="AW189" s="3" t="s">
        <v>942</v>
      </c>
    </row>
    <row r="190" spans="1:49" x14ac:dyDescent="0.55000000000000004">
      <c r="A190" s="3" t="str">
        <f>HYPERLINK("https://www.infodis.net/philips/net/Shipment/Details?InfodisNumber=4503790&amp;DomainCode=DAP", "4503790")</f>
        <v>4503790</v>
      </c>
      <c r="B190" s="3" t="s">
        <v>943</v>
      </c>
      <c r="C190" s="3" t="s">
        <v>933</v>
      </c>
      <c r="D190" s="3" t="s">
        <v>934</v>
      </c>
      <c r="E190" s="3" t="s">
        <v>304</v>
      </c>
      <c r="F190" s="3" t="s">
        <v>944</v>
      </c>
      <c r="G190" s="3" t="s">
        <v>295</v>
      </c>
      <c r="H190" s="3" t="s">
        <v>296</v>
      </c>
      <c r="I190" s="3" t="s">
        <v>936</v>
      </c>
      <c r="J190" s="3" t="s">
        <v>293</v>
      </c>
      <c r="K190" s="3" t="s">
        <v>945</v>
      </c>
      <c r="L190" s="3" t="s">
        <v>938</v>
      </c>
      <c r="M190" s="3" t="s">
        <v>60</v>
      </c>
      <c r="N190" s="3"/>
      <c r="O190" s="3"/>
      <c r="P190" s="3" t="s">
        <v>300</v>
      </c>
      <c r="Q190" s="3"/>
      <c r="R190" s="3" t="s">
        <v>946</v>
      </c>
      <c r="S190" s="4">
        <v>44076</v>
      </c>
      <c r="T190" s="4">
        <v>44078</v>
      </c>
      <c r="U190" s="4">
        <v>44078</v>
      </c>
      <c r="V190" s="4">
        <v>44084</v>
      </c>
      <c r="W190" s="3"/>
      <c r="X190" s="3"/>
      <c r="Y190" s="3" t="s">
        <v>940</v>
      </c>
      <c r="Z190" s="3" t="s">
        <v>940</v>
      </c>
      <c r="AA190" s="3" t="s">
        <v>66</v>
      </c>
      <c r="AB190" s="3" t="s">
        <v>67</v>
      </c>
      <c r="AC190" s="3" t="s">
        <v>67</v>
      </c>
      <c r="AD190" s="3" t="s">
        <v>68</v>
      </c>
      <c r="AE190" s="3"/>
      <c r="AF190" s="3" t="s">
        <v>70</v>
      </c>
      <c r="AG190" s="3" t="s">
        <v>71</v>
      </c>
      <c r="AH190" s="3" t="s">
        <v>72</v>
      </c>
      <c r="AI190" s="3" t="s">
        <v>73</v>
      </c>
      <c r="AJ190" s="3">
        <v>0</v>
      </c>
      <c r="AK190" s="3">
        <v>0</v>
      </c>
      <c r="AL190" s="3">
        <v>0</v>
      </c>
      <c r="AM190" s="3">
        <v>0</v>
      </c>
      <c r="AN190" s="3">
        <v>5</v>
      </c>
      <c r="AO190" s="3">
        <v>1220.4359999999999</v>
      </c>
      <c r="AP190" s="3">
        <v>10.512</v>
      </c>
      <c r="AQ190" s="3" t="s">
        <v>713</v>
      </c>
      <c r="AR190" s="3" t="s">
        <v>714</v>
      </c>
      <c r="AS190" s="3" t="s">
        <v>713</v>
      </c>
      <c r="AT190" s="4">
        <v>44118</v>
      </c>
      <c r="AU190" s="3" t="s">
        <v>941</v>
      </c>
      <c r="AV190" s="3">
        <v>44</v>
      </c>
      <c r="AW190" s="3" t="s">
        <v>942</v>
      </c>
    </row>
    <row r="191" spans="1:49" x14ac:dyDescent="0.55000000000000004">
      <c r="A191" s="3" t="str">
        <f>HYPERLINK("https://www.infodis.net/philips/net/Shipment/Details?InfodisNumber=4507076&amp;DomainCode=DAP", "4507076")</f>
        <v>4507076</v>
      </c>
      <c r="B191" s="3" t="s">
        <v>947</v>
      </c>
      <c r="C191" s="3" t="s">
        <v>212</v>
      </c>
      <c r="D191" s="3" t="s">
        <v>213</v>
      </c>
      <c r="E191" s="3" t="s">
        <v>214</v>
      </c>
      <c r="F191" s="3" t="s">
        <v>338</v>
      </c>
      <c r="G191" s="3" t="s">
        <v>216</v>
      </c>
      <c r="H191" s="3" t="s">
        <v>55</v>
      </c>
      <c r="I191" s="3" t="s">
        <v>495</v>
      </c>
      <c r="J191" s="3" t="s">
        <v>339</v>
      </c>
      <c r="K191" s="3" t="s">
        <v>340</v>
      </c>
      <c r="L191" s="3" t="s">
        <v>341</v>
      </c>
      <c r="M191" s="3" t="s">
        <v>60</v>
      </c>
      <c r="N191" s="3" t="s">
        <v>948</v>
      </c>
      <c r="O191" s="3" t="s">
        <v>949</v>
      </c>
      <c r="P191" s="3" t="s">
        <v>222</v>
      </c>
      <c r="Q191" s="3"/>
      <c r="R191" s="3" t="s">
        <v>342</v>
      </c>
      <c r="S191" s="4">
        <v>44078</v>
      </c>
      <c r="T191" s="4">
        <v>44098</v>
      </c>
      <c r="U191" s="4">
        <v>44098</v>
      </c>
      <c r="V191" s="4">
        <v>44102</v>
      </c>
      <c r="W191" s="4">
        <v>44104</v>
      </c>
      <c r="X191" s="4">
        <v>44154</v>
      </c>
      <c r="Y191" s="3" t="s">
        <v>65</v>
      </c>
      <c r="Z191" s="3" t="s">
        <v>65</v>
      </c>
      <c r="AA191" s="3" t="s">
        <v>65</v>
      </c>
      <c r="AB191" s="3" t="s">
        <v>67</v>
      </c>
      <c r="AC191" s="3" t="s">
        <v>67</v>
      </c>
      <c r="AD191" s="3" t="s">
        <v>67</v>
      </c>
      <c r="AE191" s="3" t="s">
        <v>69</v>
      </c>
      <c r="AF191" s="3" t="s">
        <v>70</v>
      </c>
      <c r="AG191" s="3" t="s">
        <v>71</v>
      </c>
      <c r="AH191" s="3" t="s">
        <v>72</v>
      </c>
      <c r="AI191" s="3" t="s">
        <v>73</v>
      </c>
      <c r="AJ191" s="3">
        <v>0</v>
      </c>
      <c r="AK191" s="3">
        <v>0</v>
      </c>
      <c r="AL191" s="3">
        <v>0</v>
      </c>
      <c r="AM191" s="3">
        <v>0</v>
      </c>
      <c r="AN191" s="3">
        <v>22</v>
      </c>
      <c r="AO191" s="3">
        <v>8413</v>
      </c>
      <c r="AP191" s="3">
        <v>42</v>
      </c>
      <c r="AQ191" s="3" t="s">
        <v>713</v>
      </c>
      <c r="AR191" s="3" t="s">
        <v>714</v>
      </c>
      <c r="AS191" s="3" t="s">
        <v>713</v>
      </c>
      <c r="AT191" s="4">
        <v>44102</v>
      </c>
      <c r="AU191" s="3" t="s">
        <v>950</v>
      </c>
      <c r="AV191" s="3">
        <v>60</v>
      </c>
      <c r="AW191" s="3" t="s">
        <v>951</v>
      </c>
    </row>
    <row r="192" spans="1:49" x14ac:dyDescent="0.55000000000000004">
      <c r="A192" s="3" t="str">
        <f>HYPERLINK("https://www.infodis.net/philips/net/Shipment/Details?InfodisNumber=4507077&amp;DomainCode=DAP", "4507077")</f>
        <v>4507077</v>
      </c>
      <c r="B192" s="3" t="s">
        <v>952</v>
      </c>
      <c r="C192" s="3" t="s">
        <v>212</v>
      </c>
      <c r="D192" s="3" t="s">
        <v>213</v>
      </c>
      <c r="E192" s="3" t="s">
        <v>214</v>
      </c>
      <c r="F192" s="3" t="s">
        <v>953</v>
      </c>
      <c r="G192" s="3" t="s">
        <v>216</v>
      </c>
      <c r="H192" s="3" t="s">
        <v>55</v>
      </c>
      <c r="I192" s="3" t="s">
        <v>217</v>
      </c>
      <c r="J192" s="3" t="s">
        <v>770</v>
      </c>
      <c r="K192" s="3" t="s">
        <v>954</v>
      </c>
      <c r="L192" s="3" t="s">
        <v>772</v>
      </c>
      <c r="M192" s="3" t="s">
        <v>60</v>
      </c>
      <c r="N192" s="3" t="s">
        <v>955</v>
      </c>
      <c r="O192" s="3" t="s">
        <v>956</v>
      </c>
      <c r="P192" s="3" t="s">
        <v>222</v>
      </c>
      <c r="Q192" s="3"/>
      <c r="R192" s="3" t="s">
        <v>957</v>
      </c>
      <c r="S192" s="4">
        <v>44078</v>
      </c>
      <c r="T192" s="4">
        <v>44097</v>
      </c>
      <c r="U192" s="4">
        <v>44098</v>
      </c>
      <c r="V192" s="4">
        <v>44103</v>
      </c>
      <c r="W192" s="3"/>
      <c r="X192" s="4">
        <v>44141</v>
      </c>
      <c r="Y192" s="3" t="s">
        <v>65</v>
      </c>
      <c r="Z192" s="3" t="s">
        <v>65</v>
      </c>
      <c r="AA192" s="3" t="s">
        <v>65</v>
      </c>
      <c r="AB192" s="3" t="s">
        <v>67</v>
      </c>
      <c r="AC192" s="3" t="s">
        <v>67</v>
      </c>
      <c r="AD192" s="3" t="s">
        <v>67</v>
      </c>
      <c r="AE192" s="3" t="s">
        <v>162</v>
      </c>
      <c r="AF192" s="3" t="s">
        <v>70</v>
      </c>
      <c r="AG192" s="3" t="s">
        <v>71</v>
      </c>
      <c r="AH192" s="3" t="s">
        <v>72</v>
      </c>
      <c r="AI192" s="3" t="s">
        <v>73</v>
      </c>
      <c r="AJ192" s="3">
        <v>0</v>
      </c>
      <c r="AK192" s="3">
        <v>0</v>
      </c>
      <c r="AL192" s="3">
        <v>0</v>
      </c>
      <c r="AM192" s="3">
        <v>0</v>
      </c>
      <c r="AN192" s="3">
        <v>16</v>
      </c>
      <c r="AO192" s="3">
        <v>1365.7570000000001</v>
      </c>
      <c r="AP192" s="3">
        <v>13.85</v>
      </c>
      <c r="AQ192" s="3" t="s">
        <v>713</v>
      </c>
      <c r="AR192" s="3" t="s">
        <v>714</v>
      </c>
      <c r="AS192" s="3" t="s">
        <v>713</v>
      </c>
      <c r="AT192" s="4">
        <v>44102</v>
      </c>
      <c r="AU192" s="3" t="s">
        <v>950</v>
      </c>
      <c r="AV192" s="3">
        <v>60</v>
      </c>
      <c r="AW192" s="3" t="s">
        <v>951</v>
      </c>
    </row>
    <row r="193" spans="1:49" x14ac:dyDescent="0.55000000000000004">
      <c r="A193" s="3" t="str">
        <f>HYPERLINK("https://www.infodis.net/philips/net/Shipment/Details?InfodisNumber=4512636&amp;DomainCode=DAP", "4512636")</f>
        <v>4512636</v>
      </c>
      <c r="B193" s="3" t="s">
        <v>958</v>
      </c>
      <c r="C193" s="3" t="s">
        <v>302</v>
      </c>
      <c r="D193" s="3" t="s">
        <v>303</v>
      </c>
      <c r="E193" s="3" t="s">
        <v>304</v>
      </c>
      <c r="F193" s="3" t="s">
        <v>228</v>
      </c>
      <c r="G193" s="3" t="s">
        <v>306</v>
      </c>
      <c r="H193" s="3" t="s">
        <v>307</v>
      </c>
      <c r="I193" s="3" t="s">
        <v>283</v>
      </c>
      <c r="J193" s="3" t="s">
        <v>487</v>
      </c>
      <c r="K193" s="3" t="s">
        <v>708</v>
      </c>
      <c r="L193" s="3" t="s">
        <v>709</v>
      </c>
      <c r="M193" s="3" t="s">
        <v>60</v>
      </c>
      <c r="N193" s="3" t="s">
        <v>959</v>
      </c>
      <c r="O193" s="3" t="s">
        <v>960</v>
      </c>
      <c r="P193" s="3" t="s">
        <v>312</v>
      </c>
      <c r="Q193" s="3"/>
      <c r="R193" s="3" t="s">
        <v>712</v>
      </c>
      <c r="S193" s="4">
        <v>44088</v>
      </c>
      <c r="T193" s="4">
        <v>44092</v>
      </c>
      <c r="U193" s="3"/>
      <c r="V193" s="4">
        <v>44098</v>
      </c>
      <c r="W193" s="4">
        <v>44098</v>
      </c>
      <c r="X193" s="4">
        <v>44135</v>
      </c>
      <c r="Y193" s="3" t="s">
        <v>273</v>
      </c>
      <c r="Z193" s="3" t="s">
        <v>273</v>
      </c>
      <c r="AA193" s="3" t="s">
        <v>66</v>
      </c>
      <c r="AB193" s="3" t="s">
        <v>67</v>
      </c>
      <c r="AC193" s="3" t="s">
        <v>67</v>
      </c>
      <c r="AD193" s="3" t="s">
        <v>68</v>
      </c>
      <c r="AE193" s="3" t="s">
        <v>90</v>
      </c>
      <c r="AF193" s="3" t="s">
        <v>70</v>
      </c>
      <c r="AG193" s="3" t="s">
        <v>71</v>
      </c>
      <c r="AH193" s="3" t="s">
        <v>72</v>
      </c>
      <c r="AI193" s="3" t="s">
        <v>73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2338.942</v>
      </c>
      <c r="AP193" s="3">
        <v>21.559000000000001</v>
      </c>
      <c r="AQ193" s="3" t="s">
        <v>713</v>
      </c>
      <c r="AR193" s="3" t="s">
        <v>714</v>
      </c>
      <c r="AS193" s="3" t="s">
        <v>713</v>
      </c>
      <c r="AT193" s="4">
        <v>44102</v>
      </c>
      <c r="AU193" s="3" t="s">
        <v>961</v>
      </c>
      <c r="AV193" s="3">
        <v>60</v>
      </c>
      <c r="AW193" s="3" t="s">
        <v>962</v>
      </c>
    </row>
    <row r="194" spans="1:49" x14ac:dyDescent="0.55000000000000004">
      <c r="A194" s="3" t="str">
        <f>HYPERLINK("https://www.infodis.net/philips/net/Shipment/Details?InfodisNumber=4529351&amp;DomainCode=DAP", "4529351")</f>
        <v>4529351</v>
      </c>
      <c r="B194" s="3" t="s">
        <v>963</v>
      </c>
      <c r="C194" s="3" t="s">
        <v>964</v>
      </c>
      <c r="D194" s="3" t="s">
        <v>965</v>
      </c>
      <c r="E194" s="3" t="s">
        <v>964</v>
      </c>
      <c r="F194" s="3" t="s">
        <v>214</v>
      </c>
      <c r="G194" s="3" t="s">
        <v>354</v>
      </c>
      <c r="H194" s="3" t="s">
        <v>79</v>
      </c>
      <c r="I194" s="3" t="s">
        <v>122</v>
      </c>
      <c r="J194" s="3" t="s">
        <v>495</v>
      </c>
      <c r="K194" s="3" t="s">
        <v>216</v>
      </c>
      <c r="L194" s="3" t="s">
        <v>55</v>
      </c>
      <c r="M194" s="3" t="s">
        <v>84</v>
      </c>
      <c r="N194" s="3"/>
      <c r="O194" s="3"/>
      <c r="P194" s="3" t="s">
        <v>966</v>
      </c>
      <c r="Q194" s="3"/>
      <c r="R194" s="3" t="s">
        <v>496</v>
      </c>
      <c r="S194" s="4">
        <v>44111</v>
      </c>
      <c r="T194" s="4">
        <v>44120</v>
      </c>
      <c r="U194" s="3"/>
      <c r="V194" s="4">
        <v>44125</v>
      </c>
      <c r="W194" s="3"/>
      <c r="X194" s="3"/>
      <c r="Y194" s="3" t="s">
        <v>88</v>
      </c>
      <c r="Z194" s="3" t="s">
        <v>65</v>
      </c>
      <c r="AA194" s="3" t="s">
        <v>65</v>
      </c>
      <c r="AB194" s="3" t="s">
        <v>67</v>
      </c>
      <c r="AC194" s="3" t="s">
        <v>67</v>
      </c>
      <c r="AD194" s="3" t="s">
        <v>67</v>
      </c>
      <c r="AE194" s="3" t="s">
        <v>162</v>
      </c>
      <c r="AF194" s="3" t="s">
        <v>70</v>
      </c>
      <c r="AG194" s="3" t="s">
        <v>71</v>
      </c>
      <c r="AH194" s="3" t="s">
        <v>72</v>
      </c>
      <c r="AI194" s="3" t="s">
        <v>73</v>
      </c>
      <c r="AJ194" s="3">
        <v>0</v>
      </c>
      <c r="AK194" s="3">
        <v>0</v>
      </c>
      <c r="AL194" s="3">
        <v>0</v>
      </c>
      <c r="AM194" s="3">
        <v>0</v>
      </c>
      <c r="AN194" s="3">
        <v>10</v>
      </c>
      <c r="AO194" s="3">
        <v>758.8</v>
      </c>
      <c r="AP194" s="3">
        <v>12.86</v>
      </c>
      <c r="AQ194" s="3" t="s">
        <v>713</v>
      </c>
      <c r="AR194" s="3" t="s">
        <v>714</v>
      </c>
      <c r="AS194" s="3" t="s">
        <v>713</v>
      </c>
      <c r="AT194" s="4">
        <v>44122</v>
      </c>
      <c r="AU194" s="3" t="s">
        <v>967</v>
      </c>
      <c r="AV194" s="3">
        <v>40</v>
      </c>
      <c r="AW194" s="3" t="s">
        <v>968</v>
      </c>
    </row>
    <row r="195" spans="1:49" x14ac:dyDescent="0.55000000000000004">
      <c r="A195" s="3" t="str">
        <f>HYPERLINK("https://www.infodis.net/philips/net/Shipment/Details?InfodisNumber=4516889&amp;DomainCode=DAP", "4516889")</f>
        <v>4516889</v>
      </c>
      <c r="B195" s="3" t="s">
        <v>969</v>
      </c>
      <c r="C195" s="3" t="s">
        <v>302</v>
      </c>
      <c r="D195" s="3" t="s">
        <v>303</v>
      </c>
      <c r="E195" s="3" t="s">
        <v>304</v>
      </c>
      <c r="F195" s="3" t="s">
        <v>305</v>
      </c>
      <c r="G195" s="3" t="s">
        <v>306</v>
      </c>
      <c r="H195" s="3" t="s">
        <v>307</v>
      </c>
      <c r="I195" s="3" t="s">
        <v>245</v>
      </c>
      <c r="J195" s="3" t="s">
        <v>218</v>
      </c>
      <c r="K195" s="3" t="s">
        <v>219</v>
      </c>
      <c r="L195" s="3" t="s">
        <v>180</v>
      </c>
      <c r="M195" s="3" t="s">
        <v>60</v>
      </c>
      <c r="N195" s="3" t="s">
        <v>970</v>
      </c>
      <c r="O195" s="3" t="s">
        <v>971</v>
      </c>
      <c r="P195" s="3" t="s">
        <v>312</v>
      </c>
      <c r="Q195" s="3"/>
      <c r="R195" s="3" t="s">
        <v>223</v>
      </c>
      <c r="S195" s="4">
        <v>44092</v>
      </c>
      <c r="T195" s="4">
        <v>44103</v>
      </c>
      <c r="U195" s="4">
        <v>44098</v>
      </c>
      <c r="V195" s="4">
        <v>44110</v>
      </c>
      <c r="W195" s="4">
        <v>44113</v>
      </c>
      <c r="X195" s="3"/>
      <c r="Y195" s="3" t="s">
        <v>65</v>
      </c>
      <c r="Z195" s="3" t="s">
        <v>65</v>
      </c>
      <c r="AA195" s="3" t="s">
        <v>198</v>
      </c>
      <c r="AB195" s="3" t="s">
        <v>67</v>
      </c>
      <c r="AC195" s="3" t="s">
        <v>67</v>
      </c>
      <c r="AD195" s="3" t="s">
        <v>67</v>
      </c>
      <c r="AE195" s="3" t="s">
        <v>90</v>
      </c>
      <c r="AF195" s="3" t="s">
        <v>70</v>
      </c>
      <c r="AG195" s="3" t="s">
        <v>71</v>
      </c>
      <c r="AH195" s="3" t="s">
        <v>199</v>
      </c>
      <c r="AI195" s="3" t="s">
        <v>73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4050.8359999999998</v>
      </c>
      <c r="AP195" s="3">
        <v>38.015999999999998</v>
      </c>
      <c r="AQ195" s="3" t="s">
        <v>713</v>
      </c>
      <c r="AR195" s="3" t="s">
        <v>714</v>
      </c>
      <c r="AS195" s="3" t="s">
        <v>713</v>
      </c>
      <c r="AT195" s="4">
        <v>44103</v>
      </c>
      <c r="AU195" s="3" t="s">
        <v>720</v>
      </c>
      <c r="AV195" s="3">
        <v>59</v>
      </c>
      <c r="AW195" s="3" t="s">
        <v>721</v>
      </c>
    </row>
    <row r="196" spans="1:49" x14ac:dyDescent="0.55000000000000004">
      <c r="A196" s="3" t="str">
        <f>HYPERLINK("https://www.infodis.net/philips/net/Shipment/Details?InfodisNumber=4516927&amp;DomainCode=DAP", "4516927")</f>
        <v>4516927</v>
      </c>
      <c r="B196" s="3" t="s">
        <v>972</v>
      </c>
      <c r="C196" s="3" t="s">
        <v>302</v>
      </c>
      <c r="D196" s="3" t="s">
        <v>303</v>
      </c>
      <c r="E196" s="3" t="s">
        <v>304</v>
      </c>
      <c r="F196" s="3" t="s">
        <v>305</v>
      </c>
      <c r="G196" s="3" t="s">
        <v>306</v>
      </c>
      <c r="H196" s="3" t="s">
        <v>307</v>
      </c>
      <c r="I196" s="3" t="s">
        <v>245</v>
      </c>
      <c r="J196" s="3" t="s">
        <v>218</v>
      </c>
      <c r="K196" s="3" t="s">
        <v>269</v>
      </c>
      <c r="L196" s="3" t="s">
        <v>180</v>
      </c>
      <c r="M196" s="3" t="s">
        <v>60</v>
      </c>
      <c r="N196" s="3" t="s">
        <v>973</v>
      </c>
      <c r="O196" s="3" t="s">
        <v>974</v>
      </c>
      <c r="P196" s="3" t="s">
        <v>312</v>
      </c>
      <c r="Q196" s="3"/>
      <c r="R196" s="3" t="s">
        <v>271</v>
      </c>
      <c r="S196" s="4">
        <v>44092</v>
      </c>
      <c r="T196" s="4">
        <v>44103</v>
      </c>
      <c r="U196" s="4">
        <v>44098</v>
      </c>
      <c r="V196" s="4">
        <v>44110</v>
      </c>
      <c r="W196" s="4">
        <v>44113</v>
      </c>
      <c r="X196" s="3"/>
      <c r="Y196" s="3" t="s">
        <v>65</v>
      </c>
      <c r="Z196" s="3" t="s">
        <v>65</v>
      </c>
      <c r="AA196" s="3" t="s">
        <v>198</v>
      </c>
      <c r="AB196" s="3" t="s">
        <v>67</v>
      </c>
      <c r="AC196" s="3" t="s">
        <v>67</v>
      </c>
      <c r="AD196" s="3" t="s">
        <v>67</v>
      </c>
      <c r="AE196" s="3" t="s">
        <v>90</v>
      </c>
      <c r="AF196" s="3" t="s">
        <v>70</v>
      </c>
      <c r="AG196" s="3" t="s">
        <v>71</v>
      </c>
      <c r="AH196" s="3" t="s">
        <v>199</v>
      </c>
      <c r="AI196" s="3" t="s">
        <v>73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4090.7890000000002</v>
      </c>
      <c r="AP196" s="3">
        <v>41.784999999999997</v>
      </c>
      <c r="AQ196" s="3" t="s">
        <v>713</v>
      </c>
      <c r="AR196" s="3" t="s">
        <v>714</v>
      </c>
      <c r="AS196" s="3" t="s">
        <v>713</v>
      </c>
      <c r="AT196" s="4">
        <v>44103</v>
      </c>
      <c r="AU196" s="3" t="s">
        <v>720</v>
      </c>
      <c r="AV196" s="3">
        <v>59</v>
      </c>
      <c r="AW196" s="3" t="s">
        <v>721</v>
      </c>
    </row>
    <row r="197" spans="1:49" x14ac:dyDescent="0.55000000000000004">
      <c r="A197" s="3" t="str">
        <f>HYPERLINK("https://www.infodis.net/philips/net/Shipment/Details?InfodisNumber=6811232&amp;DomainCode=PHILIPSR1", "6811232")</f>
        <v>6811232</v>
      </c>
      <c r="B197" s="3" t="s">
        <v>975</v>
      </c>
      <c r="C197" s="3" t="s">
        <v>912</v>
      </c>
      <c r="D197" s="3" t="s">
        <v>913</v>
      </c>
      <c r="E197" s="3" t="s">
        <v>914</v>
      </c>
      <c r="F197" s="3" t="s">
        <v>915</v>
      </c>
      <c r="G197" s="3" t="s">
        <v>247</v>
      </c>
      <c r="H197" s="3" t="s">
        <v>180</v>
      </c>
      <c r="I197" s="3" t="s">
        <v>246</v>
      </c>
      <c r="J197" s="3" t="s">
        <v>917</v>
      </c>
      <c r="K197" s="3" t="s">
        <v>918</v>
      </c>
      <c r="L197" s="3" t="s">
        <v>881</v>
      </c>
      <c r="M197" s="3" t="s">
        <v>60</v>
      </c>
      <c r="N197" s="3" t="s">
        <v>976</v>
      </c>
      <c r="O197" s="3"/>
      <c r="P197" s="3" t="s">
        <v>251</v>
      </c>
      <c r="Q197" s="3"/>
      <c r="R197" s="3" t="s">
        <v>888</v>
      </c>
      <c r="S197" s="4">
        <v>44092</v>
      </c>
      <c r="T197" s="4">
        <v>44095</v>
      </c>
      <c r="U197" s="4">
        <v>44098</v>
      </c>
      <c r="V197" s="4">
        <v>44106</v>
      </c>
      <c r="W197" s="4">
        <v>44111</v>
      </c>
      <c r="X197" s="4">
        <v>44147</v>
      </c>
      <c r="Y197" s="3" t="s">
        <v>467</v>
      </c>
      <c r="Z197" s="3" t="s">
        <v>467</v>
      </c>
      <c r="AA197" s="3" t="s">
        <v>467</v>
      </c>
      <c r="AB197" s="3" t="s">
        <v>67</v>
      </c>
      <c r="AC197" s="3" t="s">
        <v>67</v>
      </c>
      <c r="AD197" s="3" t="s">
        <v>67</v>
      </c>
      <c r="AE197" s="3" t="s">
        <v>69</v>
      </c>
      <c r="AF197" s="3" t="s">
        <v>70</v>
      </c>
      <c r="AG197" s="3" t="s">
        <v>71</v>
      </c>
      <c r="AH197" s="3" t="s">
        <v>72</v>
      </c>
      <c r="AI197" s="3" t="s">
        <v>252</v>
      </c>
      <c r="AJ197" s="3">
        <v>0</v>
      </c>
      <c r="AK197" s="3">
        <v>0</v>
      </c>
      <c r="AL197" s="3">
        <v>0</v>
      </c>
      <c r="AM197" s="3">
        <v>0</v>
      </c>
      <c r="AN197" s="3">
        <v>20</v>
      </c>
      <c r="AO197" s="3">
        <v>3039.07</v>
      </c>
      <c r="AP197" s="3">
        <v>32.875999999999998</v>
      </c>
      <c r="AQ197" s="3" t="s">
        <v>713</v>
      </c>
      <c r="AR197" s="3" t="s">
        <v>714</v>
      </c>
      <c r="AS197" s="3" t="s">
        <v>713</v>
      </c>
      <c r="AT197" s="4">
        <v>44102</v>
      </c>
      <c r="AU197" s="3" t="s">
        <v>921</v>
      </c>
      <c r="AV197" s="3">
        <v>60</v>
      </c>
      <c r="AW197" s="3" t="s">
        <v>922</v>
      </c>
    </row>
    <row r="198" spans="1:49" x14ac:dyDescent="0.55000000000000004">
      <c r="A198" s="3" t="str">
        <f>HYPERLINK("https://www.infodis.net/philips/net/Shipment/Details?InfodisNumber=4519397&amp;DomainCode=DAP", "4519397")</f>
        <v>4519397</v>
      </c>
      <c r="B198" s="3" t="s">
        <v>977</v>
      </c>
      <c r="C198" s="3" t="s">
        <v>431</v>
      </c>
      <c r="D198" s="3" t="s">
        <v>432</v>
      </c>
      <c r="E198" s="3" t="s">
        <v>94</v>
      </c>
      <c r="F198" s="3" t="s">
        <v>291</v>
      </c>
      <c r="G198" s="3" t="s">
        <v>433</v>
      </c>
      <c r="H198" s="3" t="s">
        <v>79</v>
      </c>
      <c r="I198" s="3" t="s">
        <v>978</v>
      </c>
      <c r="J198" s="3" t="s">
        <v>294</v>
      </c>
      <c r="K198" s="3" t="s">
        <v>295</v>
      </c>
      <c r="L198" s="3" t="s">
        <v>296</v>
      </c>
      <c r="M198" s="3" t="s">
        <v>84</v>
      </c>
      <c r="N198" s="3"/>
      <c r="O198" s="3" t="s">
        <v>979</v>
      </c>
      <c r="P198" s="3" t="s">
        <v>436</v>
      </c>
      <c r="Q198" s="3"/>
      <c r="R198" s="3" t="s">
        <v>300</v>
      </c>
      <c r="S198" s="4">
        <v>44096</v>
      </c>
      <c r="T198" s="4">
        <v>44097</v>
      </c>
      <c r="U198" s="4">
        <v>44097</v>
      </c>
      <c r="V198" s="4">
        <v>44102</v>
      </c>
      <c r="W198" s="4">
        <v>44099</v>
      </c>
      <c r="X198" s="4">
        <v>44134</v>
      </c>
      <c r="Y198" s="3" t="s">
        <v>89</v>
      </c>
      <c r="Z198" s="3" t="s">
        <v>273</v>
      </c>
      <c r="AA198" s="3" t="s">
        <v>273</v>
      </c>
      <c r="AB198" s="3" t="s">
        <v>67</v>
      </c>
      <c r="AC198" s="3" t="s">
        <v>67</v>
      </c>
      <c r="AD198" s="3" t="s">
        <v>67</v>
      </c>
      <c r="AE198" s="3" t="s">
        <v>567</v>
      </c>
      <c r="AF198" s="3" t="s">
        <v>70</v>
      </c>
      <c r="AG198" s="3" t="s">
        <v>71</v>
      </c>
      <c r="AH198" s="3" t="s">
        <v>72</v>
      </c>
      <c r="AI198" s="3" t="s">
        <v>73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14334.9</v>
      </c>
      <c r="AP198" s="3">
        <v>62.290999999999997</v>
      </c>
      <c r="AQ198" s="3" t="s">
        <v>713</v>
      </c>
      <c r="AR198" s="3" t="s">
        <v>714</v>
      </c>
      <c r="AS198" s="3" t="s">
        <v>713</v>
      </c>
      <c r="AT198" s="4">
        <v>44099</v>
      </c>
      <c r="AU198" s="3" t="s">
        <v>980</v>
      </c>
      <c r="AV198" s="3">
        <v>63</v>
      </c>
      <c r="AW198" s="3" t="s">
        <v>981</v>
      </c>
    </row>
    <row r="199" spans="1:49" x14ac:dyDescent="0.55000000000000004">
      <c r="A199" s="3" t="str">
        <f>HYPERLINK("https://www.infodis.net/philips/net/Shipment/Details?InfodisNumber=6821105&amp;DomainCode=PHILIPSR1", "6821105")</f>
        <v>6821105</v>
      </c>
      <c r="B199" s="3" t="s">
        <v>982</v>
      </c>
      <c r="C199" s="3" t="s">
        <v>912</v>
      </c>
      <c r="D199" s="3" t="s">
        <v>913</v>
      </c>
      <c r="E199" s="3" t="s">
        <v>914</v>
      </c>
      <c r="F199" s="3" t="s">
        <v>915</v>
      </c>
      <c r="G199" s="3" t="s">
        <v>247</v>
      </c>
      <c r="H199" s="3" t="s">
        <v>180</v>
      </c>
      <c r="I199" s="3" t="s">
        <v>246</v>
      </c>
      <c r="J199" s="3" t="s">
        <v>917</v>
      </c>
      <c r="K199" s="3" t="s">
        <v>918</v>
      </c>
      <c r="L199" s="3" t="s">
        <v>881</v>
      </c>
      <c r="M199" s="3" t="s">
        <v>60</v>
      </c>
      <c r="N199" s="3" t="s">
        <v>983</v>
      </c>
      <c r="O199" s="3"/>
      <c r="P199" s="3" t="s">
        <v>251</v>
      </c>
      <c r="Q199" s="3"/>
      <c r="R199" s="3" t="s">
        <v>888</v>
      </c>
      <c r="S199" s="4">
        <v>44096</v>
      </c>
      <c r="T199" s="4">
        <v>44097</v>
      </c>
      <c r="U199" s="4">
        <v>44098</v>
      </c>
      <c r="V199" s="4">
        <v>44106</v>
      </c>
      <c r="W199" s="4">
        <v>44111</v>
      </c>
      <c r="X199" s="4">
        <v>44147</v>
      </c>
      <c r="Y199" s="3" t="s">
        <v>467</v>
      </c>
      <c r="Z199" s="3" t="s">
        <v>467</v>
      </c>
      <c r="AA199" s="3" t="s">
        <v>467</v>
      </c>
      <c r="AB199" s="3" t="s">
        <v>67</v>
      </c>
      <c r="AC199" s="3" t="s">
        <v>67</v>
      </c>
      <c r="AD199" s="3" t="s">
        <v>67</v>
      </c>
      <c r="AE199" s="3" t="s">
        <v>69</v>
      </c>
      <c r="AF199" s="3" t="s">
        <v>70</v>
      </c>
      <c r="AG199" s="3" t="s">
        <v>71</v>
      </c>
      <c r="AH199" s="3" t="s">
        <v>72</v>
      </c>
      <c r="AI199" s="3" t="s">
        <v>252</v>
      </c>
      <c r="AJ199" s="3">
        <v>0</v>
      </c>
      <c r="AK199" s="3">
        <v>0</v>
      </c>
      <c r="AL199" s="3">
        <v>0</v>
      </c>
      <c r="AM199" s="3">
        <v>0</v>
      </c>
      <c r="AN199" s="3">
        <v>18</v>
      </c>
      <c r="AO199" s="3">
        <v>3900.89</v>
      </c>
      <c r="AP199" s="3">
        <v>186.89099999999999</v>
      </c>
      <c r="AQ199" s="3" t="s">
        <v>713</v>
      </c>
      <c r="AR199" s="3" t="s">
        <v>714</v>
      </c>
      <c r="AS199" s="3" t="s">
        <v>713</v>
      </c>
      <c r="AT199" s="4">
        <v>44102</v>
      </c>
      <c r="AU199" s="3" t="s">
        <v>921</v>
      </c>
      <c r="AV199" s="3">
        <v>60</v>
      </c>
      <c r="AW199" s="3" t="s">
        <v>922</v>
      </c>
    </row>
    <row r="200" spans="1:49" x14ac:dyDescent="0.55000000000000004">
      <c r="A200" s="3" t="str">
        <f>HYPERLINK("https://www.infodis.net/philips/net/Shipment/Details?InfodisNumber=6763331&amp;DomainCode=PHILIPSR1", "6763331")</f>
        <v>6763331</v>
      </c>
      <c r="B200" s="3" t="s">
        <v>984</v>
      </c>
      <c r="C200" s="3" t="s">
        <v>912</v>
      </c>
      <c r="D200" s="3" t="s">
        <v>913</v>
      </c>
      <c r="E200" s="3" t="s">
        <v>914</v>
      </c>
      <c r="F200" s="3" t="s">
        <v>915</v>
      </c>
      <c r="G200" s="3" t="s">
        <v>916</v>
      </c>
      <c r="H200" s="3" t="s">
        <v>180</v>
      </c>
      <c r="I200" s="3" t="s">
        <v>246</v>
      </c>
      <c r="J200" s="3" t="s">
        <v>917</v>
      </c>
      <c r="K200" s="3" t="s">
        <v>918</v>
      </c>
      <c r="L200" s="3" t="s">
        <v>881</v>
      </c>
      <c r="M200" s="3" t="s">
        <v>60</v>
      </c>
      <c r="N200" s="3" t="s">
        <v>985</v>
      </c>
      <c r="O200" s="3"/>
      <c r="P200" s="3" t="s">
        <v>920</v>
      </c>
      <c r="Q200" s="3"/>
      <c r="R200" s="3" t="s">
        <v>888</v>
      </c>
      <c r="S200" s="4">
        <v>44075</v>
      </c>
      <c r="T200" s="4">
        <v>44081</v>
      </c>
      <c r="U200" s="4">
        <v>44084</v>
      </c>
      <c r="V200" s="4">
        <v>44089</v>
      </c>
      <c r="W200" s="4">
        <v>44090</v>
      </c>
      <c r="X200" s="4">
        <v>44131</v>
      </c>
      <c r="Y200" s="3" t="s">
        <v>467</v>
      </c>
      <c r="Z200" s="3" t="s">
        <v>467</v>
      </c>
      <c r="AA200" s="3" t="s">
        <v>467</v>
      </c>
      <c r="AB200" s="3" t="s">
        <v>67</v>
      </c>
      <c r="AC200" s="3" t="s">
        <v>67</v>
      </c>
      <c r="AD200" s="3" t="s">
        <v>67</v>
      </c>
      <c r="AE200" s="3" t="s">
        <v>69</v>
      </c>
      <c r="AF200" s="3" t="s">
        <v>70</v>
      </c>
      <c r="AG200" s="3" t="s">
        <v>71</v>
      </c>
      <c r="AH200" s="3" t="s">
        <v>72</v>
      </c>
      <c r="AI200" s="3" t="s">
        <v>252</v>
      </c>
      <c r="AJ200" s="3">
        <v>0</v>
      </c>
      <c r="AK200" s="3">
        <v>0</v>
      </c>
      <c r="AL200" s="3">
        <v>0</v>
      </c>
      <c r="AM200" s="3">
        <v>0</v>
      </c>
      <c r="AN200" s="3">
        <v>24</v>
      </c>
      <c r="AO200" s="3">
        <v>7883.44</v>
      </c>
      <c r="AP200" s="3">
        <v>7176.6239999999998</v>
      </c>
      <c r="AQ200" s="3" t="s">
        <v>713</v>
      </c>
      <c r="AR200" s="3" t="s">
        <v>714</v>
      </c>
      <c r="AS200" s="3" t="s">
        <v>713</v>
      </c>
      <c r="AT200" s="4">
        <v>44102</v>
      </c>
      <c r="AU200" s="3" t="s">
        <v>921</v>
      </c>
      <c r="AV200" s="3">
        <v>60</v>
      </c>
      <c r="AW200" s="3" t="s">
        <v>922</v>
      </c>
    </row>
    <row r="201" spans="1:49" x14ac:dyDescent="0.55000000000000004">
      <c r="A201" s="3" t="str">
        <f>HYPERLINK("https://www.infodis.net/philips/net/Shipment/Details?InfodisNumber=4511311&amp;DomainCode=DAP", "4511311")</f>
        <v>4511311</v>
      </c>
      <c r="B201" s="3" t="s">
        <v>986</v>
      </c>
      <c r="C201" s="3" t="s">
        <v>189</v>
      </c>
      <c r="D201" s="3" t="s">
        <v>190</v>
      </c>
      <c r="E201" s="3" t="s">
        <v>191</v>
      </c>
      <c r="F201" s="3" t="s">
        <v>191</v>
      </c>
      <c r="G201" s="3" t="s">
        <v>192</v>
      </c>
      <c r="H201" s="3" t="s">
        <v>79</v>
      </c>
      <c r="I201" s="3" t="s">
        <v>193</v>
      </c>
      <c r="J201" s="3" t="s">
        <v>194</v>
      </c>
      <c r="K201" s="3" t="s">
        <v>269</v>
      </c>
      <c r="L201" s="3" t="s">
        <v>180</v>
      </c>
      <c r="M201" s="3" t="s">
        <v>84</v>
      </c>
      <c r="N201" s="3" t="s">
        <v>987</v>
      </c>
      <c r="O201" s="3" t="s">
        <v>988</v>
      </c>
      <c r="P201" s="3" t="s">
        <v>196</v>
      </c>
      <c r="Q201" s="3"/>
      <c r="R201" s="3" t="s">
        <v>271</v>
      </c>
      <c r="S201" s="4">
        <v>44085</v>
      </c>
      <c r="T201" s="4">
        <v>44134</v>
      </c>
      <c r="U201" s="3"/>
      <c r="V201" s="4">
        <v>44137</v>
      </c>
      <c r="W201" s="4">
        <v>44137</v>
      </c>
      <c r="X201" s="3"/>
      <c r="Y201" s="3" t="s">
        <v>66</v>
      </c>
      <c r="Z201" s="3" t="s">
        <v>65</v>
      </c>
      <c r="AA201" s="3" t="s">
        <v>198</v>
      </c>
      <c r="AB201" s="3" t="s">
        <v>68</v>
      </c>
      <c r="AC201" s="3" t="s">
        <v>67</v>
      </c>
      <c r="AD201" s="3" t="s">
        <v>67</v>
      </c>
      <c r="AE201" s="3" t="s">
        <v>69</v>
      </c>
      <c r="AF201" s="3" t="s">
        <v>70</v>
      </c>
      <c r="AG201" s="3" t="s">
        <v>71</v>
      </c>
      <c r="AH201" s="3" t="s">
        <v>72</v>
      </c>
      <c r="AI201" s="3" t="s">
        <v>73</v>
      </c>
      <c r="AJ201" s="3">
        <v>0</v>
      </c>
      <c r="AK201" s="3">
        <v>0</v>
      </c>
      <c r="AL201" s="3">
        <v>0</v>
      </c>
      <c r="AM201" s="3">
        <v>0</v>
      </c>
      <c r="AN201" s="3">
        <v>17</v>
      </c>
      <c r="AO201" s="3">
        <v>2873</v>
      </c>
      <c r="AP201" s="3">
        <v>45.4</v>
      </c>
      <c r="AQ201" s="3" t="s">
        <v>713</v>
      </c>
      <c r="AR201" s="3" t="s">
        <v>714</v>
      </c>
      <c r="AS201" s="3" t="s">
        <v>713</v>
      </c>
      <c r="AT201" s="4">
        <v>44102</v>
      </c>
      <c r="AU201" s="3" t="s">
        <v>834</v>
      </c>
      <c r="AV201" s="3">
        <v>60</v>
      </c>
      <c r="AW201" s="3" t="s">
        <v>835</v>
      </c>
    </row>
    <row r="202" spans="1:49" x14ac:dyDescent="0.55000000000000004">
      <c r="A202" s="3" t="str">
        <f>HYPERLINK("https://www.infodis.net/philips/net/Shipment/Details?InfodisNumber=4537369&amp;DomainCode=DAP", "4537369")</f>
        <v>4537369</v>
      </c>
      <c r="B202" s="3" t="s">
        <v>989</v>
      </c>
      <c r="C202" s="3" t="s">
        <v>92</v>
      </c>
      <c r="D202" s="3" t="s">
        <v>93</v>
      </c>
      <c r="E202" s="3" t="s">
        <v>94</v>
      </c>
      <c r="F202" s="3" t="s">
        <v>95</v>
      </c>
      <c r="G202" s="3" t="s">
        <v>96</v>
      </c>
      <c r="H202" s="3" t="s">
        <v>79</v>
      </c>
      <c r="I202" s="3" t="s">
        <v>97</v>
      </c>
      <c r="J202" s="3" t="s">
        <v>98</v>
      </c>
      <c r="K202" s="3" t="s">
        <v>99</v>
      </c>
      <c r="L202" s="3" t="s">
        <v>100</v>
      </c>
      <c r="M202" s="3" t="s">
        <v>60</v>
      </c>
      <c r="N202" s="3" t="s">
        <v>990</v>
      </c>
      <c r="O202" s="3" t="s">
        <v>991</v>
      </c>
      <c r="P202" s="3" t="s">
        <v>103</v>
      </c>
      <c r="Q202" s="3"/>
      <c r="R202" s="3" t="s">
        <v>104</v>
      </c>
      <c r="S202" s="4">
        <v>44123</v>
      </c>
      <c r="T202" s="4">
        <v>44155</v>
      </c>
      <c r="U202" s="4">
        <v>44125</v>
      </c>
      <c r="V202" s="4">
        <v>44129</v>
      </c>
      <c r="W202" s="3"/>
      <c r="X202" s="3"/>
      <c r="Y202" s="3" t="s">
        <v>89</v>
      </c>
      <c r="Z202" s="3" t="s">
        <v>105</v>
      </c>
      <c r="AA202" s="3" t="s">
        <v>106</v>
      </c>
      <c r="AB202" s="3" t="s">
        <v>67</v>
      </c>
      <c r="AC202" s="3" t="s">
        <v>67</v>
      </c>
      <c r="AD202" s="3" t="s">
        <v>67</v>
      </c>
      <c r="AE202" s="3" t="s">
        <v>90</v>
      </c>
      <c r="AF202" s="3" t="s">
        <v>70</v>
      </c>
      <c r="AG202" s="3" t="s">
        <v>71</v>
      </c>
      <c r="AH202" s="3" t="s">
        <v>72</v>
      </c>
      <c r="AI202" s="3" t="s">
        <v>73</v>
      </c>
      <c r="AJ202" s="3">
        <v>0</v>
      </c>
      <c r="AK202" s="3">
        <v>0</v>
      </c>
      <c r="AL202" s="3">
        <v>0</v>
      </c>
      <c r="AM202" s="3">
        <v>0</v>
      </c>
      <c r="AN202" s="3">
        <v>20</v>
      </c>
      <c r="AO202" s="3">
        <v>3532.52</v>
      </c>
      <c r="AP202" s="3">
        <v>35.466999999999999</v>
      </c>
      <c r="AQ202" s="3" t="s">
        <v>713</v>
      </c>
      <c r="AR202" s="3" t="s">
        <v>714</v>
      </c>
      <c r="AS202" s="3" t="s">
        <v>713</v>
      </c>
      <c r="AT202" s="4">
        <v>44124</v>
      </c>
      <c r="AU202" s="3" t="s">
        <v>725</v>
      </c>
      <c r="AV202" s="3">
        <v>38</v>
      </c>
      <c r="AW202" s="3" t="s">
        <v>726</v>
      </c>
    </row>
    <row r="203" spans="1:49" x14ac:dyDescent="0.55000000000000004">
      <c r="A203" s="3" t="str">
        <f>HYPERLINK("https://www.infodis.net/philips/net/Shipment/Details?InfodisNumber=6938896&amp;DomainCode=PHILIPSR1", "6938896")</f>
        <v>6938896</v>
      </c>
      <c r="B203" s="3" t="s">
        <v>992</v>
      </c>
      <c r="C203" s="3" t="s">
        <v>993</v>
      </c>
      <c r="D203" s="3" t="s">
        <v>994</v>
      </c>
      <c r="E203" s="3" t="s">
        <v>458</v>
      </c>
      <c r="F203" s="3" t="s">
        <v>995</v>
      </c>
      <c r="G203" s="3" t="s">
        <v>266</v>
      </c>
      <c r="H203" s="3" t="s">
        <v>267</v>
      </c>
      <c r="I203" s="3" t="s">
        <v>268</v>
      </c>
      <c r="J203" s="3" t="s">
        <v>996</v>
      </c>
      <c r="K203" s="3" t="s">
        <v>997</v>
      </c>
      <c r="L203" s="3" t="s">
        <v>998</v>
      </c>
      <c r="M203" s="3" t="s">
        <v>84</v>
      </c>
      <c r="N203" s="3"/>
      <c r="O203" s="3" t="s">
        <v>999</v>
      </c>
      <c r="P203" s="3" t="s">
        <v>1000</v>
      </c>
      <c r="Q203" s="3" t="s">
        <v>999</v>
      </c>
      <c r="R203" s="3" t="s">
        <v>1001</v>
      </c>
      <c r="S203" s="4">
        <v>44134</v>
      </c>
      <c r="T203" s="4">
        <v>44153</v>
      </c>
      <c r="U203" s="4">
        <v>44153</v>
      </c>
      <c r="V203" s="4">
        <v>44156</v>
      </c>
      <c r="W203" s="4">
        <v>44157</v>
      </c>
      <c r="X203" s="3"/>
      <c r="Y203" s="3" t="s">
        <v>467</v>
      </c>
      <c r="Z203" s="3" t="s">
        <v>467</v>
      </c>
      <c r="AA203" s="3" t="s">
        <v>467</v>
      </c>
      <c r="AB203" s="3" t="s">
        <v>67</v>
      </c>
      <c r="AC203" s="3" t="s">
        <v>67</v>
      </c>
      <c r="AD203" s="3" t="s">
        <v>67</v>
      </c>
      <c r="AE203" s="3" t="s">
        <v>119</v>
      </c>
      <c r="AF203" s="3" t="s">
        <v>70</v>
      </c>
      <c r="AG203" s="3" t="s">
        <v>71</v>
      </c>
      <c r="AH203" s="3" t="s">
        <v>72</v>
      </c>
      <c r="AI203" s="3" t="s">
        <v>252</v>
      </c>
      <c r="AJ203" s="3">
        <v>0</v>
      </c>
      <c r="AK203" s="3">
        <v>0</v>
      </c>
      <c r="AL203" s="3">
        <v>0</v>
      </c>
      <c r="AM203" s="3">
        <v>0</v>
      </c>
      <c r="AN203" s="3">
        <v>69</v>
      </c>
      <c r="AO203" s="3">
        <v>29067</v>
      </c>
      <c r="AP203" s="3">
        <v>105.54</v>
      </c>
      <c r="AQ203" s="3" t="s">
        <v>713</v>
      </c>
      <c r="AR203" s="3" t="s">
        <v>714</v>
      </c>
      <c r="AS203" s="3" t="s">
        <v>713</v>
      </c>
      <c r="AT203" s="4">
        <v>44139</v>
      </c>
      <c r="AU203" s="3" t="s">
        <v>1002</v>
      </c>
      <c r="AV203" s="3">
        <v>23</v>
      </c>
      <c r="AW203" s="3" t="s">
        <v>1003</v>
      </c>
    </row>
    <row r="204" spans="1:49" x14ac:dyDescent="0.55000000000000004">
      <c r="A204" s="3" t="str">
        <f>HYPERLINK("https://www.infodis.net/philips/net/Shipment/Details?InfodisNumber=4553751&amp;DomainCode=DAP", "4553751")</f>
        <v>4553751</v>
      </c>
      <c r="B204" s="3" t="s">
        <v>1004</v>
      </c>
      <c r="C204" s="3" t="s">
        <v>479</v>
      </c>
      <c r="D204" s="3" t="s">
        <v>432</v>
      </c>
      <c r="E204" s="3" t="s">
        <v>94</v>
      </c>
      <c r="F204" s="3" t="s">
        <v>353</v>
      </c>
      <c r="G204" s="3" t="s">
        <v>480</v>
      </c>
      <c r="H204" s="3" t="s">
        <v>79</v>
      </c>
      <c r="I204" s="3" t="s">
        <v>122</v>
      </c>
      <c r="J204" s="3" t="s">
        <v>706</v>
      </c>
      <c r="K204" s="3" t="s">
        <v>1005</v>
      </c>
      <c r="L204" s="3" t="s">
        <v>357</v>
      </c>
      <c r="M204" s="3" t="s">
        <v>358</v>
      </c>
      <c r="N204" s="3"/>
      <c r="O204" s="3"/>
      <c r="P204" s="3" t="s">
        <v>466</v>
      </c>
      <c r="Q204" s="3"/>
      <c r="R204" s="3" t="s">
        <v>1006</v>
      </c>
      <c r="S204" s="4">
        <v>44144</v>
      </c>
      <c r="T204" s="4">
        <v>44188</v>
      </c>
      <c r="U204" s="3"/>
      <c r="V204" s="4">
        <v>44193</v>
      </c>
      <c r="W204" s="3"/>
      <c r="X204" s="3"/>
      <c r="Y204" s="3" t="s">
        <v>89</v>
      </c>
      <c r="Z204" s="3" t="s">
        <v>273</v>
      </c>
      <c r="AA204" s="3" t="s">
        <v>273</v>
      </c>
      <c r="AB204" s="3" t="s">
        <v>67</v>
      </c>
      <c r="AC204" s="3" t="s">
        <v>67</v>
      </c>
      <c r="AD204" s="3" t="s">
        <v>67</v>
      </c>
      <c r="AE204" s="3" t="s">
        <v>1007</v>
      </c>
      <c r="AF204" s="3" t="s">
        <v>70</v>
      </c>
      <c r="AG204" s="3" t="s">
        <v>71</v>
      </c>
      <c r="AH204" s="3" t="s">
        <v>72</v>
      </c>
      <c r="AI204" s="3" t="s">
        <v>73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1</v>
      </c>
      <c r="AP204" s="3">
        <v>0</v>
      </c>
      <c r="AQ204" s="3" t="s">
        <v>713</v>
      </c>
      <c r="AR204" s="3" t="s">
        <v>714</v>
      </c>
      <c r="AS204" s="3" t="s">
        <v>713</v>
      </c>
      <c r="AT204" s="4">
        <v>44145</v>
      </c>
      <c r="AU204" s="3" t="s">
        <v>1008</v>
      </c>
      <c r="AV204" s="3">
        <v>17</v>
      </c>
      <c r="AW204" s="3" t="s">
        <v>1009</v>
      </c>
    </row>
    <row r="205" spans="1:49" x14ac:dyDescent="0.55000000000000004">
      <c r="A205" s="3" t="str">
        <f>HYPERLINK("https://www.infodis.net/philips/net/Shipment/Details?InfodisNumber=4545262&amp;DomainCode=DAP", "4545262")</f>
        <v>4545262</v>
      </c>
      <c r="B205" s="3" t="s">
        <v>1010</v>
      </c>
      <c r="C205" s="3" t="s">
        <v>302</v>
      </c>
      <c r="D205" s="3" t="s">
        <v>303</v>
      </c>
      <c r="E205" s="3" t="s">
        <v>304</v>
      </c>
      <c r="F205" s="3" t="s">
        <v>305</v>
      </c>
      <c r="G205" s="3" t="s">
        <v>306</v>
      </c>
      <c r="H205" s="3" t="s">
        <v>307</v>
      </c>
      <c r="I205" s="3" t="s">
        <v>245</v>
      </c>
      <c r="J205" s="3" t="s">
        <v>218</v>
      </c>
      <c r="K205" s="3" t="s">
        <v>219</v>
      </c>
      <c r="L205" s="3" t="s">
        <v>180</v>
      </c>
      <c r="M205" s="3" t="s">
        <v>60</v>
      </c>
      <c r="N205" s="3" t="s">
        <v>1011</v>
      </c>
      <c r="O205" s="3" t="s">
        <v>1012</v>
      </c>
      <c r="P205" s="3" t="s">
        <v>312</v>
      </c>
      <c r="Q205" s="3"/>
      <c r="R205" s="3" t="s">
        <v>223</v>
      </c>
      <c r="S205" s="4">
        <v>44133</v>
      </c>
      <c r="T205" s="4">
        <v>44139</v>
      </c>
      <c r="U205" s="3"/>
      <c r="V205" s="4">
        <v>44151</v>
      </c>
      <c r="W205" s="4">
        <v>44153</v>
      </c>
      <c r="X205" s="3"/>
      <c r="Y205" s="3" t="s">
        <v>65</v>
      </c>
      <c r="Z205" s="3" t="s">
        <v>65</v>
      </c>
      <c r="AA205" s="3" t="s">
        <v>198</v>
      </c>
      <c r="AB205" s="3" t="s">
        <v>67</v>
      </c>
      <c r="AC205" s="3" t="s">
        <v>67</v>
      </c>
      <c r="AD205" s="3" t="s">
        <v>67</v>
      </c>
      <c r="AE205" s="3" t="s">
        <v>90</v>
      </c>
      <c r="AF205" s="3" t="s">
        <v>70</v>
      </c>
      <c r="AG205" s="3" t="s">
        <v>71</v>
      </c>
      <c r="AH205" s="3" t="s">
        <v>199</v>
      </c>
      <c r="AI205" s="3" t="s">
        <v>73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4981.5039999999999</v>
      </c>
      <c r="AP205" s="3">
        <v>46.463999999999999</v>
      </c>
      <c r="AQ205" s="3" t="s">
        <v>713</v>
      </c>
      <c r="AR205" s="3" t="s">
        <v>714</v>
      </c>
      <c r="AS205" s="3" t="s">
        <v>713</v>
      </c>
      <c r="AT205" s="4">
        <v>44144</v>
      </c>
      <c r="AU205" s="3" t="s">
        <v>1013</v>
      </c>
      <c r="AV205" s="3">
        <v>18</v>
      </c>
      <c r="AW205" s="3" t="s">
        <v>721</v>
      </c>
    </row>
    <row r="206" spans="1:49" x14ac:dyDescent="0.55000000000000004">
      <c r="A206" s="3" t="str">
        <f>HYPERLINK("https://www.infodis.net/philips/net/Shipment/Details?InfodisNumber=4545201&amp;DomainCode=DAP", "4545201")</f>
        <v>4545201</v>
      </c>
      <c r="B206" s="3" t="s">
        <v>1014</v>
      </c>
      <c r="C206" s="3" t="s">
        <v>302</v>
      </c>
      <c r="D206" s="3" t="s">
        <v>303</v>
      </c>
      <c r="E206" s="3" t="s">
        <v>304</v>
      </c>
      <c r="F206" s="3" t="s">
        <v>305</v>
      </c>
      <c r="G206" s="3" t="s">
        <v>306</v>
      </c>
      <c r="H206" s="3" t="s">
        <v>307</v>
      </c>
      <c r="I206" s="3" t="s">
        <v>245</v>
      </c>
      <c r="J206" s="3" t="s">
        <v>218</v>
      </c>
      <c r="K206" s="3" t="s">
        <v>269</v>
      </c>
      <c r="L206" s="3" t="s">
        <v>180</v>
      </c>
      <c r="M206" s="3" t="s">
        <v>309</v>
      </c>
      <c r="N206" s="3" t="s">
        <v>1015</v>
      </c>
      <c r="O206" s="3" t="s">
        <v>1016</v>
      </c>
      <c r="P206" s="3" t="s">
        <v>312</v>
      </c>
      <c r="Q206" s="3"/>
      <c r="R206" s="3" t="s">
        <v>271</v>
      </c>
      <c r="S206" s="4">
        <v>44133</v>
      </c>
      <c r="T206" s="4">
        <v>44138</v>
      </c>
      <c r="U206" s="3"/>
      <c r="V206" s="4">
        <v>44145</v>
      </c>
      <c r="W206" s="4">
        <v>44151</v>
      </c>
      <c r="X206" s="3"/>
      <c r="Y206" s="3" t="s">
        <v>65</v>
      </c>
      <c r="Z206" s="3" t="s">
        <v>65</v>
      </c>
      <c r="AA206" s="3" t="s">
        <v>198</v>
      </c>
      <c r="AB206" s="3" t="s">
        <v>67</v>
      </c>
      <c r="AC206" s="3" t="s">
        <v>67</v>
      </c>
      <c r="AD206" s="3" t="s">
        <v>67</v>
      </c>
      <c r="AE206" s="3" t="s">
        <v>90</v>
      </c>
      <c r="AF206" s="3" t="s">
        <v>70</v>
      </c>
      <c r="AG206" s="3" t="s">
        <v>71</v>
      </c>
      <c r="AH206" s="3" t="s">
        <v>199</v>
      </c>
      <c r="AI206" s="3" t="s">
        <v>73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4864.5940000000001</v>
      </c>
      <c r="AP206" s="3">
        <v>46.463999999999999</v>
      </c>
      <c r="AQ206" s="3" t="s">
        <v>713</v>
      </c>
      <c r="AR206" s="3" t="s">
        <v>714</v>
      </c>
      <c r="AS206" s="3" t="s">
        <v>713</v>
      </c>
      <c r="AT206" s="4">
        <v>44140</v>
      </c>
      <c r="AU206" s="3" t="s">
        <v>1017</v>
      </c>
      <c r="AV206" s="3">
        <v>22</v>
      </c>
      <c r="AW206" s="3" t="s">
        <v>721</v>
      </c>
    </row>
    <row r="207" spans="1:49" x14ac:dyDescent="0.55000000000000004">
      <c r="A207" s="3" t="str">
        <f>HYPERLINK("https://www.infodis.net/philips/net/Shipment/Details?InfodisNumber=4554901&amp;DomainCode=DAP", "4554901")</f>
        <v>4554901</v>
      </c>
      <c r="B207" s="3" t="s">
        <v>1018</v>
      </c>
      <c r="C207" s="3" t="s">
        <v>665</v>
      </c>
      <c r="D207" s="3" t="s">
        <v>666</v>
      </c>
      <c r="E207" s="3" t="s">
        <v>665</v>
      </c>
      <c r="F207" s="3" t="s">
        <v>77</v>
      </c>
      <c r="G207" s="3" t="s">
        <v>667</v>
      </c>
      <c r="H207" s="3" t="s">
        <v>79</v>
      </c>
      <c r="I207" s="3" t="s">
        <v>122</v>
      </c>
      <c r="J207" s="3" t="s">
        <v>156</v>
      </c>
      <c r="K207" s="3" t="s">
        <v>82</v>
      </c>
      <c r="L207" s="3" t="s">
        <v>83</v>
      </c>
      <c r="M207" s="3" t="s">
        <v>84</v>
      </c>
      <c r="N207" s="3" t="s">
        <v>1019</v>
      </c>
      <c r="O207" s="3" t="s">
        <v>1020</v>
      </c>
      <c r="P207" s="3" t="s">
        <v>668</v>
      </c>
      <c r="Q207" s="3"/>
      <c r="R207" s="3" t="s">
        <v>87</v>
      </c>
      <c r="S207" s="4">
        <v>44146</v>
      </c>
      <c r="T207" s="4">
        <v>44158</v>
      </c>
      <c r="U207" s="3"/>
      <c r="V207" s="4">
        <v>44161</v>
      </c>
      <c r="W207" s="3"/>
      <c r="X207" s="3"/>
      <c r="Y207" s="3" t="s">
        <v>88</v>
      </c>
      <c r="Z207" s="3" t="s">
        <v>105</v>
      </c>
      <c r="AA207" s="3" t="s">
        <v>105</v>
      </c>
      <c r="AB207" s="3" t="s">
        <v>67</v>
      </c>
      <c r="AC207" s="3" t="s">
        <v>67</v>
      </c>
      <c r="AD207" s="3" t="s">
        <v>67</v>
      </c>
      <c r="AE207" s="3" t="s">
        <v>90</v>
      </c>
      <c r="AF207" s="3" t="s">
        <v>70</v>
      </c>
      <c r="AG207" s="3" t="s">
        <v>71</v>
      </c>
      <c r="AH207" s="3" t="s">
        <v>72</v>
      </c>
      <c r="AI207" s="3" t="s">
        <v>73</v>
      </c>
      <c r="AJ207" s="3">
        <v>0</v>
      </c>
      <c r="AK207" s="3">
        <v>0</v>
      </c>
      <c r="AL207" s="3">
        <v>0</v>
      </c>
      <c r="AM207" s="3">
        <v>0</v>
      </c>
      <c r="AN207" s="3">
        <v>21</v>
      </c>
      <c r="AO207" s="3">
        <v>5700</v>
      </c>
      <c r="AP207" s="3">
        <v>35</v>
      </c>
      <c r="AQ207" s="3" t="s">
        <v>713</v>
      </c>
      <c r="AR207" s="3" t="s">
        <v>714</v>
      </c>
      <c r="AS207" s="3" t="s">
        <v>713</v>
      </c>
      <c r="AT207" s="4">
        <v>44151</v>
      </c>
      <c r="AU207" s="3" t="s">
        <v>1021</v>
      </c>
      <c r="AV207" s="3">
        <v>11</v>
      </c>
      <c r="AW207" s="3" t="s">
        <v>742</v>
      </c>
    </row>
    <row r="208" spans="1:49" x14ac:dyDescent="0.55000000000000004">
      <c r="A208" s="3" t="str">
        <f>HYPERLINK("https://www.infodis.net/philips/net/Shipment/Details?InfodisNumber=4545187&amp;DomainCode=DAP", "4545187")</f>
        <v>4545187</v>
      </c>
      <c r="B208" s="3" t="s">
        <v>1022</v>
      </c>
      <c r="C208" s="3" t="s">
        <v>302</v>
      </c>
      <c r="D208" s="3" t="s">
        <v>303</v>
      </c>
      <c r="E208" s="3" t="s">
        <v>304</v>
      </c>
      <c r="F208" s="3" t="s">
        <v>305</v>
      </c>
      <c r="G208" s="3" t="s">
        <v>306</v>
      </c>
      <c r="H208" s="3" t="s">
        <v>307</v>
      </c>
      <c r="I208" s="3" t="s">
        <v>245</v>
      </c>
      <c r="J208" s="3" t="s">
        <v>218</v>
      </c>
      <c r="K208" s="3" t="s">
        <v>219</v>
      </c>
      <c r="L208" s="3" t="s">
        <v>180</v>
      </c>
      <c r="M208" s="3" t="s">
        <v>60</v>
      </c>
      <c r="N208" s="3" t="s">
        <v>1023</v>
      </c>
      <c r="O208" s="3" t="s">
        <v>1024</v>
      </c>
      <c r="P208" s="3" t="s">
        <v>312</v>
      </c>
      <c r="Q208" s="3"/>
      <c r="R208" s="3" t="s">
        <v>223</v>
      </c>
      <c r="S208" s="4">
        <v>44133</v>
      </c>
      <c r="T208" s="4">
        <v>44138</v>
      </c>
      <c r="U208" s="3"/>
      <c r="V208" s="4">
        <v>44150</v>
      </c>
      <c r="W208" s="4">
        <v>44151</v>
      </c>
      <c r="X208" s="3"/>
      <c r="Y208" s="3" t="s">
        <v>65</v>
      </c>
      <c r="Z208" s="3" t="s">
        <v>65</v>
      </c>
      <c r="AA208" s="3" t="s">
        <v>198</v>
      </c>
      <c r="AB208" s="3" t="s">
        <v>67</v>
      </c>
      <c r="AC208" s="3" t="s">
        <v>67</v>
      </c>
      <c r="AD208" s="3" t="s">
        <v>67</v>
      </c>
      <c r="AE208" s="3" t="s">
        <v>90</v>
      </c>
      <c r="AF208" s="3" t="s">
        <v>70</v>
      </c>
      <c r="AG208" s="3" t="s">
        <v>71</v>
      </c>
      <c r="AH208" s="3" t="s">
        <v>199</v>
      </c>
      <c r="AI208" s="3" t="s">
        <v>73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4981.5039999999999</v>
      </c>
      <c r="AP208" s="3">
        <v>46.463999999999999</v>
      </c>
      <c r="AQ208" s="3" t="s">
        <v>713</v>
      </c>
      <c r="AR208" s="3" t="s">
        <v>714</v>
      </c>
      <c r="AS208" s="3" t="s">
        <v>713</v>
      </c>
      <c r="AT208" s="4">
        <v>44140</v>
      </c>
      <c r="AU208" s="3" t="s">
        <v>1017</v>
      </c>
      <c r="AV208" s="3">
        <v>22</v>
      </c>
      <c r="AW208" s="3" t="s">
        <v>721</v>
      </c>
    </row>
    <row r="209" spans="1:49" x14ac:dyDescent="0.55000000000000004">
      <c r="A209" s="3" t="str">
        <f>HYPERLINK("https://www.infodis.net/philips/net/Shipment/Details?InfodisNumber=4545184&amp;DomainCode=DAP", "4545184")</f>
        <v>4545184</v>
      </c>
      <c r="B209" s="3" t="s">
        <v>1025</v>
      </c>
      <c r="C209" s="3" t="s">
        <v>302</v>
      </c>
      <c r="D209" s="3" t="s">
        <v>303</v>
      </c>
      <c r="E209" s="3" t="s">
        <v>304</v>
      </c>
      <c r="F209" s="3" t="s">
        <v>305</v>
      </c>
      <c r="G209" s="3" t="s">
        <v>306</v>
      </c>
      <c r="H209" s="3" t="s">
        <v>307</v>
      </c>
      <c r="I209" s="3" t="s">
        <v>245</v>
      </c>
      <c r="J209" s="3" t="s">
        <v>218</v>
      </c>
      <c r="K209" s="3" t="s">
        <v>219</v>
      </c>
      <c r="L209" s="3" t="s">
        <v>180</v>
      </c>
      <c r="M209" s="3" t="s">
        <v>60</v>
      </c>
      <c r="N209" s="3" t="s">
        <v>1026</v>
      </c>
      <c r="O209" s="3" t="s">
        <v>1027</v>
      </c>
      <c r="P209" s="3" t="s">
        <v>312</v>
      </c>
      <c r="Q209" s="3"/>
      <c r="R209" s="3" t="s">
        <v>223</v>
      </c>
      <c r="S209" s="4">
        <v>44133</v>
      </c>
      <c r="T209" s="4">
        <v>44138</v>
      </c>
      <c r="U209" s="3"/>
      <c r="V209" s="4">
        <v>44150</v>
      </c>
      <c r="W209" s="4">
        <v>44151</v>
      </c>
      <c r="X209" s="3"/>
      <c r="Y209" s="3" t="s">
        <v>65</v>
      </c>
      <c r="Z209" s="3" t="s">
        <v>65</v>
      </c>
      <c r="AA209" s="3" t="s">
        <v>198</v>
      </c>
      <c r="AB209" s="3" t="s">
        <v>67</v>
      </c>
      <c r="AC209" s="3" t="s">
        <v>67</v>
      </c>
      <c r="AD209" s="3" t="s">
        <v>67</v>
      </c>
      <c r="AE209" s="3" t="s">
        <v>90</v>
      </c>
      <c r="AF209" s="3" t="s">
        <v>70</v>
      </c>
      <c r="AG209" s="3" t="s">
        <v>71</v>
      </c>
      <c r="AH209" s="3" t="s">
        <v>199</v>
      </c>
      <c r="AI209" s="3" t="s">
        <v>73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4981.5039999999999</v>
      </c>
      <c r="AP209" s="3">
        <v>46.463999999999999</v>
      </c>
      <c r="AQ209" s="3" t="s">
        <v>713</v>
      </c>
      <c r="AR209" s="3" t="s">
        <v>714</v>
      </c>
      <c r="AS209" s="3" t="s">
        <v>713</v>
      </c>
      <c r="AT209" s="4">
        <v>44140</v>
      </c>
      <c r="AU209" s="3" t="s">
        <v>1017</v>
      </c>
      <c r="AV209" s="3">
        <v>22</v>
      </c>
      <c r="AW209" s="3" t="s">
        <v>721</v>
      </c>
    </row>
    <row r="210" spans="1:49" x14ac:dyDescent="0.55000000000000004">
      <c r="A210" s="3" t="str">
        <f>HYPERLINK("https://www.infodis.net/philips/net/Shipment/Details?InfodisNumber=4547470&amp;DomainCode=DAP", "4547470")</f>
        <v>4547470</v>
      </c>
      <c r="B210" s="3" t="s">
        <v>1028</v>
      </c>
      <c r="C210" s="3" t="s">
        <v>479</v>
      </c>
      <c r="D210" s="3" t="s">
        <v>432</v>
      </c>
      <c r="E210" s="3" t="s">
        <v>94</v>
      </c>
      <c r="F210" s="3" t="s">
        <v>1029</v>
      </c>
      <c r="G210" s="3" t="s">
        <v>480</v>
      </c>
      <c r="H210" s="3" t="s">
        <v>79</v>
      </c>
      <c r="I210" s="3" t="s">
        <v>122</v>
      </c>
      <c r="J210" s="3" t="s">
        <v>903</v>
      </c>
      <c r="K210" s="3" t="s">
        <v>1030</v>
      </c>
      <c r="L210" s="3" t="s">
        <v>905</v>
      </c>
      <c r="M210" s="3" t="s">
        <v>60</v>
      </c>
      <c r="N210" s="3"/>
      <c r="O210" s="3"/>
      <c r="P210" s="3" t="s">
        <v>466</v>
      </c>
      <c r="Q210" s="3"/>
      <c r="R210" s="3" t="s">
        <v>1031</v>
      </c>
      <c r="S210" s="4">
        <v>44137</v>
      </c>
      <c r="T210" s="4">
        <v>44147</v>
      </c>
      <c r="U210" s="4">
        <v>44144</v>
      </c>
      <c r="V210" s="4">
        <v>44152</v>
      </c>
      <c r="W210" s="4">
        <v>44149</v>
      </c>
      <c r="X210" s="3"/>
      <c r="Y210" s="3" t="s">
        <v>89</v>
      </c>
      <c r="Z210" s="3" t="s">
        <v>127</v>
      </c>
      <c r="AA210" s="3" t="s">
        <v>66</v>
      </c>
      <c r="AB210" s="3" t="s">
        <v>67</v>
      </c>
      <c r="AC210" s="3" t="s">
        <v>67</v>
      </c>
      <c r="AD210" s="3" t="s">
        <v>68</v>
      </c>
      <c r="AE210" s="3" t="s">
        <v>162</v>
      </c>
      <c r="AF210" s="3" t="s">
        <v>70</v>
      </c>
      <c r="AG210" s="3" t="s">
        <v>71</v>
      </c>
      <c r="AH210" s="3" t="s">
        <v>72</v>
      </c>
      <c r="AI210" s="3" t="s">
        <v>73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1169.28</v>
      </c>
      <c r="AP210" s="3">
        <v>9.0790000000000006</v>
      </c>
      <c r="AQ210" s="3" t="s">
        <v>713</v>
      </c>
      <c r="AR210" s="3" t="s">
        <v>714</v>
      </c>
      <c r="AS210" s="3" t="s">
        <v>713</v>
      </c>
      <c r="AT210" s="4">
        <v>44141</v>
      </c>
      <c r="AU210" s="3" t="s">
        <v>1032</v>
      </c>
      <c r="AV210" s="3">
        <v>21</v>
      </c>
      <c r="AW210" s="3" t="s">
        <v>1033</v>
      </c>
    </row>
    <row r="211" spans="1:49" x14ac:dyDescent="0.55000000000000004">
      <c r="A211" s="3" t="str">
        <f>HYPERLINK("https://www.infodis.net/philips/net/Shipment/Details?InfodisNumber=4546472&amp;DomainCode=DAP", "4546472")</f>
        <v>4546472</v>
      </c>
      <c r="B211" s="3" t="s">
        <v>1034</v>
      </c>
      <c r="C211" s="3" t="s">
        <v>50</v>
      </c>
      <c r="D211" s="3" t="s">
        <v>51</v>
      </c>
      <c r="E211" s="3" t="s">
        <v>52</v>
      </c>
      <c r="F211" s="3" t="s">
        <v>1035</v>
      </c>
      <c r="G211" s="3" t="s">
        <v>440</v>
      </c>
      <c r="H211" s="3" t="s">
        <v>55</v>
      </c>
      <c r="I211" s="3" t="s">
        <v>495</v>
      </c>
      <c r="J211" s="3" t="s">
        <v>1036</v>
      </c>
      <c r="K211" s="3" t="s">
        <v>1037</v>
      </c>
      <c r="L211" s="3" t="s">
        <v>132</v>
      </c>
      <c r="M211" s="3" t="s">
        <v>60</v>
      </c>
      <c r="N211" s="3" t="s">
        <v>1038</v>
      </c>
      <c r="O211" s="3" t="s">
        <v>1039</v>
      </c>
      <c r="P211" s="3" t="s">
        <v>446</v>
      </c>
      <c r="Q211" s="3"/>
      <c r="R211" s="3" t="s">
        <v>1040</v>
      </c>
      <c r="S211" s="4">
        <v>44134</v>
      </c>
      <c r="T211" s="4">
        <v>44140</v>
      </c>
      <c r="U211" s="3"/>
      <c r="V211" s="4">
        <v>44160</v>
      </c>
      <c r="W211" s="4">
        <v>44160</v>
      </c>
      <c r="X211" s="3"/>
      <c r="Y211" s="3" t="s">
        <v>273</v>
      </c>
      <c r="Z211" s="3" t="s">
        <v>273</v>
      </c>
      <c r="AA211" s="3" t="s">
        <v>66</v>
      </c>
      <c r="AB211" s="3" t="s">
        <v>67</v>
      </c>
      <c r="AC211" s="3" t="s">
        <v>67</v>
      </c>
      <c r="AD211" s="3" t="s">
        <v>68</v>
      </c>
      <c r="AE211" s="3" t="s">
        <v>69</v>
      </c>
      <c r="AF211" s="3" t="s">
        <v>70</v>
      </c>
      <c r="AG211" s="3" t="s">
        <v>71</v>
      </c>
      <c r="AH211" s="3" t="s">
        <v>72</v>
      </c>
      <c r="AI211" s="3" t="s">
        <v>73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4910</v>
      </c>
      <c r="AP211" s="3">
        <v>30.824999999999999</v>
      </c>
      <c r="AQ211" s="3" t="s">
        <v>713</v>
      </c>
      <c r="AR211" s="3" t="s">
        <v>714</v>
      </c>
      <c r="AS211" s="3" t="s">
        <v>713</v>
      </c>
      <c r="AT211" s="4">
        <v>44141</v>
      </c>
      <c r="AU211" s="3" t="s">
        <v>1041</v>
      </c>
      <c r="AV211" s="3">
        <v>21</v>
      </c>
      <c r="AW211" s="3" t="s">
        <v>777</v>
      </c>
    </row>
    <row r="212" spans="1:49" x14ac:dyDescent="0.55000000000000004">
      <c r="A212" s="3" t="str">
        <f>HYPERLINK("https://www.infodis.net/philips/net/Shipment/Details?InfodisNumber=4553823&amp;DomainCode=DAP", "4553823")</f>
        <v>4553823</v>
      </c>
      <c r="B212" s="3" t="s">
        <v>1042</v>
      </c>
      <c r="C212" s="3" t="s">
        <v>479</v>
      </c>
      <c r="D212" s="3" t="s">
        <v>432</v>
      </c>
      <c r="E212" s="3" t="s">
        <v>94</v>
      </c>
      <c r="F212" s="3" t="s">
        <v>353</v>
      </c>
      <c r="G212" s="3" t="s">
        <v>480</v>
      </c>
      <c r="H212" s="3" t="s">
        <v>79</v>
      </c>
      <c r="I212" s="3" t="s">
        <v>122</v>
      </c>
      <c r="J212" s="3" t="s">
        <v>706</v>
      </c>
      <c r="K212" s="3" t="s">
        <v>1005</v>
      </c>
      <c r="L212" s="3" t="s">
        <v>357</v>
      </c>
      <c r="M212" s="3" t="s">
        <v>358</v>
      </c>
      <c r="N212" s="3"/>
      <c r="O212" s="3"/>
      <c r="P212" s="3" t="s">
        <v>466</v>
      </c>
      <c r="Q212" s="3"/>
      <c r="R212" s="3" t="s">
        <v>1006</v>
      </c>
      <c r="S212" s="4">
        <v>44144</v>
      </c>
      <c r="T212" s="4">
        <v>44181</v>
      </c>
      <c r="U212" s="3"/>
      <c r="V212" s="4">
        <v>44186</v>
      </c>
      <c r="W212" s="3"/>
      <c r="X212" s="3"/>
      <c r="Y212" s="3" t="s">
        <v>89</v>
      </c>
      <c r="Z212" s="3" t="s">
        <v>273</v>
      </c>
      <c r="AA212" s="3" t="s">
        <v>273</v>
      </c>
      <c r="AB212" s="3" t="s">
        <v>67</v>
      </c>
      <c r="AC212" s="3" t="s">
        <v>67</v>
      </c>
      <c r="AD212" s="3" t="s">
        <v>67</v>
      </c>
      <c r="AE212" s="3" t="s">
        <v>1007</v>
      </c>
      <c r="AF212" s="3" t="s">
        <v>70</v>
      </c>
      <c r="AG212" s="3" t="s">
        <v>71</v>
      </c>
      <c r="AH212" s="3" t="s">
        <v>72</v>
      </c>
      <c r="AI212" s="3" t="s">
        <v>73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1</v>
      </c>
      <c r="AP212" s="3">
        <v>0</v>
      </c>
      <c r="AQ212" s="3" t="s">
        <v>713</v>
      </c>
      <c r="AR212" s="3" t="s">
        <v>714</v>
      </c>
      <c r="AS212" s="3" t="s">
        <v>713</v>
      </c>
      <c r="AT212" s="4">
        <v>44145</v>
      </c>
      <c r="AU212" s="3" t="s">
        <v>1008</v>
      </c>
      <c r="AV212" s="3">
        <v>17</v>
      </c>
      <c r="AW212" s="3" t="s">
        <v>1009</v>
      </c>
    </row>
    <row r="213" spans="1:49" x14ac:dyDescent="0.55000000000000004">
      <c r="A213" s="3" t="str">
        <f>HYPERLINK("https://www.infodis.net/philips/net/Shipment/Details?InfodisNumber=4545165&amp;DomainCode=DAP", "4545165")</f>
        <v>4545165</v>
      </c>
      <c r="B213" s="3" t="s">
        <v>1043</v>
      </c>
      <c r="C213" s="3" t="s">
        <v>302</v>
      </c>
      <c r="D213" s="3" t="s">
        <v>303</v>
      </c>
      <c r="E213" s="3" t="s">
        <v>304</v>
      </c>
      <c r="F213" s="3" t="s">
        <v>305</v>
      </c>
      <c r="G213" s="3" t="s">
        <v>306</v>
      </c>
      <c r="H213" s="3" t="s">
        <v>307</v>
      </c>
      <c r="I213" s="3" t="s">
        <v>245</v>
      </c>
      <c r="J213" s="3" t="s">
        <v>218</v>
      </c>
      <c r="K213" s="3" t="s">
        <v>269</v>
      </c>
      <c r="L213" s="3" t="s">
        <v>180</v>
      </c>
      <c r="M213" s="3" t="s">
        <v>309</v>
      </c>
      <c r="N213" s="3" t="s">
        <v>1044</v>
      </c>
      <c r="O213" s="3" t="s">
        <v>1045</v>
      </c>
      <c r="P213" s="3" t="s">
        <v>312</v>
      </c>
      <c r="Q213" s="3"/>
      <c r="R213" s="3" t="s">
        <v>271</v>
      </c>
      <c r="S213" s="4">
        <v>44133</v>
      </c>
      <c r="T213" s="4">
        <v>44138</v>
      </c>
      <c r="U213" s="3"/>
      <c r="V213" s="4">
        <v>44145</v>
      </c>
      <c r="W213" s="4">
        <v>44151</v>
      </c>
      <c r="X213" s="3"/>
      <c r="Y213" s="3" t="s">
        <v>65</v>
      </c>
      <c r="Z213" s="3" t="s">
        <v>65</v>
      </c>
      <c r="AA213" s="3" t="s">
        <v>198</v>
      </c>
      <c r="AB213" s="3" t="s">
        <v>67</v>
      </c>
      <c r="AC213" s="3" t="s">
        <v>67</v>
      </c>
      <c r="AD213" s="3" t="s">
        <v>67</v>
      </c>
      <c r="AE213" s="3" t="s">
        <v>90</v>
      </c>
      <c r="AF213" s="3" t="s">
        <v>70</v>
      </c>
      <c r="AG213" s="3" t="s">
        <v>71</v>
      </c>
      <c r="AH213" s="3" t="s">
        <v>199</v>
      </c>
      <c r="AI213" s="3" t="s">
        <v>73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4981.5039999999999</v>
      </c>
      <c r="AP213" s="3">
        <v>46.463999999999999</v>
      </c>
      <c r="AQ213" s="3" t="s">
        <v>713</v>
      </c>
      <c r="AR213" s="3" t="s">
        <v>714</v>
      </c>
      <c r="AS213" s="3" t="s">
        <v>713</v>
      </c>
      <c r="AT213" s="4">
        <v>44140</v>
      </c>
      <c r="AU213" s="3" t="s">
        <v>1017</v>
      </c>
      <c r="AV213" s="3">
        <v>22</v>
      </c>
      <c r="AW213" s="3" t="s">
        <v>721</v>
      </c>
    </row>
    <row r="214" spans="1:49" x14ac:dyDescent="0.55000000000000004">
      <c r="A214" s="3" t="str">
        <f>HYPERLINK("https://www.infodis.net/philips/net/Shipment/Details?InfodisNumber=4545131&amp;DomainCode=DAP", "4545131")</f>
        <v>4545131</v>
      </c>
      <c r="B214" s="3" t="s">
        <v>1046</v>
      </c>
      <c r="C214" s="3" t="s">
        <v>302</v>
      </c>
      <c r="D214" s="3" t="s">
        <v>303</v>
      </c>
      <c r="E214" s="3" t="s">
        <v>304</v>
      </c>
      <c r="F214" s="3" t="s">
        <v>1047</v>
      </c>
      <c r="G214" s="3" t="s">
        <v>306</v>
      </c>
      <c r="H214" s="3" t="s">
        <v>307</v>
      </c>
      <c r="I214" s="3" t="s">
        <v>283</v>
      </c>
      <c r="J214" s="3" t="s">
        <v>487</v>
      </c>
      <c r="K214" s="3" t="s">
        <v>233</v>
      </c>
      <c r="L214" s="3" t="s">
        <v>234</v>
      </c>
      <c r="M214" s="3" t="s">
        <v>309</v>
      </c>
      <c r="N214" s="3"/>
      <c r="O214" s="3"/>
      <c r="P214" s="3" t="s">
        <v>312</v>
      </c>
      <c r="Q214" s="3"/>
      <c r="R214" s="3" t="s">
        <v>236</v>
      </c>
      <c r="S214" s="4">
        <v>44133</v>
      </c>
      <c r="T214" s="4">
        <v>44139</v>
      </c>
      <c r="U214" s="3"/>
      <c r="V214" s="4">
        <v>44144</v>
      </c>
      <c r="W214" s="3"/>
      <c r="X214" s="3"/>
      <c r="Y214" s="3" t="s">
        <v>273</v>
      </c>
      <c r="Z214" s="3" t="s">
        <v>273</v>
      </c>
      <c r="AA214" s="3" t="s">
        <v>66</v>
      </c>
      <c r="AB214" s="3" t="s">
        <v>67</v>
      </c>
      <c r="AC214" s="3" t="s">
        <v>67</v>
      </c>
      <c r="AD214" s="3" t="s">
        <v>68</v>
      </c>
      <c r="AE214" s="3"/>
      <c r="AF214" s="3" t="s">
        <v>70</v>
      </c>
      <c r="AG214" s="3" t="s">
        <v>71</v>
      </c>
      <c r="AH214" s="3" t="s">
        <v>72</v>
      </c>
      <c r="AI214" s="3" t="s">
        <v>73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778</v>
      </c>
      <c r="AP214" s="3">
        <v>5.3829999999999991</v>
      </c>
      <c r="AQ214" s="3" t="s">
        <v>713</v>
      </c>
      <c r="AR214" s="3" t="s">
        <v>714</v>
      </c>
      <c r="AS214" s="3" t="s">
        <v>713</v>
      </c>
      <c r="AT214" s="4">
        <v>44141</v>
      </c>
      <c r="AU214" s="3" t="s">
        <v>1048</v>
      </c>
      <c r="AV214" s="3">
        <v>21</v>
      </c>
      <c r="AW214" s="3" t="s">
        <v>721</v>
      </c>
    </row>
    <row r="215" spans="1:49" x14ac:dyDescent="0.55000000000000004">
      <c r="A215" s="3" t="str">
        <f>HYPERLINK("https://www.infodis.net/philips/net/Shipment/Details?InfodisNumber=6935712&amp;DomainCode=PHILIPSR1", "6935712")</f>
        <v>6935712</v>
      </c>
      <c r="B215" s="3" t="s">
        <v>1049</v>
      </c>
      <c r="C215" s="3" t="s">
        <v>240</v>
      </c>
      <c r="D215" s="3" t="s">
        <v>241</v>
      </c>
      <c r="E215" s="3" t="s">
        <v>240</v>
      </c>
      <c r="F215" s="3" t="s">
        <v>458</v>
      </c>
      <c r="G215" s="3" t="s">
        <v>1050</v>
      </c>
      <c r="H215" s="3" t="s">
        <v>1051</v>
      </c>
      <c r="I215" s="3" t="s">
        <v>495</v>
      </c>
      <c r="J215" s="3" t="s">
        <v>547</v>
      </c>
      <c r="K215" s="3" t="s">
        <v>1052</v>
      </c>
      <c r="L215" s="3" t="s">
        <v>180</v>
      </c>
      <c r="M215" s="3" t="s">
        <v>84</v>
      </c>
      <c r="N215" s="3"/>
      <c r="O215" s="3" t="s">
        <v>1053</v>
      </c>
      <c r="P215" s="3" t="s">
        <v>1054</v>
      </c>
      <c r="Q215" s="3"/>
      <c r="R215" s="3" t="s">
        <v>1055</v>
      </c>
      <c r="S215" s="4">
        <v>44133</v>
      </c>
      <c r="T215" s="4">
        <v>44134</v>
      </c>
      <c r="U215" s="3"/>
      <c r="V215" s="4">
        <v>44139</v>
      </c>
      <c r="W215" s="4">
        <v>44148</v>
      </c>
      <c r="X215" s="3"/>
      <c r="Y215" s="3" t="s">
        <v>467</v>
      </c>
      <c r="Z215" s="3" t="s">
        <v>467</v>
      </c>
      <c r="AA215" s="3" t="s">
        <v>467</v>
      </c>
      <c r="AB215" s="3" t="s">
        <v>67</v>
      </c>
      <c r="AC215" s="3" t="s">
        <v>67</v>
      </c>
      <c r="AD215" s="3" t="s">
        <v>67</v>
      </c>
      <c r="AE215" s="3" t="s">
        <v>90</v>
      </c>
      <c r="AF215" s="3" t="s">
        <v>70</v>
      </c>
      <c r="AG215" s="3" t="s">
        <v>71</v>
      </c>
      <c r="AH215" s="3" t="s">
        <v>72</v>
      </c>
      <c r="AI215" s="3" t="s">
        <v>252</v>
      </c>
      <c r="AJ215" s="3">
        <v>0</v>
      </c>
      <c r="AK215" s="3">
        <v>0</v>
      </c>
      <c r="AL215" s="3">
        <v>0</v>
      </c>
      <c r="AM215" s="3">
        <v>0</v>
      </c>
      <c r="AN215" s="3">
        <v>26</v>
      </c>
      <c r="AO215" s="3">
        <v>2200</v>
      </c>
      <c r="AP215" s="3">
        <v>40</v>
      </c>
      <c r="AQ215" s="3" t="s">
        <v>713</v>
      </c>
      <c r="AR215" s="3" t="s">
        <v>714</v>
      </c>
      <c r="AS215" s="3" t="s">
        <v>713</v>
      </c>
      <c r="AT215" s="4">
        <v>44139</v>
      </c>
      <c r="AU215" s="3" t="s">
        <v>1056</v>
      </c>
      <c r="AV215" s="3">
        <v>23</v>
      </c>
      <c r="AW215" s="3" t="s">
        <v>1057</v>
      </c>
    </row>
    <row r="216" spans="1:49" x14ac:dyDescent="0.55000000000000004">
      <c r="A216" s="3" t="str">
        <f>HYPERLINK("https://www.infodis.net/philips/net/Shipment/Details?InfodisNumber=4544884&amp;DomainCode=DAP", "4544884")</f>
        <v>4544884</v>
      </c>
      <c r="B216" s="3" t="s">
        <v>1058</v>
      </c>
      <c r="C216" s="3" t="s">
        <v>75</v>
      </c>
      <c r="D216" s="3" t="s">
        <v>76</v>
      </c>
      <c r="E216" s="3" t="s">
        <v>75</v>
      </c>
      <c r="F216" s="3" t="s">
        <v>77</v>
      </c>
      <c r="G216" s="3" t="s">
        <v>78</v>
      </c>
      <c r="H216" s="3" t="s">
        <v>79</v>
      </c>
      <c r="I216" s="3" t="s">
        <v>80</v>
      </c>
      <c r="J216" s="3" t="s">
        <v>81</v>
      </c>
      <c r="K216" s="3" t="s">
        <v>82</v>
      </c>
      <c r="L216" s="3" t="s">
        <v>83</v>
      </c>
      <c r="M216" s="3" t="s">
        <v>84</v>
      </c>
      <c r="N216" s="3"/>
      <c r="O216" s="3"/>
      <c r="P216" s="3" t="s">
        <v>86</v>
      </c>
      <c r="Q216" s="3"/>
      <c r="R216" s="3" t="s">
        <v>87</v>
      </c>
      <c r="S216" s="4">
        <v>44133</v>
      </c>
      <c r="T216" s="4">
        <v>44137</v>
      </c>
      <c r="U216" s="3"/>
      <c r="V216" s="4">
        <v>44142</v>
      </c>
      <c r="W216" s="3"/>
      <c r="X216" s="3"/>
      <c r="Y216" s="3" t="s">
        <v>89</v>
      </c>
      <c r="Z216" s="3" t="s">
        <v>89</v>
      </c>
      <c r="AA216" s="3" t="s">
        <v>89</v>
      </c>
      <c r="AB216" s="3" t="s">
        <v>67</v>
      </c>
      <c r="AC216" s="3" t="s">
        <v>67</v>
      </c>
      <c r="AD216" s="3" t="s">
        <v>67</v>
      </c>
      <c r="AE216" s="3" t="s">
        <v>90</v>
      </c>
      <c r="AF216" s="3" t="s">
        <v>70</v>
      </c>
      <c r="AG216" s="3" t="s">
        <v>71</v>
      </c>
      <c r="AH216" s="3" t="s">
        <v>72</v>
      </c>
      <c r="AI216" s="3" t="s">
        <v>73</v>
      </c>
      <c r="AJ216" s="3">
        <v>0</v>
      </c>
      <c r="AK216" s="3">
        <v>0</v>
      </c>
      <c r="AL216" s="3">
        <v>0</v>
      </c>
      <c r="AM216" s="3">
        <v>0</v>
      </c>
      <c r="AN216" s="3">
        <v>48</v>
      </c>
      <c r="AO216" s="3">
        <v>10209.68</v>
      </c>
      <c r="AP216" s="3">
        <v>48</v>
      </c>
      <c r="AQ216" s="3" t="s">
        <v>713</v>
      </c>
      <c r="AR216" s="3" t="s">
        <v>714</v>
      </c>
      <c r="AS216" s="3" t="s">
        <v>713</v>
      </c>
      <c r="AT216" s="4">
        <v>44140</v>
      </c>
      <c r="AU216" s="3" t="s">
        <v>1059</v>
      </c>
      <c r="AV216" s="3">
        <v>22</v>
      </c>
      <c r="AW216" s="3" t="s">
        <v>1060</v>
      </c>
    </row>
    <row r="217" spans="1:49" x14ac:dyDescent="0.55000000000000004">
      <c r="A217" s="3" t="str">
        <f>HYPERLINK("https://www.infodis.net/philips/net/Shipment/Details?InfodisNumber=4545176&amp;DomainCode=DAP", "4545176")</f>
        <v>4545176</v>
      </c>
      <c r="B217" s="3" t="s">
        <v>1061</v>
      </c>
      <c r="C217" s="3" t="s">
        <v>302</v>
      </c>
      <c r="D217" s="3" t="s">
        <v>303</v>
      </c>
      <c r="E217" s="3" t="s">
        <v>304</v>
      </c>
      <c r="F217" s="3" t="s">
        <v>305</v>
      </c>
      <c r="G217" s="3" t="s">
        <v>306</v>
      </c>
      <c r="H217" s="3" t="s">
        <v>307</v>
      </c>
      <c r="I217" s="3" t="s">
        <v>245</v>
      </c>
      <c r="J217" s="3" t="s">
        <v>218</v>
      </c>
      <c r="K217" s="3" t="s">
        <v>219</v>
      </c>
      <c r="L217" s="3" t="s">
        <v>180</v>
      </c>
      <c r="M217" s="3" t="s">
        <v>60</v>
      </c>
      <c r="N217" s="3" t="s">
        <v>1062</v>
      </c>
      <c r="O217" s="3" t="s">
        <v>1063</v>
      </c>
      <c r="P217" s="3" t="s">
        <v>312</v>
      </c>
      <c r="Q217" s="3"/>
      <c r="R217" s="3" t="s">
        <v>223</v>
      </c>
      <c r="S217" s="4">
        <v>44133</v>
      </c>
      <c r="T217" s="4">
        <v>44138</v>
      </c>
      <c r="U217" s="3"/>
      <c r="V217" s="4">
        <v>44145</v>
      </c>
      <c r="W217" s="4">
        <v>44151</v>
      </c>
      <c r="X217" s="3"/>
      <c r="Y217" s="3" t="s">
        <v>65</v>
      </c>
      <c r="Z217" s="3" t="s">
        <v>65</v>
      </c>
      <c r="AA217" s="3" t="s">
        <v>198</v>
      </c>
      <c r="AB217" s="3" t="s">
        <v>67</v>
      </c>
      <c r="AC217" s="3" t="s">
        <v>67</v>
      </c>
      <c r="AD217" s="3" t="s">
        <v>67</v>
      </c>
      <c r="AE217" s="3" t="s">
        <v>90</v>
      </c>
      <c r="AF217" s="3" t="s">
        <v>70</v>
      </c>
      <c r="AG217" s="3" t="s">
        <v>71</v>
      </c>
      <c r="AH217" s="3" t="s">
        <v>199</v>
      </c>
      <c r="AI217" s="3" t="s">
        <v>73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4981.5039999999999</v>
      </c>
      <c r="AP217" s="3">
        <v>46.463999999999999</v>
      </c>
      <c r="AQ217" s="3" t="s">
        <v>713</v>
      </c>
      <c r="AR217" s="3" t="s">
        <v>714</v>
      </c>
      <c r="AS217" s="3" t="s">
        <v>713</v>
      </c>
      <c r="AT217" s="4">
        <v>44140</v>
      </c>
      <c r="AU217" s="3" t="s">
        <v>1017</v>
      </c>
      <c r="AV217" s="3">
        <v>22</v>
      </c>
      <c r="AW217" s="3" t="s">
        <v>721</v>
      </c>
    </row>
    <row r="218" spans="1:49" x14ac:dyDescent="0.55000000000000004">
      <c r="A218" s="3" t="str">
        <f>HYPERLINK("https://www.infodis.net/philips/net/Shipment/Details?InfodisNumber=6933602&amp;DomainCode=PHILIPSR1", "6933602")</f>
        <v>6933602</v>
      </c>
      <c r="B218" s="3" t="s">
        <v>1064</v>
      </c>
      <c r="C218" s="3" t="s">
        <v>1065</v>
      </c>
      <c r="D218" s="3" t="s">
        <v>1066</v>
      </c>
      <c r="E218" s="3" t="s">
        <v>1067</v>
      </c>
      <c r="F218" s="3" t="s">
        <v>1068</v>
      </c>
      <c r="G218" s="3" t="s">
        <v>1069</v>
      </c>
      <c r="H218" s="3" t="s">
        <v>180</v>
      </c>
      <c r="I218" s="3" t="s">
        <v>1070</v>
      </c>
      <c r="J218" s="3" t="s">
        <v>1071</v>
      </c>
      <c r="K218" s="3" t="s">
        <v>58</v>
      </c>
      <c r="L218" s="3" t="s">
        <v>59</v>
      </c>
      <c r="M218" s="3" t="s">
        <v>60</v>
      </c>
      <c r="N218" s="3"/>
      <c r="O218" s="3"/>
      <c r="P218" s="3" t="s">
        <v>1072</v>
      </c>
      <c r="Q218" s="3" t="s">
        <v>1073</v>
      </c>
      <c r="R218" s="3" t="s">
        <v>1074</v>
      </c>
      <c r="S218" s="4">
        <v>44132</v>
      </c>
      <c r="T218" s="4">
        <v>44134</v>
      </c>
      <c r="U218" s="4">
        <v>44140</v>
      </c>
      <c r="V218" s="4">
        <v>44162</v>
      </c>
      <c r="W218" s="4">
        <v>44160</v>
      </c>
      <c r="X218" s="3"/>
      <c r="Y218" s="3" t="s">
        <v>467</v>
      </c>
      <c r="Z218" s="3" t="s">
        <v>467</v>
      </c>
      <c r="AA218" s="3" t="s">
        <v>467</v>
      </c>
      <c r="AB218" s="3" t="s">
        <v>67</v>
      </c>
      <c r="AC218" s="3" t="s">
        <v>67</v>
      </c>
      <c r="AD218" s="3" t="s">
        <v>67</v>
      </c>
      <c r="AE218" s="3" t="s">
        <v>162</v>
      </c>
      <c r="AF218" s="3" t="s">
        <v>70</v>
      </c>
      <c r="AG218" s="3" t="s">
        <v>71</v>
      </c>
      <c r="AH218" s="3" t="s">
        <v>72</v>
      </c>
      <c r="AI218" s="3" t="s">
        <v>252</v>
      </c>
      <c r="AJ218" s="3">
        <v>0</v>
      </c>
      <c r="AK218" s="3">
        <v>0</v>
      </c>
      <c r="AL218" s="3">
        <v>0</v>
      </c>
      <c r="AM218" s="3">
        <v>0</v>
      </c>
      <c r="AN218" s="3">
        <v>9</v>
      </c>
      <c r="AO218" s="3">
        <v>1528.61</v>
      </c>
      <c r="AP218" s="3">
        <v>26.901</v>
      </c>
      <c r="AQ218" s="3" t="s">
        <v>713</v>
      </c>
      <c r="AR218" s="3" t="s">
        <v>714</v>
      </c>
      <c r="AS218" s="3" t="s">
        <v>713</v>
      </c>
      <c r="AT218" s="4">
        <v>44133</v>
      </c>
      <c r="AU218" s="3" t="s">
        <v>1075</v>
      </c>
      <c r="AV218" s="3">
        <v>29</v>
      </c>
      <c r="AW218" s="3" t="s">
        <v>1076</v>
      </c>
    </row>
    <row r="219" spans="1:49" x14ac:dyDescent="0.55000000000000004">
      <c r="A219" s="3" t="str">
        <f>HYPERLINK("https://www.infodis.net/philips/net/Shipment/Details?InfodisNumber=4551894&amp;DomainCode=DAP", "4551894")</f>
        <v>4551894</v>
      </c>
      <c r="B219" s="3" t="s">
        <v>1077</v>
      </c>
      <c r="C219" s="3" t="s">
        <v>585</v>
      </c>
      <c r="D219" s="3" t="s">
        <v>586</v>
      </c>
      <c r="E219" s="3" t="s">
        <v>393</v>
      </c>
      <c r="F219" s="3" t="s">
        <v>1078</v>
      </c>
      <c r="G219" s="3" t="s">
        <v>394</v>
      </c>
      <c r="H219" s="3" t="s">
        <v>79</v>
      </c>
      <c r="I219" s="3" t="s">
        <v>395</v>
      </c>
      <c r="J219" s="3" t="s">
        <v>194</v>
      </c>
      <c r="K219" s="3" t="s">
        <v>269</v>
      </c>
      <c r="L219" s="3" t="s">
        <v>180</v>
      </c>
      <c r="M219" s="3" t="s">
        <v>60</v>
      </c>
      <c r="N219" s="3" t="s">
        <v>1079</v>
      </c>
      <c r="O219" s="3" t="s">
        <v>1080</v>
      </c>
      <c r="P219" s="3" t="s">
        <v>398</v>
      </c>
      <c r="Q219" s="3"/>
      <c r="R219" s="3" t="s">
        <v>271</v>
      </c>
      <c r="S219" s="4">
        <v>44141</v>
      </c>
      <c r="T219" s="4">
        <v>44141</v>
      </c>
      <c r="U219" s="3"/>
      <c r="V219" s="4">
        <v>44146</v>
      </c>
      <c r="W219" s="4">
        <v>44146</v>
      </c>
      <c r="X219" s="3"/>
      <c r="Y219" s="3" t="s">
        <v>399</v>
      </c>
      <c r="Z219" s="3" t="s">
        <v>273</v>
      </c>
      <c r="AA219" s="3" t="s">
        <v>198</v>
      </c>
      <c r="AB219" s="3" t="s">
        <v>67</v>
      </c>
      <c r="AC219" s="3" t="s">
        <v>67</v>
      </c>
      <c r="AD219" s="3" t="s">
        <v>67</v>
      </c>
      <c r="AE219" s="3" t="s">
        <v>69</v>
      </c>
      <c r="AF219" s="3" t="s">
        <v>70</v>
      </c>
      <c r="AG219" s="3" t="s">
        <v>71</v>
      </c>
      <c r="AH219" s="3" t="s">
        <v>72</v>
      </c>
      <c r="AI219" s="3" t="s">
        <v>73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6018.3</v>
      </c>
      <c r="AP219" s="3">
        <v>54.48</v>
      </c>
      <c r="AQ219" s="3" t="s">
        <v>713</v>
      </c>
      <c r="AR219" s="3" t="s">
        <v>714</v>
      </c>
      <c r="AS219" s="3" t="s">
        <v>713</v>
      </c>
      <c r="AT219" s="4">
        <v>44153</v>
      </c>
      <c r="AU219" s="3">
        <v>2601058</v>
      </c>
      <c r="AV219" s="3">
        <v>9</v>
      </c>
      <c r="AW219" s="3" t="s">
        <v>721</v>
      </c>
    </row>
    <row r="220" spans="1:49" x14ac:dyDescent="0.55000000000000004">
      <c r="A220" s="3" t="str">
        <f>HYPERLINK("https://www.infodis.net/philips/net/Shipment/Details?InfodisNumber=4554289&amp;DomainCode=DAP", "4554289")</f>
        <v>4554289</v>
      </c>
      <c r="B220" s="3" t="s">
        <v>1081</v>
      </c>
      <c r="C220" s="3" t="s">
        <v>677</v>
      </c>
      <c r="D220" s="3" t="s">
        <v>678</v>
      </c>
      <c r="E220" s="3" t="s">
        <v>677</v>
      </c>
      <c r="F220" s="3" t="s">
        <v>77</v>
      </c>
      <c r="G220" s="3" t="s">
        <v>204</v>
      </c>
      <c r="H220" s="3" t="s">
        <v>79</v>
      </c>
      <c r="I220" s="3" t="s">
        <v>122</v>
      </c>
      <c r="J220" s="3" t="s">
        <v>156</v>
      </c>
      <c r="K220" s="3" t="s">
        <v>82</v>
      </c>
      <c r="L220" s="3" t="s">
        <v>83</v>
      </c>
      <c r="M220" s="3" t="s">
        <v>261</v>
      </c>
      <c r="N220" s="3" t="s">
        <v>1082</v>
      </c>
      <c r="O220" s="3" t="s">
        <v>1083</v>
      </c>
      <c r="P220" s="3" t="s">
        <v>679</v>
      </c>
      <c r="Q220" s="3"/>
      <c r="R220" s="3" t="s">
        <v>87</v>
      </c>
      <c r="S220" s="4">
        <v>44145</v>
      </c>
      <c r="T220" s="4">
        <v>44151</v>
      </c>
      <c r="U220" s="3"/>
      <c r="V220" s="4">
        <v>44154</v>
      </c>
      <c r="W220" s="4">
        <v>44155</v>
      </c>
      <c r="X220" s="3"/>
      <c r="Y220" s="3" t="s">
        <v>66</v>
      </c>
      <c r="Z220" s="3" t="s">
        <v>105</v>
      </c>
      <c r="AA220" s="3" t="s">
        <v>105</v>
      </c>
      <c r="AB220" s="3" t="s">
        <v>68</v>
      </c>
      <c r="AC220" s="3" t="s">
        <v>67</v>
      </c>
      <c r="AD220" s="3" t="s">
        <v>67</v>
      </c>
      <c r="AE220" s="3" t="s">
        <v>90</v>
      </c>
      <c r="AF220" s="3" t="s">
        <v>70</v>
      </c>
      <c r="AG220" s="3" t="s">
        <v>71</v>
      </c>
      <c r="AH220" s="3" t="s">
        <v>72</v>
      </c>
      <c r="AI220" s="3" t="s">
        <v>73</v>
      </c>
      <c r="AJ220" s="3">
        <v>0</v>
      </c>
      <c r="AK220" s="3">
        <v>0</v>
      </c>
      <c r="AL220" s="3">
        <v>0</v>
      </c>
      <c r="AM220" s="3">
        <v>0</v>
      </c>
      <c r="AN220" s="3">
        <v>28</v>
      </c>
      <c r="AO220" s="3">
        <v>4880.67</v>
      </c>
      <c r="AP220" s="3">
        <v>38.155000000000001</v>
      </c>
      <c r="AQ220" s="3" t="s">
        <v>713</v>
      </c>
      <c r="AR220" s="3" t="s">
        <v>714</v>
      </c>
      <c r="AS220" s="3" t="s">
        <v>713</v>
      </c>
      <c r="AT220" s="4">
        <v>44151</v>
      </c>
      <c r="AU220" s="3" t="s">
        <v>1021</v>
      </c>
      <c r="AV220" s="3">
        <v>11</v>
      </c>
      <c r="AW220" s="3" t="s">
        <v>742</v>
      </c>
    </row>
    <row r="221" spans="1:49" x14ac:dyDescent="0.55000000000000004">
      <c r="A221" s="3" t="str">
        <f>HYPERLINK("https://www.infodis.net/philips/net/Shipment/Details?InfodisNumber=4544732&amp;DomainCode=DAP", "4544732")</f>
        <v>4544732</v>
      </c>
      <c r="B221" s="3" t="s">
        <v>1084</v>
      </c>
      <c r="C221" s="3" t="s">
        <v>344</v>
      </c>
      <c r="D221" s="3" t="s">
        <v>345</v>
      </c>
      <c r="E221" s="3" t="s">
        <v>344</v>
      </c>
      <c r="F221" s="3" t="s">
        <v>77</v>
      </c>
      <c r="G221" s="3" t="s">
        <v>346</v>
      </c>
      <c r="H221" s="3" t="s">
        <v>79</v>
      </c>
      <c r="I221" s="3" t="s">
        <v>80</v>
      </c>
      <c r="J221" s="3" t="s">
        <v>81</v>
      </c>
      <c r="K221" s="3" t="s">
        <v>82</v>
      </c>
      <c r="L221" s="3" t="s">
        <v>83</v>
      </c>
      <c r="M221" s="3" t="s">
        <v>84</v>
      </c>
      <c r="N221" s="3" t="s">
        <v>1085</v>
      </c>
      <c r="O221" s="3"/>
      <c r="P221" s="3" t="s">
        <v>348</v>
      </c>
      <c r="Q221" s="3"/>
      <c r="R221" s="3" t="s">
        <v>87</v>
      </c>
      <c r="S221" s="4">
        <v>44133</v>
      </c>
      <c r="T221" s="4">
        <v>44141</v>
      </c>
      <c r="U221" s="3"/>
      <c r="V221" s="4">
        <v>44146</v>
      </c>
      <c r="W221" s="3"/>
      <c r="X221" s="3"/>
      <c r="Y221" s="3" t="s">
        <v>66</v>
      </c>
      <c r="Z221" s="3" t="s">
        <v>89</v>
      </c>
      <c r="AA221" s="3" t="s">
        <v>89</v>
      </c>
      <c r="AB221" s="3" t="s">
        <v>68</v>
      </c>
      <c r="AC221" s="3" t="s">
        <v>67</v>
      </c>
      <c r="AD221" s="3" t="s">
        <v>67</v>
      </c>
      <c r="AE221" s="3" t="s">
        <v>90</v>
      </c>
      <c r="AF221" s="3" t="s">
        <v>70</v>
      </c>
      <c r="AG221" s="3" t="s">
        <v>71</v>
      </c>
      <c r="AH221" s="3" t="s">
        <v>72</v>
      </c>
      <c r="AI221" s="3" t="s">
        <v>73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2305.1</v>
      </c>
      <c r="AP221" s="3">
        <v>40.045000000000002</v>
      </c>
      <c r="AQ221" s="3" t="s">
        <v>713</v>
      </c>
      <c r="AR221" s="3" t="s">
        <v>714</v>
      </c>
      <c r="AS221" s="3" t="s">
        <v>713</v>
      </c>
      <c r="AT221" s="4">
        <v>44140</v>
      </c>
      <c r="AU221" s="3" t="s">
        <v>1059</v>
      </c>
      <c r="AV221" s="3">
        <v>22</v>
      </c>
      <c r="AW221" s="3" t="s">
        <v>1060</v>
      </c>
    </row>
    <row r="222" spans="1:49" x14ac:dyDescent="0.55000000000000004">
      <c r="A222" s="3" t="str">
        <f>HYPERLINK("https://www.infodis.net/philips/net/Shipment/Details?InfodisNumber=4551890&amp;DomainCode=DAP", "4551890")</f>
        <v>4551890</v>
      </c>
      <c r="B222" s="3" t="s">
        <v>1086</v>
      </c>
      <c r="C222" s="3" t="s">
        <v>391</v>
      </c>
      <c r="D222" s="3" t="s">
        <v>392</v>
      </c>
      <c r="E222" s="3" t="s">
        <v>393</v>
      </c>
      <c r="F222" s="3" t="s">
        <v>191</v>
      </c>
      <c r="G222" s="3" t="s">
        <v>394</v>
      </c>
      <c r="H222" s="3" t="s">
        <v>79</v>
      </c>
      <c r="I222" s="3" t="s">
        <v>395</v>
      </c>
      <c r="J222" s="3" t="s">
        <v>194</v>
      </c>
      <c r="K222" s="3" t="s">
        <v>195</v>
      </c>
      <c r="L222" s="3" t="s">
        <v>180</v>
      </c>
      <c r="M222" s="3" t="s">
        <v>385</v>
      </c>
      <c r="N222" s="3" t="s">
        <v>1087</v>
      </c>
      <c r="O222" s="3" t="s">
        <v>1088</v>
      </c>
      <c r="P222" s="3" t="s">
        <v>398</v>
      </c>
      <c r="Q222" s="3"/>
      <c r="R222" s="3" t="s">
        <v>197</v>
      </c>
      <c r="S222" s="4">
        <v>44141</v>
      </c>
      <c r="T222" s="4">
        <v>44141</v>
      </c>
      <c r="U222" s="3"/>
      <c r="V222" s="4">
        <v>44146</v>
      </c>
      <c r="W222" s="4">
        <v>44146</v>
      </c>
      <c r="X222" s="3"/>
      <c r="Y222" s="3" t="s">
        <v>399</v>
      </c>
      <c r="Z222" s="3" t="s">
        <v>273</v>
      </c>
      <c r="AA222" s="3" t="s">
        <v>198</v>
      </c>
      <c r="AB222" s="3" t="s">
        <v>67</v>
      </c>
      <c r="AC222" s="3" t="s">
        <v>67</v>
      </c>
      <c r="AD222" s="3" t="s">
        <v>67</v>
      </c>
      <c r="AE222" s="3" t="s">
        <v>69</v>
      </c>
      <c r="AF222" s="3" t="s">
        <v>70</v>
      </c>
      <c r="AG222" s="3" t="s">
        <v>71</v>
      </c>
      <c r="AH222" s="3" t="s">
        <v>199</v>
      </c>
      <c r="AI222" s="3" t="s">
        <v>73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6615.0360000000001</v>
      </c>
      <c r="AP222" s="3">
        <v>44.494999999999997</v>
      </c>
      <c r="AQ222" s="3" t="s">
        <v>713</v>
      </c>
      <c r="AR222" s="3" t="s">
        <v>714</v>
      </c>
      <c r="AS222" s="3" t="s">
        <v>713</v>
      </c>
      <c r="AT222" s="4">
        <v>44153</v>
      </c>
      <c r="AU222" s="3">
        <v>2601058</v>
      </c>
      <c r="AV222" s="3">
        <v>9</v>
      </c>
      <c r="AW222" s="3" t="s">
        <v>721</v>
      </c>
    </row>
    <row r="223" spans="1:49" x14ac:dyDescent="0.55000000000000004">
      <c r="A223" s="3" t="str">
        <f>HYPERLINK("https://www.infodis.net/philips/net/Shipment/Details?InfodisNumber=4553798&amp;DomainCode=DAP", "4553798")</f>
        <v>4553798</v>
      </c>
      <c r="B223" s="3" t="s">
        <v>1089</v>
      </c>
      <c r="C223" s="3" t="s">
        <v>479</v>
      </c>
      <c r="D223" s="3" t="s">
        <v>432</v>
      </c>
      <c r="E223" s="3" t="s">
        <v>94</v>
      </c>
      <c r="F223" s="3" t="s">
        <v>353</v>
      </c>
      <c r="G223" s="3" t="s">
        <v>480</v>
      </c>
      <c r="H223" s="3" t="s">
        <v>79</v>
      </c>
      <c r="I223" s="3" t="s">
        <v>122</v>
      </c>
      <c r="J223" s="3" t="s">
        <v>706</v>
      </c>
      <c r="K223" s="3" t="s">
        <v>1005</v>
      </c>
      <c r="L223" s="3" t="s">
        <v>357</v>
      </c>
      <c r="M223" s="3" t="s">
        <v>358</v>
      </c>
      <c r="N223" s="3"/>
      <c r="O223" s="3"/>
      <c r="P223" s="3" t="s">
        <v>466</v>
      </c>
      <c r="Q223" s="3"/>
      <c r="R223" s="3" t="s">
        <v>1006</v>
      </c>
      <c r="S223" s="4">
        <v>44144</v>
      </c>
      <c r="T223" s="4">
        <v>44160</v>
      </c>
      <c r="U223" s="3"/>
      <c r="V223" s="4">
        <v>44165</v>
      </c>
      <c r="W223" s="3"/>
      <c r="X223" s="3"/>
      <c r="Y223" s="3" t="s">
        <v>89</v>
      </c>
      <c r="Z223" s="3" t="s">
        <v>273</v>
      </c>
      <c r="AA223" s="3" t="s">
        <v>273</v>
      </c>
      <c r="AB223" s="3" t="s">
        <v>67</v>
      </c>
      <c r="AC223" s="3" t="s">
        <v>67</v>
      </c>
      <c r="AD223" s="3" t="s">
        <v>67</v>
      </c>
      <c r="AE223" s="3" t="s">
        <v>1007</v>
      </c>
      <c r="AF223" s="3" t="s">
        <v>70</v>
      </c>
      <c r="AG223" s="3" t="s">
        <v>71</v>
      </c>
      <c r="AH223" s="3" t="s">
        <v>72</v>
      </c>
      <c r="AI223" s="3" t="s">
        <v>73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</v>
      </c>
      <c r="AP223" s="3">
        <v>0</v>
      </c>
      <c r="AQ223" s="3" t="s">
        <v>713</v>
      </c>
      <c r="AR223" s="3" t="s">
        <v>714</v>
      </c>
      <c r="AS223" s="3" t="s">
        <v>713</v>
      </c>
      <c r="AT223" s="4">
        <v>44145</v>
      </c>
      <c r="AU223" s="3" t="s">
        <v>1008</v>
      </c>
      <c r="AV223" s="3">
        <v>17</v>
      </c>
      <c r="AW223" s="3" t="s">
        <v>1009</v>
      </c>
    </row>
    <row r="224" spans="1:49" x14ac:dyDescent="0.55000000000000004">
      <c r="A224" s="3" t="str">
        <f>HYPERLINK("https://www.infodis.net/philips/net/Shipment/Details?InfodisNumber=4542694&amp;DomainCode=DAP", "4542694")</f>
        <v>4542694</v>
      </c>
      <c r="B224" s="3" t="s">
        <v>1090</v>
      </c>
      <c r="C224" s="3" t="s">
        <v>1091</v>
      </c>
      <c r="D224" s="3" t="s">
        <v>1092</v>
      </c>
      <c r="E224" s="3" t="s">
        <v>94</v>
      </c>
      <c r="F224" s="3" t="s">
        <v>95</v>
      </c>
      <c r="G224" s="3" t="s">
        <v>96</v>
      </c>
      <c r="H224" s="3" t="s">
        <v>79</v>
      </c>
      <c r="I224" s="3" t="s">
        <v>97</v>
      </c>
      <c r="J224" s="3" t="s">
        <v>98</v>
      </c>
      <c r="K224" s="3" t="s">
        <v>99</v>
      </c>
      <c r="L224" s="3" t="s">
        <v>100</v>
      </c>
      <c r="M224" s="3" t="s">
        <v>60</v>
      </c>
      <c r="N224" s="3" t="s">
        <v>1093</v>
      </c>
      <c r="O224" s="3" t="s">
        <v>1094</v>
      </c>
      <c r="P224" s="3" t="s">
        <v>1095</v>
      </c>
      <c r="Q224" s="3"/>
      <c r="R224" s="3" t="s">
        <v>104</v>
      </c>
      <c r="S224" s="4">
        <v>44130</v>
      </c>
      <c r="T224" s="4">
        <v>44126</v>
      </c>
      <c r="U224" s="4">
        <v>44127</v>
      </c>
      <c r="V224" s="4">
        <v>44131</v>
      </c>
      <c r="W224" s="4">
        <v>44140</v>
      </c>
      <c r="X224" s="3"/>
      <c r="Y224" s="3" t="s">
        <v>89</v>
      </c>
      <c r="Z224" s="3" t="s">
        <v>138</v>
      </c>
      <c r="AA224" s="3" t="s">
        <v>106</v>
      </c>
      <c r="AB224" s="3" t="s">
        <v>67</v>
      </c>
      <c r="AC224" s="3" t="s">
        <v>67</v>
      </c>
      <c r="AD224" s="3" t="s">
        <v>67</v>
      </c>
      <c r="AE224" s="3" t="s">
        <v>69</v>
      </c>
      <c r="AF224" s="3" t="s">
        <v>70</v>
      </c>
      <c r="AG224" s="3" t="s">
        <v>71</v>
      </c>
      <c r="AH224" s="3" t="s">
        <v>72</v>
      </c>
      <c r="AI224" s="3" t="s">
        <v>73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6982.54</v>
      </c>
      <c r="AP224" s="3">
        <v>62.134999999999998</v>
      </c>
      <c r="AQ224" s="3" t="s">
        <v>713</v>
      </c>
      <c r="AR224" s="3" t="s">
        <v>714</v>
      </c>
      <c r="AS224" s="3" t="s">
        <v>713</v>
      </c>
      <c r="AT224" s="4">
        <v>44133</v>
      </c>
      <c r="AU224" s="3" t="s">
        <v>783</v>
      </c>
      <c r="AV224" s="3">
        <v>29</v>
      </c>
      <c r="AW224" s="3" t="s">
        <v>784</v>
      </c>
    </row>
    <row r="225" spans="1:49" x14ac:dyDescent="0.55000000000000004">
      <c r="A225" s="3" t="str">
        <f>HYPERLINK("https://www.infodis.net/philips/net/Shipment/Details?InfodisNumber=4543122&amp;DomainCode=DAP", "4543122")</f>
        <v>4543122</v>
      </c>
      <c r="B225" s="3" t="s">
        <v>1096</v>
      </c>
      <c r="C225" s="3" t="s">
        <v>1091</v>
      </c>
      <c r="D225" s="3" t="s">
        <v>1092</v>
      </c>
      <c r="E225" s="3" t="s">
        <v>94</v>
      </c>
      <c r="F225" s="3" t="s">
        <v>95</v>
      </c>
      <c r="G225" s="3" t="s">
        <v>96</v>
      </c>
      <c r="H225" s="3" t="s">
        <v>79</v>
      </c>
      <c r="I225" s="3" t="s">
        <v>97</v>
      </c>
      <c r="J225" s="3" t="s">
        <v>98</v>
      </c>
      <c r="K225" s="3" t="s">
        <v>99</v>
      </c>
      <c r="L225" s="3" t="s">
        <v>100</v>
      </c>
      <c r="M225" s="3" t="s">
        <v>60</v>
      </c>
      <c r="N225" s="3" t="s">
        <v>115</v>
      </c>
      <c r="O225" s="3" t="s">
        <v>1097</v>
      </c>
      <c r="P225" s="3" t="s">
        <v>1095</v>
      </c>
      <c r="Q225" s="3"/>
      <c r="R225" s="3" t="s">
        <v>104</v>
      </c>
      <c r="S225" s="4">
        <v>44131</v>
      </c>
      <c r="T225" s="4">
        <v>44131</v>
      </c>
      <c r="U225" s="4">
        <v>44132</v>
      </c>
      <c r="V225" s="4">
        <v>44136</v>
      </c>
      <c r="W225" s="4">
        <v>44136</v>
      </c>
      <c r="X225" s="3"/>
      <c r="Y225" s="3" t="s">
        <v>89</v>
      </c>
      <c r="Z225" s="3" t="s">
        <v>105</v>
      </c>
      <c r="AA225" s="3" t="s">
        <v>106</v>
      </c>
      <c r="AB225" s="3" t="s">
        <v>67</v>
      </c>
      <c r="AC225" s="3" t="s">
        <v>67</v>
      </c>
      <c r="AD225" s="3" t="s">
        <v>67</v>
      </c>
      <c r="AE225" s="3" t="s">
        <v>502</v>
      </c>
      <c r="AF225" s="3" t="s">
        <v>70</v>
      </c>
      <c r="AG225" s="3" t="s">
        <v>71</v>
      </c>
      <c r="AH225" s="3" t="s">
        <v>72</v>
      </c>
      <c r="AI225" s="3" t="s">
        <v>73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17300.189999999999</v>
      </c>
      <c r="AP225" s="3">
        <v>159.02099999999999</v>
      </c>
      <c r="AQ225" s="3" t="s">
        <v>713</v>
      </c>
      <c r="AR225" s="3" t="s">
        <v>714</v>
      </c>
      <c r="AS225" s="3" t="s">
        <v>713</v>
      </c>
      <c r="AT225" s="4">
        <v>44133</v>
      </c>
      <c r="AU225" s="3" t="s">
        <v>783</v>
      </c>
      <c r="AV225" s="3">
        <v>29</v>
      </c>
      <c r="AW225" s="3" t="s">
        <v>784</v>
      </c>
    </row>
    <row r="226" spans="1:49" x14ac:dyDescent="0.55000000000000004">
      <c r="A226" s="3" t="str">
        <f>HYPERLINK("https://www.infodis.net/philips/net/Shipment/Details?InfodisNumber=4551683&amp;DomainCode=DAP", "4551683")</f>
        <v>4551683</v>
      </c>
      <c r="B226" s="3" t="s">
        <v>1098</v>
      </c>
      <c r="C226" s="3" t="s">
        <v>351</v>
      </c>
      <c r="D226" s="3" t="s">
        <v>352</v>
      </c>
      <c r="E226" s="3" t="s">
        <v>94</v>
      </c>
      <c r="F226" s="3" t="s">
        <v>353</v>
      </c>
      <c r="G226" s="3" t="s">
        <v>354</v>
      </c>
      <c r="H226" s="3" t="s">
        <v>79</v>
      </c>
      <c r="I226" s="3" t="s">
        <v>122</v>
      </c>
      <c r="J226" s="3" t="s">
        <v>516</v>
      </c>
      <c r="K226" s="3" t="s">
        <v>356</v>
      </c>
      <c r="L226" s="3" t="s">
        <v>357</v>
      </c>
      <c r="M226" s="3" t="s">
        <v>358</v>
      </c>
      <c r="N226" s="3"/>
      <c r="O226" s="3"/>
      <c r="P226" s="3" t="s">
        <v>360</v>
      </c>
      <c r="Q226" s="3"/>
      <c r="R226" s="3" t="s">
        <v>361</v>
      </c>
      <c r="S226" s="4">
        <v>44141</v>
      </c>
      <c r="T226" s="4">
        <v>44180</v>
      </c>
      <c r="U226" s="3"/>
      <c r="V226" s="4">
        <v>44185</v>
      </c>
      <c r="W226" s="3"/>
      <c r="X226" s="3"/>
      <c r="Y226" s="3" t="s">
        <v>89</v>
      </c>
      <c r="Z226" s="3" t="s">
        <v>65</v>
      </c>
      <c r="AA226" s="3" t="s">
        <v>65</v>
      </c>
      <c r="AB226" s="3" t="s">
        <v>67</v>
      </c>
      <c r="AC226" s="3" t="s">
        <v>67</v>
      </c>
      <c r="AD226" s="3" t="s">
        <v>67</v>
      </c>
      <c r="AE226" s="3" t="s">
        <v>69</v>
      </c>
      <c r="AF226" s="3" t="s">
        <v>70</v>
      </c>
      <c r="AG226" s="3" t="s">
        <v>71</v>
      </c>
      <c r="AH226" s="3" t="s">
        <v>72</v>
      </c>
      <c r="AI226" s="3" t="s">
        <v>73</v>
      </c>
      <c r="AJ226" s="3">
        <v>0</v>
      </c>
      <c r="AK226" s="3">
        <v>0</v>
      </c>
      <c r="AL226" s="3">
        <v>0</v>
      </c>
      <c r="AM226" s="3">
        <v>0</v>
      </c>
      <c r="AN226" s="3">
        <v>70</v>
      </c>
      <c r="AO226" s="3">
        <v>6000</v>
      </c>
      <c r="AP226" s="3">
        <v>63</v>
      </c>
      <c r="AQ226" s="3" t="s">
        <v>713</v>
      </c>
      <c r="AR226" s="3" t="s">
        <v>714</v>
      </c>
      <c r="AS226" s="3" t="s">
        <v>713</v>
      </c>
      <c r="AT226" s="4">
        <v>44144</v>
      </c>
      <c r="AU226" s="3" t="s">
        <v>1099</v>
      </c>
      <c r="AV226" s="3">
        <v>18</v>
      </c>
      <c r="AW226" s="3" t="s">
        <v>1033</v>
      </c>
    </row>
    <row r="227" spans="1:49" x14ac:dyDescent="0.55000000000000004">
      <c r="A227" s="3" t="str">
        <f>HYPERLINK("https://www.infodis.net/philips/net/Shipment/Details?InfodisNumber=4551669&amp;DomainCode=DAP", "4551669")</f>
        <v>4551669</v>
      </c>
      <c r="B227" s="3" t="s">
        <v>1100</v>
      </c>
      <c r="C227" s="3" t="s">
        <v>351</v>
      </c>
      <c r="D227" s="3" t="s">
        <v>352</v>
      </c>
      <c r="E227" s="3" t="s">
        <v>94</v>
      </c>
      <c r="F227" s="3" t="s">
        <v>353</v>
      </c>
      <c r="G227" s="3" t="s">
        <v>354</v>
      </c>
      <c r="H227" s="3" t="s">
        <v>79</v>
      </c>
      <c r="I227" s="3" t="s">
        <v>122</v>
      </c>
      <c r="J227" s="3" t="s">
        <v>516</v>
      </c>
      <c r="K227" s="3" t="s">
        <v>356</v>
      </c>
      <c r="L227" s="3" t="s">
        <v>357</v>
      </c>
      <c r="M227" s="3" t="s">
        <v>358</v>
      </c>
      <c r="N227" s="3"/>
      <c r="O227" s="3"/>
      <c r="P227" s="3" t="s">
        <v>360</v>
      </c>
      <c r="Q227" s="3"/>
      <c r="R227" s="3" t="s">
        <v>361</v>
      </c>
      <c r="S227" s="4">
        <v>44141</v>
      </c>
      <c r="T227" s="4">
        <v>44166</v>
      </c>
      <c r="U227" s="3"/>
      <c r="V227" s="4">
        <v>44171</v>
      </c>
      <c r="W227" s="3"/>
      <c r="X227" s="3"/>
      <c r="Y227" s="3" t="s">
        <v>89</v>
      </c>
      <c r="Z227" s="3" t="s">
        <v>65</v>
      </c>
      <c r="AA227" s="3" t="s">
        <v>65</v>
      </c>
      <c r="AB227" s="3" t="s">
        <v>67</v>
      </c>
      <c r="AC227" s="3" t="s">
        <v>67</v>
      </c>
      <c r="AD227" s="3" t="s">
        <v>67</v>
      </c>
      <c r="AE227" s="3" t="s">
        <v>69</v>
      </c>
      <c r="AF227" s="3" t="s">
        <v>70</v>
      </c>
      <c r="AG227" s="3" t="s">
        <v>71</v>
      </c>
      <c r="AH227" s="3" t="s">
        <v>72</v>
      </c>
      <c r="AI227" s="3" t="s">
        <v>73</v>
      </c>
      <c r="AJ227" s="3">
        <v>0</v>
      </c>
      <c r="AK227" s="3">
        <v>0</v>
      </c>
      <c r="AL227" s="3">
        <v>0</v>
      </c>
      <c r="AM227" s="3">
        <v>0</v>
      </c>
      <c r="AN227" s="3">
        <v>70</v>
      </c>
      <c r="AO227" s="3">
        <v>6000</v>
      </c>
      <c r="AP227" s="3">
        <v>63</v>
      </c>
      <c r="AQ227" s="3" t="s">
        <v>713</v>
      </c>
      <c r="AR227" s="3" t="s">
        <v>714</v>
      </c>
      <c r="AS227" s="3" t="s">
        <v>713</v>
      </c>
      <c r="AT227" s="4">
        <v>44144</v>
      </c>
      <c r="AU227" s="3" t="s">
        <v>1099</v>
      </c>
      <c r="AV227" s="3">
        <v>18</v>
      </c>
      <c r="AW227" s="3" t="s">
        <v>1033</v>
      </c>
    </row>
    <row r="228" spans="1:49" x14ac:dyDescent="0.55000000000000004">
      <c r="A228" s="5" t="str">
        <f>HYPERLINK("https://www.infodis.net/philips/net/Shipment/Details?InfodisNumber=4553854&amp;DomainCode=DAP", "4553854")</f>
        <v>4553854</v>
      </c>
      <c r="B228" s="5" t="s">
        <v>1101</v>
      </c>
      <c r="C228" s="5" t="s">
        <v>585</v>
      </c>
      <c r="D228" s="5" t="s">
        <v>586</v>
      </c>
      <c r="E228" s="5" t="s">
        <v>393</v>
      </c>
      <c r="F228" s="5" t="s">
        <v>1102</v>
      </c>
      <c r="G228" s="5" t="s">
        <v>394</v>
      </c>
      <c r="H228" s="5" t="s">
        <v>79</v>
      </c>
      <c r="I228" s="5" t="s">
        <v>587</v>
      </c>
      <c r="J228" s="5" t="s">
        <v>1103</v>
      </c>
      <c r="K228" s="5" t="s">
        <v>797</v>
      </c>
      <c r="L228" s="5" t="s">
        <v>55</v>
      </c>
      <c r="M228" s="5" t="s">
        <v>309</v>
      </c>
      <c r="N228" s="5"/>
      <c r="O228" s="5"/>
      <c r="P228" s="5" t="s">
        <v>398</v>
      </c>
      <c r="Q228" s="5"/>
      <c r="R228" s="5" t="s">
        <v>615</v>
      </c>
      <c r="S228" s="6">
        <v>44144</v>
      </c>
      <c r="T228" s="6">
        <v>44152</v>
      </c>
      <c r="U228" s="5"/>
      <c r="V228" s="6">
        <v>44173</v>
      </c>
      <c r="W228" s="5"/>
      <c r="X228" s="5"/>
      <c r="Y228" s="5" t="s">
        <v>399</v>
      </c>
      <c r="Z228" s="5" t="s">
        <v>65</v>
      </c>
      <c r="AA228" s="5" t="s">
        <v>65</v>
      </c>
      <c r="AB228" s="5" t="s">
        <v>67</v>
      </c>
      <c r="AC228" s="5" t="s">
        <v>67</v>
      </c>
      <c r="AD228" s="5" t="s">
        <v>67</v>
      </c>
      <c r="AE228" s="5" t="s">
        <v>90</v>
      </c>
      <c r="AF228" s="5" t="s">
        <v>70</v>
      </c>
      <c r="AG228" s="5" t="s">
        <v>71</v>
      </c>
      <c r="AH228" s="5" t="s">
        <v>72</v>
      </c>
      <c r="AI228" s="5" t="s">
        <v>73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1</v>
      </c>
      <c r="AP228" s="5">
        <v>0</v>
      </c>
      <c r="AQ228" s="5" t="s">
        <v>713</v>
      </c>
      <c r="AR228" s="5" t="s">
        <v>1104</v>
      </c>
      <c r="AS228" s="5"/>
      <c r="AT228" s="5"/>
      <c r="AU228" s="5"/>
      <c r="AV228" s="5">
        <v>-1</v>
      </c>
      <c r="AW228" s="5" t="s">
        <v>1105</v>
      </c>
    </row>
    <row r="229" spans="1:49" x14ac:dyDescent="0.55000000000000004">
      <c r="A229" s="5" t="str">
        <f>HYPERLINK("https://www.infodis.net/philips/net/Shipment/Details?InfodisNumber=4499039&amp;DomainCode=DAP", "4499039")</f>
        <v>4499039</v>
      </c>
      <c r="B229" s="5" t="s">
        <v>1106</v>
      </c>
      <c r="C229" s="5" t="s">
        <v>1107</v>
      </c>
      <c r="D229" s="5" t="s">
        <v>1108</v>
      </c>
      <c r="E229" s="5" t="s">
        <v>1107</v>
      </c>
      <c r="F229" s="5" t="s">
        <v>1109</v>
      </c>
      <c r="G229" s="5" t="s">
        <v>855</v>
      </c>
      <c r="H229" s="5" t="s">
        <v>267</v>
      </c>
      <c r="I229" s="5" t="s">
        <v>268</v>
      </c>
      <c r="J229" s="5" t="s">
        <v>382</v>
      </c>
      <c r="K229" s="5" t="s">
        <v>383</v>
      </c>
      <c r="L229" s="5" t="s">
        <v>384</v>
      </c>
      <c r="M229" s="5" t="s">
        <v>261</v>
      </c>
      <c r="N229" s="5"/>
      <c r="O229" s="5"/>
      <c r="P229" s="5"/>
      <c r="Q229" s="5"/>
      <c r="R229" s="5" t="s">
        <v>389</v>
      </c>
      <c r="S229" s="6">
        <v>44069</v>
      </c>
      <c r="T229" s="6">
        <v>44074</v>
      </c>
      <c r="U229" s="5"/>
      <c r="V229" s="6">
        <v>44079</v>
      </c>
      <c r="W229" s="5"/>
      <c r="X229" s="5"/>
      <c r="Y229" s="5" t="s">
        <v>66</v>
      </c>
      <c r="Z229" s="5" t="s">
        <v>138</v>
      </c>
      <c r="AA229" s="5" t="s">
        <v>66</v>
      </c>
      <c r="AB229" s="5" t="s">
        <v>68</v>
      </c>
      <c r="AC229" s="5" t="s">
        <v>67</v>
      </c>
      <c r="AD229" s="5" t="s">
        <v>68</v>
      </c>
      <c r="AE229" s="5" t="s">
        <v>162</v>
      </c>
      <c r="AF229" s="5" t="s">
        <v>70</v>
      </c>
      <c r="AG229" s="5" t="s">
        <v>71</v>
      </c>
      <c r="AH229" s="5" t="s">
        <v>72</v>
      </c>
      <c r="AI229" s="5" t="s">
        <v>73</v>
      </c>
      <c r="AJ229" s="5">
        <v>0</v>
      </c>
      <c r="AK229" s="5">
        <v>0</v>
      </c>
      <c r="AL229" s="5">
        <v>0</v>
      </c>
      <c r="AM229" s="5">
        <v>0</v>
      </c>
      <c r="AN229" s="5">
        <v>54190</v>
      </c>
      <c r="AO229" s="5">
        <v>2642</v>
      </c>
      <c r="AP229" s="5">
        <v>15.432</v>
      </c>
      <c r="AQ229" s="5" t="s">
        <v>713</v>
      </c>
      <c r="AR229" s="5" t="s">
        <v>1104</v>
      </c>
      <c r="AS229" s="5"/>
      <c r="AT229" s="5"/>
      <c r="AU229" s="5"/>
      <c r="AV229" s="5">
        <v>-1</v>
      </c>
      <c r="AW229" s="5" t="s">
        <v>1110</v>
      </c>
    </row>
    <row r="230" spans="1:49" x14ac:dyDescent="0.55000000000000004">
      <c r="A230" s="5" t="str">
        <f>HYPERLINK("https://www.infodis.net/philips/net/Shipment/Details?InfodisNumber=4499420&amp;DomainCode=DAP", "4499420")</f>
        <v>4499420</v>
      </c>
      <c r="B230" s="5" t="s">
        <v>1111</v>
      </c>
      <c r="C230" s="5" t="s">
        <v>278</v>
      </c>
      <c r="D230" s="5" t="s">
        <v>279</v>
      </c>
      <c r="E230" s="5" t="s">
        <v>278</v>
      </c>
      <c r="F230" s="5" t="s">
        <v>256</v>
      </c>
      <c r="G230" s="5" t="s">
        <v>281</v>
      </c>
      <c r="H230" s="5" t="s">
        <v>79</v>
      </c>
      <c r="I230" s="5" t="s">
        <v>282</v>
      </c>
      <c r="J230" s="5" t="s">
        <v>258</v>
      </c>
      <c r="K230" s="5" t="s">
        <v>259</v>
      </c>
      <c r="L230" s="5" t="s">
        <v>260</v>
      </c>
      <c r="M230" s="5" t="s">
        <v>261</v>
      </c>
      <c r="N230" s="5" t="s">
        <v>115</v>
      </c>
      <c r="O230" s="5" t="s">
        <v>1112</v>
      </c>
      <c r="P230" s="5" t="s">
        <v>286</v>
      </c>
      <c r="Q230" s="5"/>
      <c r="R230" s="5" t="s">
        <v>262</v>
      </c>
      <c r="S230" s="6">
        <v>44070</v>
      </c>
      <c r="T230" s="6">
        <v>44069</v>
      </c>
      <c r="U230" s="5"/>
      <c r="V230" s="6">
        <v>44076</v>
      </c>
      <c r="W230" s="6">
        <v>44076</v>
      </c>
      <c r="X230" s="6">
        <v>44131</v>
      </c>
      <c r="Y230" s="5" t="s">
        <v>66</v>
      </c>
      <c r="Z230" s="5" t="s">
        <v>65</v>
      </c>
      <c r="AA230" s="5" t="s">
        <v>65</v>
      </c>
      <c r="AB230" s="5" t="s">
        <v>68</v>
      </c>
      <c r="AC230" s="5" t="s">
        <v>67</v>
      </c>
      <c r="AD230" s="5" t="s">
        <v>67</v>
      </c>
      <c r="AE230" s="5" t="s">
        <v>119</v>
      </c>
      <c r="AF230" s="5" t="s">
        <v>70</v>
      </c>
      <c r="AG230" s="5" t="s">
        <v>71</v>
      </c>
      <c r="AH230" s="5" t="s">
        <v>72</v>
      </c>
      <c r="AI230" s="5" t="s">
        <v>73</v>
      </c>
      <c r="AJ230" s="5">
        <v>0</v>
      </c>
      <c r="AK230" s="5">
        <v>0</v>
      </c>
      <c r="AL230" s="5">
        <v>0</v>
      </c>
      <c r="AM230" s="5">
        <v>0</v>
      </c>
      <c r="AN230" s="5">
        <v>92</v>
      </c>
      <c r="AO230" s="5">
        <v>14061.6</v>
      </c>
      <c r="AP230" s="5">
        <v>92</v>
      </c>
      <c r="AQ230" s="5" t="s">
        <v>713</v>
      </c>
      <c r="AR230" s="5" t="s">
        <v>1104</v>
      </c>
      <c r="AS230" s="5"/>
      <c r="AT230" s="5"/>
      <c r="AU230" s="5"/>
      <c r="AV230" s="5">
        <v>-1</v>
      </c>
      <c r="AW230" s="5" t="s">
        <v>1110</v>
      </c>
    </row>
    <row r="231" spans="1:49" x14ac:dyDescent="0.55000000000000004">
      <c r="A231" s="5" t="str">
        <f>HYPERLINK("https://www.infodis.net/philips/net/Shipment/Details?InfodisNumber=6974459&amp;DomainCode=PHILIPSR1", "6974459")</f>
        <v>6974459</v>
      </c>
      <c r="B231" s="5" t="s">
        <v>1113</v>
      </c>
      <c r="C231" s="5" t="s">
        <v>459</v>
      </c>
      <c r="D231" s="5" t="s">
        <v>618</v>
      </c>
      <c r="E231" s="5" t="s">
        <v>459</v>
      </c>
      <c r="F231" s="5" t="s">
        <v>458</v>
      </c>
      <c r="G231" s="5" t="s">
        <v>619</v>
      </c>
      <c r="H231" s="5" t="s">
        <v>79</v>
      </c>
      <c r="I231" s="5" t="s">
        <v>122</v>
      </c>
      <c r="J231" s="5" t="s">
        <v>218</v>
      </c>
      <c r="K231" s="5" t="s">
        <v>620</v>
      </c>
      <c r="L231" s="5" t="s">
        <v>180</v>
      </c>
      <c r="M231" s="5" t="s">
        <v>84</v>
      </c>
      <c r="N231" s="5" t="s">
        <v>1114</v>
      </c>
      <c r="O231" s="5" t="s">
        <v>1115</v>
      </c>
      <c r="P231" s="5" t="s">
        <v>623</v>
      </c>
      <c r="Q231" s="5"/>
      <c r="R231" s="5" t="s">
        <v>613</v>
      </c>
      <c r="S231" s="6">
        <v>44147</v>
      </c>
      <c r="T231" s="6">
        <v>44159</v>
      </c>
      <c r="U231" s="5"/>
      <c r="V231" s="6">
        <v>44162</v>
      </c>
      <c r="W231" s="6">
        <v>44161</v>
      </c>
      <c r="X231" s="5"/>
      <c r="Y231" s="5" t="s">
        <v>65</v>
      </c>
      <c r="Z231" s="5" t="s">
        <v>65</v>
      </c>
      <c r="AA231" s="5" t="s">
        <v>65</v>
      </c>
      <c r="AB231" s="5" t="s">
        <v>67</v>
      </c>
      <c r="AC231" s="5" t="s">
        <v>67</v>
      </c>
      <c r="AD231" s="5" t="s">
        <v>67</v>
      </c>
      <c r="AE231" s="5" t="s">
        <v>69</v>
      </c>
      <c r="AF231" s="5" t="s">
        <v>70</v>
      </c>
      <c r="AG231" s="5" t="s">
        <v>71</v>
      </c>
      <c r="AH231" s="5" t="s">
        <v>72</v>
      </c>
      <c r="AI231" s="5" t="s">
        <v>252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4555</v>
      </c>
      <c r="AP231" s="5">
        <v>62</v>
      </c>
      <c r="AQ231" s="5" t="s">
        <v>713</v>
      </c>
      <c r="AR231" s="5" t="s">
        <v>1104</v>
      </c>
      <c r="AS231" s="5"/>
      <c r="AT231" s="5"/>
      <c r="AU231" s="5"/>
      <c r="AV231" s="5">
        <v>-1</v>
      </c>
      <c r="AW231" s="5" t="s">
        <v>1105</v>
      </c>
    </row>
    <row r="232" spans="1:49" x14ac:dyDescent="0.55000000000000004">
      <c r="A232" s="5" t="str">
        <f>HYPERLINK("https://www.infodis.net/philips/net/Shipment/Details?InfodisNumber=6974469&amp;DomainCode=PHILIPSR1", "6974469")</f>
        <v>6974469</v>
      </c>
      <c r="B232" s="5" t="s">
        <v>1116</v>
      </c>
      <c r="C232" s="5" t="s">
        <v>459</v>
      </c>
      <c r="D232" s="5" t="s">
        <v>618</v>
      </c>
      <c r="E232" s="5" t="s">
        <v>459</v>
      </c>
      <c r="F232" s="5" t="s">
        <v>458</v>
      </c>
      <c r="G232" s="5" t="s">
        <v>619</v>
      </c>
      <c r="H232" s="5" t="s">
        <v>79</v>
      </c>
      <c r="I232" s="5" t="s">
        <v>122</v>
      </c>
      <c r="J232" s="5" t="s">
        <v>218</v>
      </c>
      <c r="K232" s="5" t="s">
        <v>620</v>
      </c>
      <c r="L232" s="5" t="s">
        <v>180</v>
      </c>
      <c r="M232" s="5" t="s">
        <v>84</v>
      </c>
      <c r="N232" s="5" t="s">
        <v>1117</v>
      </c>
      <c r="O232" s="5" t="s">
        <v>1118</v>
      </c>
      <c r="P232" s="5" t="s">
        <v>623</v>
      </c>
      <c r="Q232" s="5"/>
      <c r="R232" s="5" t="s">
        <v>613</v>
      </c>
      <c r="S232" s="6">
        <v>44147</v>
      </c>
      <c r="T232" s="6">
        <v>44160</v>
      </c>
      <c r="U232" s="5"/>
      <c r="V232" s="6">
        <v>44169</v>
      </c>
      <c r="W232" s="5"/>
      <c r="X232" s="5"/>
      <c r="Y232" s="5" t="s">
        <v>65</v>
      </c>
      <c r="Z232" s="5" t="s">
        <v>65</v>
      </c>
      <c r="AA232" s="5" t="s">
        <v>65</v>
      </c>
      <c r="AB232" s="5" t="s">
        <v>67</v>
      </c>
      <c r="AC232" s="5" t="s">
        <v>67</v>
      </c>
      <c r="AD232" s="5" t="s">
        <v>67</v>
      </c>
      <c r="AE232" s="5" t="s">
        <v>69</v>
      </c>
      <c r="AF232" s="5" t="s">
        <v>70</v>
      </c>
      <c r="AG232" s="5" t="s">
        <v>71</v>
      </c>
      <c r="AH232" s="5" t="s">
        <v>72</v>
      </c>
      <c r="AI232" s="5" t="s">
        <v>252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5133</v>
      </c>
      <c r="AP232" s="5">
        <v>63</v>
      </c>
      <c r="AQ232" s="5" t="s">
        <v>713</v>
      </c>
      <c r="AR232" s="5" t="s">
        <v>1104</v>
      </c>
      <c r="AS232" s="5"/>
      <c r="AT232" s="5"/>
      <c r="AU232" s="5"/>
      <c r="AV232" s="5">
        <v>-1</v>
      </c>
      <c r="AW232" s="5" t="s">
        <v>1105</v>
      </c>
    </row>
    <row r="233" spans="1:49" x14ac:dyDescent="0.55000000000000004">
      <c r="A233" s="5" t="str">
        <f>HYPERLINK("https://www.infodis.net/philips/net/Shipment/Details?InfodisNumber=6974464&amp;DomainCode=PHILIPSR1", "6974464")</f>
        <v>6974464</v>
      </c>
      <c r="B233" s="5" t="s">
        <v>1119</v>
      </c>
      <c r="C233" s="5" t="s">
        <v>459</v>
      </c>
      <c r="D233" s="5" t="s">
        <v>618</v>
      </c>
      <c r="E233" s="5" t="s">
        <v>459</v>
      </c>
      <c r="F233" s="5" t="s">
        <v>458</v>
      </c>
      <c r="G233" s="5" t="s">
        <v>619</v>
      </c>
      <c r="H233" s="5" t="s">
        <v>79</v>
      </c>
      <c r="I233" s="5" t="s">
        <v>122</v>
      </c>
      <c r="J233" s="5" t="s">
        <v>218</v>
      </c>
      <c r="K233" s="5" t="s">
        <v>620</v>
      </c>
      <c r="L233" s="5" t="s">
        <v>180</v>
      </c>
      <c r="M233" s="5" t="s">
        <v>84</v>
      </c>
      <c r="N233" s="5" t="s">
        <v>1120</v>
      </c>
      <c r="O233" s="5" t="s">
        <v>1121</v>
      </c>
      <c r="P233" s="5" t="s">
        <v>623</v>
      </c>
      <c r="Q233" s="5"/>
      <c r="R233" s="5" t="s">
        <v>613</v>
      </c>
      <c r="S233" s="6">
        <v>44147</v>
      </c>
      <c r="T233" s="6">
        <v>44159</v>
      </c>
      <c r="U233" s="5"/>
      <c r="V233" s="6">
        <v>44169</v>
      </c>
      <c r="W233" s="5"/>
      <c r="X233" s="5"/>
      <c r="Y233" s="5" t="s">
        <v>65</v>
      </c>
      <c r="Z233" s="5" t="s">
        <v>65</v>
      </c>
      <c r="AA233" s="5" t="s">
        <v>65</v>
      </c>
      <c r="AB233" s="5" t="s">
        <v>67</v>
      </c>
      <c r="AC233" s="5" t="s">
        <v>67</v>
      </c>
      <c r="AD233" s="5" t="s">
        <v>67</v>
      </c>
      <c r="AE233" s="5" t="s">
        <v>69</v>
      </c>
      <c r="AF233" s="5" t="s">
        <v>70</v>
      </c>
      <c r="AG233" s="5" t="s">
        <v>71</v>
      </c>
      <c r="AH233" s="5" t="s">
        <v>72</v>
      </c>
      <c r="AI233" s="5" t="s">
        <v>252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5208</v>
      </c>
      <c r="AP233" s="5">
        <v>63</v>
      </c>
      <c r="AQ233" s="5" t="s">
        <v>713</v>
      </c>
      <c r="AR233" s="5" t="s">
        <v>1104</v>
      </c>
      <c r="AS233" s="5"/>
      <c r="AT233" s="5"/>
      <c r="AU233" s="5"/>
      <c r="AV233" s="5">
        <v>-1</v>
      </c>
      <c r="AW233" s="5" t="s">
        <v>1105</v>
      </c>
    </row>
    <row r="234" spans="1:49" x14ac:dyDescent="0.55000000000000004">
      <c r="A234" s="5" t="str">
        <f>HYPERLINK("https://www.infodis.net/philips/net/Shipment/Details?InfodisNumber=4508696&amp;DomainCode=DAP", "4508696")</f>
        <v>4508696</v>
      </c>
      <c r="B234" s="5" t="s">
        <v>1122</v>
      </c>
      <c r="C234" s="5" t="s">
        <v>278</v>
      </c>
      <c r="D234" s="5" t="s">
        <v>279</v>
      </c>
      <c r="E234" s="5" t="s">
        <v>278</v>
      </c>
      <c r="F234" s="5" t="s">
        <v>256</v>
      </c>
      <c r="G234" s="5" t="s">
        <v>281</v>
      </c>
      <c r="H234" s="5" t="s">
        <v>79</v>
      </c>
      <c r="I234" s="5" t="s">
        <v>282</v>
      </c>
      <c r="J234" s="5" t="s">
        <v>258</v>
      </c>
      <c r="K234" s="5" t="s">
        <v>259</v>
      </c>
      <c r="L234" s="5" t="s">
        <v>260</v>
      </c>
      <c r="M234" s="5" t="s">
        <v>261</v>
      </c>
      <c r="N234" s="5" t="s">
        <v>115</v>
      </c>
      <c r="O234" s="5" t="s">
        <v>1123</v>
      </c>
      <c r="P234" s="5" t="s">
        <v>286</v>
      </c>
      <c r="Q234" s="5"/>
      <c r="R234" s="5" t="s">
        <v>262</v>
      </c>
      <c r="S234" s="6">
        <v>44082</v>
      </c>
      <c r="T234" s="6">
        <v>44089</v>
      </c>
      <c r="U234" s="5"/>
      <c r="V234" s="6">
        <v>44088</v>
      </c>
      <c r="W234" s="6">
        <v>44095</v>
      </c>
      <c r="X234" s="5"/>
      <c r="Y234" s="5" t="s">
        <v>66</v>
      </c>
      <c r="Z234" s="5" t="s">
        <v>65</v>
      </c>
      <c r="AA234" s="5" t="s">
        <v>65</v>
      </c>
      <c r="AB234" s="5" t="s">
        <v>68</v>
      </c>
      <c r="AC234" s="5" t="s">
        <v>67</v>
      </c>
      <c r="AD234" s="5" t="s">
        <v>67</v>
      </c>
      <c r="AE234" s="5" t="s">
        <v>349</v>
      </c>
      <c r="AF234" s="5" t="s">
        <v>70</v>
      </c>
      <c r="AG234" s="5" t="s">
        <v>71</v>
      </c>
      <c r="AH234" s="5" t="s">
        <v>72</v>
      </c>
      <c r="AI234" s="5" t="s">
        <v>73</v>
      </c>
      <c r="AJ234" s="5">
        <v>0</v>
      </c>
      <c r="AK234" s="5">
        <v>0</v>
      </c>
      <c r="AL234" s="5">
        <v>0</v>
      </c>
      <c r="AM234" s="5">
        <v>0</v>
      </c>
      <c r="AN234" s="5">
        <v>60</v>
      </c>
      <c r="AO234" s="5">
        <v>8905.68</v>
      </c>
      <c r="AP234" s="5">
        <v>60</v>
      </c>
      <c r="AQ234" s="5" t="s">
        <v>713</v>
      </c>
      <c r="AR234" s="5" t="s">
        <v>1104</v>
      </c>
      <c r="AS234" s="5"/>
      <c r="AT234" s="5"/>
      <c r="AU234" s="5"/>
      <c r="AV234" s="5">
        <v>-1</v>
      </c>
      <c r="AW234" s="5" t="s">
        <v>1110</v>
      </c>
    </row>
    <row r="235" spans="1:49" x14ac:dyDescent="0.55000000000000004">
      <c r="A235" s="5" t="str">
        <f>HYPERLINK("https://www.infodis.net/philips/net/Shipment/Details?InfodisNumber=4509177&amp;DomainCode=DAP", "4509177")</f>
        <v>4509177</v>
      </c>
      <c r="B235" s="5" t="s">
        <v>1124</v>
      </c>
      <c r="C235" s="5" t="s">
        <v>165</v>
      </c>
      <c r="D235" s="5" t="s">
        <v>166</v>
      </c>
      <c r="E235" s="5" t="s">
        <v>167</v>
      </c>
      <c r="F235" s="5" t="s">
        <v>167</v>
      </c>
      <c r="G235" s="5" t="s">
        <v>168</v>
      </c>
      <c r="H235" s="5" t="s">
        <v>79</v>
      </c>
      <c r="I235" s="5" t="s">
        <v>169</v>
      </c>
      <c r="J235" s="5" t="s">
        <v>170</v>
      </c>
      <c r="K235" s="5" t="s">
        <v>1125</v>
      </c>
      <c r="L235" s="5" t="s">
        <v>172</v>
      </c>
      <c r="M235" s="5" t="s">
        <v>84</v>
      </c>
      <c r="N235" s="5" t="s">
        <v>1126</v>
      </c>
      <c r="O235" s="5"/>
      <c r="P235" s="5" t="s">
        <v>173</v>
      </c>
      <c r="Q235" s="5" t="s">
        <v>1127</v>
      </c>
      <c r="R235" s="5" t="s">
        <v>1128</v>
      </c>
      <c r="S235" s="6">
        <v>44083</v>
      </c>
      <c r="T235" s="6">
        <v>44083</v>
      </c>
      <c r="U235" s="6">
        <v>44120</v>
      </c>
      <c r="V235" s="6">
        <v>44126</v>
      </c>
      <c r="W235" s="6">
        <v>44130</v>
      </c>
      <c r="X235" s="5"/>
      <c r="Y235" s="5" t="s">
        <v>175</v>
      </c>
      <c r="Z235" s="5" t="s">
        <v>175</v>
      </c>
      <c r="AA235" s="5" t="s">
        <v>175</v>
      </c>
      <c r="AB235" s="5" t="s">
        <v>67</v>
      </c>
      <c r="AC235" s="5" t="s">
        <v>67</v>
      </c>
      <c r="AD235" s="5" t="s">
        <v>67</v>
      </c>
      <c r="AE235" s="5" t="s">
        <v>90</v>
      </c>
      <c r="AF235" s="5" t="s">
        <v>70</v>
      </c>
      <c r="AG235" s="5" t="s">
        <v>71</v>
      </c>
      <c r="AH235" s="5" t="s">
        <v>72</v>
      </c>
      <c r="AI235" s="5" t="s">
        <v>73</v>
      </c>
      <c r="AJ235" s="5">
        <v>0</v>
      </c>
      <c r="AK235" s="5">
        <v>0</v>
      </c>
      <c r="AL235" s="5">
        <v>0</v>
      </c>
      <c r="AM235" s="5">
        <v>0</v>
      </c>
      <c r="AN235" s="5">
        <v>19</v>
      </c>
      <c r="AO235" s="5">
        <v>4118</v>
      </c>
      <c r="AP235" s="5">
        <v>22.533999999999999</v>
      </c>
      <c r="AQ235" s="5" t="s">
        <v>713</v>
      </c>
      <c r="AR235" s="5" t="s">
        <v>1104</v>
      </c>
      <c r="AS235" s="5" t="s">
        <v>713</v>
      </c>
      <c r="AT235" s="6">
        <v>44102</v>
      </c>
      <c r="AU235" s="5" t="s">
        <v>1129</v>
      </c>
      <c r="AV235" s="5">
        <v>60</v>
      </c>
      <c r="AW235" s="5" t="s">
        <v>1130</v>
      </c>
    </row>
    <row r="236" spans="1:49" x14ac:dyDescent="0.55000000000000004">
      <c r="A236" s="5" t="str">
        <f>HYPERLINK("https://www.infodis.net/philips/net/Shipment/Details?InfodisNumber=4505274&amp;DomainCode=DAP", "4505274")</f>
        <v>4505274</v>
      </c>
      <c r="B236" s="5" t="s">
        <v>1131</v>
      </c>
      <c r="C236" s="5" t="s">
        <v>431</v>
      </c>
      <c r="D236" s="5" t="s">
        <v>432</v>
      </c>
      <c r="E236" s="5" t="s">
        <v>94</v>
      </c>
      <c r="F236" s="5" t="s">
        <v>1132</v>
      </c>
      <c r="G236" s="5" t="s">
        <v>433</v>
      </c>
      <c r="H236" s="5" t="s">
        <v>79</v>
      </c>
      <c r="I236" s="5" t="s">
        <v>434</v>
      </c>
      <c r="J236" s="5" t="s">
        <v>1133</v>
      </c>
      <c r="K236" s="5" t="s">
        <v>1134</v>
      </c>
      <c r="L236" s="5" t="s">
        <v>1135</v>
      </c>
      <c r="M236" s="5" t="s">
        <v>261</v>
      </c>
      <c r="N236" s="5"/>
      <c r="O236" s="5"/>
      <c r="P236" s="5" t="s">
        <v>436</v>
      </c>
      <c r="Q236" s="5"/>
      <c r="R236" s="5" t="s">
        <v>1136</v>
      </c>
      <c r="S236" s="6">
        <v>44077</v>
      </c>
      <c r="T236" s="6">
        <v>44078</v>
      </c>
      <c r="U236" s="6">
        <v>44077</v>
      </c>
      <c r="V236" s="6">
        <v>44083</v>
      </c>
      <c r="W236" s="5"/>
      <c r="X236" s="5"/>
      <c r="Y236" s="5" t="s">
        <v>89</v>
      </c>
      <c r="Z236" s="5" t="s">
        <v>1137</v>
      </c>
      <c r="AA236" s="5" t="s">
        <v>66</v>
      </c>
      <c r="AB236" s="5" t="s">
        <v>67</v>
      </c>
      <c r="AC236" s="5" t="s">
        <v>67</v>
      </c>
      <c r="AD236" s="5" t="s">
        <v>68</v>
      </c>
      <c r="AE236" s="5" t="s">
        <v>162</v>
      </c>
      <c r="AF236" s="5" t="s">
        <v>70</v>
      </c>
      <c r="AG236" s="5" t="s">
        <v>71</v>
      </c>
      <c r="AH236" s="5" t="s">
        <v>72</v>
      </c>
      <c r="AI236" s="5" t="s">
        <v>73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3013.56</v>
      </c>
      <c r="AP236" s="5">
        <v>15.946</v>
      </c>
      <c r="AQ236" s="5" t="s">
        <v>713</v>
      </c>
      <c r="AR236" s="5" t="s">
        <v>1104</v>
      </c>
      <c r="AS236" s="5"/>
      <c r="AT236" s="5"/>
      <c r="AU236" s="5"/>
      <c r="AV236" s="5">
        <v>-1</v>
      </c>
      <c r="AW236" s="5" t="s">
        <v>1138</v>
      </c>
    </row>
    <row r="237" spans="1:49" x14ac:dyDescent="0.55000000000000004">
      <c r="A237" s="5" t="str">
        <f>HYPERLINK("https://www.infodis.net/philips/net/Shipment/Details?InfodisNumber=4554740&amp;DomainCode=DAP", "4554740")</f>
        <v>4554740</v>
      </c>
      <c r="B237" s="5" t="s">
        <v>1139</v>
      </c>
      <c r="C237" s="5" t="s">
        <v>165</v>
      </c>
      <c r="D237" s="5" t="s">
        <v>166</v>
      </c>
      <c r="E237" s="5" t="s">
        <v>167</v>
      </c>
      <c r="F237" s="5" t="s">
        <v>167</v>
      </c>
      <c r="G237" s="5" t="s">
        <v>168</v>
      </c>
      <c r="H237" s="5" t="s">
        <v>79</v>
      </c>
      <c r="I237" s="5" t="s">
        <v>169</v>
      </c>
      <c r="J237" s="5" t="s">
        <v>170</v>
      </c>
      <c r="K237" s="5" t="s">
        <v>171</v>
      </c>
      <c r="L237" s="5" t="s">
        <v>172</v>
      </c>
      <c r="M237" s="5" t="s">
        <v>84</v>
      </c>
      <c r="N237" s="5"/>
      <c r="O237" s="5"/>
      <c r="P237" s="5" t="s">
        <v>173</v>
      </c>
      <c r="Q237" s="5"/>
      <c r="R237" s="5" t="s">
        <v>174</v>
      </c>
      <c r="S237" s="6">
        <v>44145</v>
      </c>
      <c r="T237" s="6">
        <v>44148</v>
      </c>
      <c r="U237" s="6">
        <v>44148</v>
      </c>
      <c r="V237" s="6">
        <v>44153</v>
      </c>
      <c r="W237" s="5"/>
      <c r="X237" s="5"/>
      <c r="Y237" s="5" t="s">
        <v>175</v>
      </c>
      <c r="Z237" s="5" t="s">
        <v>175</v>
      </c>
      <c r="AA237" s="5" t="s">
        <v>175</v>
      </c>
      <c r="AB237" s="5" t="s">
        <v>67</v>
      </c>
      <c r="AC237" s="5" t="s">
        <v>67</v>
      </c>
      <c r="AD237" s="5" t="s">
        <v>67</v>
      </c>
      <c r="AE237" s="5" t="s">
        <v>90</v>
      </c>
      <c r="AF237" s="5" t="s">
        <v>70</v>
      </c>
      <c r="AG237" s="5" t="s">
        <v>71</v>
      </c>
      <c r="AH237" s="5" t="s">
        <v>72</v>
      </c>
      <c r="AI237" s="5" t="s">
        <v>73</v>
      </c>
      <c r="AJ237" s="5">
        <v>0</v>
      </c>
      <c r="AK237" s="5">
        <v>0</v>
      </c>
      <c r="AL237" s="5">
        <v>0</v>
      </c>
      <c r="AM237" s="5">
        <v>0</v>
      </c>
      <c r="AN237" s="5">
        <v>31</v>
      </c>
      <c r="AO237" s="5">
        <v>5853</v>
      </c>
      <c r="AP237" s="5">
        <v>20.143000000000001</v>
      </c>
      <c r="AQ237" s="5" t="s">
        <v>713</v>
      </c>
      <c r="AR237" s="5" t="s">
        <v>1104</v>
      </c>
      <c r="AS237" s="5"/>
      <c r="AT237" s="5"/>
      <c r="AU237" s="5"/>
      <c r="AV237" s="5">
        <v>-1</v>
      </c>
      <c r="AW237" s="5" t="s">
        <v>1140</v>
      </c>
    </row>
    <row r="238" spans="1:49" x14ac:dyDescent="0.55000000000000004">
      <c r="A238" s="5" t="str">
        <f>HYPERLINK("https://www.infodis.net/philips/net/Shipment/Details?InfodisNumber=4554592&amp;DomainCode=DAP", "4554592")</f>
        <v>4554592</v>
      </c>
      <c r="B238" s="5" t="s">
        <v>1141</v>
      </c>
      <c r="C238" s="5" t="s">
        <v>153</v>
      </c>
      <c r="D238" s="5" t="s">
        <v>154</v>
      </c>
      <c r="E238" s="5" t="s">
        <v>94</v>
      </c>
      <c r="F238" s="5" t="s">
        <v>1142</v>
      </c>
      <c r="G238" s="5" t="s">
        <v>82</v>
      </c>
      <c r="H238" s="5" t="s">
        <v>83</v>
      </c>
      <c r="I238" s="5" t="s">
        <v>156</v>
      </c>
      <c r="J238" s="5" t="s">
        <v>1143</v>
      </c>
      <c r="K238" s="5" t="s">
        <v>114</v>
      </c>
      <c r="L238" s="5" t="s">
        <v>59</v>
      </c>
      <c r="M238" s="5" t="s">
        <v>60</v>
      </c>
      <c r="N238" s="5" t="s">
        <v>1144</v>
      </c>
      <c r="O238" s="5" t="s">
        <v>1145</v>
      </c>
      <c r="P238" s="5" t="s">
        <v>87</v>
      </c>
      <c r="Q238" s="5"/>
      <c r="R238" s="5" t="s">
        <v>117</v>
      </c>
      <c r="S238" s="6">
        <v>44145</v>
      </c>
      <c r="T238" s="6">
        <v>44154</v>
      </c>
      <c r="U238" s="5"/>
      <c r="V238" s="6">
        <v>44154</v>
      </c>
      <c r="W238" s="6">
        <v>44154</v>
      </c>
      <c r="X238" s="5"/>
      <c r="Y238" s="5" t="s">
        <v>127</v>
      </c>
      <c r="Z238" s="5" t="s">
        <v>127</v>
      </c>
      <c r="AA238" s="5" t="s">
        <v>127</v>
      </c>
      <c r="AB238" s="5" t="s">
        <v>67</v>
      </c>
      <c r="AC238" s="5" t="s">
        <v>67</v>
      </c>
      <c r="AD238" s="5" t="s">
        <v>67</v>
      </c>
      <c r="AE238" s="5" t="s">
        <v>162</v>
      </c>
      <c r="AF238" s="5" t="s">
        <v>70</v>
      </c>
      <c r="AG238" s="5" t="s">
        <v>71</v>
      </c>
      <c r="AH238" s="5" t="s">
        <v>72</v>
      </c>
      <c r="AI238" s="5" t="s">
        <v>73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3847.07</v>
      </c>
      <c r="AP238" s="5">
        <v>24.567</v>
      </c>
      <c r="AQ238" s="5" t="s">
        <v>713</v>
      </c>
      <c r="AR238" s="5" t="s">
        <v>1104</v>
      </c>
      <c r="AS238" s="5"/>
      <c r="AT238" s="6">
        <v>44151</v>
      </c>
      <c r="AU238" s="5" t="s">
        <v>1146</v>
      </c>
      <c r="AV238" s="5">
        <v>11</v>
      </c>
      <c r="AW238" s="5" t="s">
        <v>1147</v>
      </c>
    </row>
    <row r="239" spans="1:49" x14ac:dyDescent="0.55000000000000004">
      <c r="A239" s="5" t="str">
        <f>HYPERLINK("https://www.infodis.net/philips/net/Shipment/Details?InfodisNumber=4553992&amp;DomainCode=DAP", "4553992")</f>
        <v>4553992</v>
      </c>
      <c r="B239" s="5" t="s">
        <v>1148</v>
      </c>
      <c r="C239" s="5" t="s">
        <v>165</v>
      </c>
      <c r="D239" s="5" t="s">
        <v>166</v>
      </c>
      <c r="E239" s="5" t="s">
        <v>167</v>
      </c>
      <c r="F239" s="5" t="s">
        <v>167</v>
      </c>
      <c r="G239" s="5" t="s">
        <v>168</v>
      </c>
      <c r="H239" s="5" t="s">
        <v>79</v>
      </c>
      <c r="I239" s="5" t="s">
        <v>169</v>
      </c>
      <c r="J239" s="5" t="s">
        <v>170</v>
      </c>
      <c r="K239" s="5" t="s">
        <v>171</v>
      </c>
      <c r="L239" s="5" t="s">
        <v>172</v>
      </c>
      <c r="M239" s="5" t="s">
        <v>84</v>
      </c>
      <c r="N239" s="5"/>
      <c r="O239" s="5"/>
      <c r="P239" s="5" t="s">
        <v>173</v>
      </c>
      <c r="Q239" s="5"/>
      <c r="R239" s="5" t="s">
        <v>174</v>
      </c>
      <c r="S239" s="6">
        <v>44144</v>
      </c>
      <c r="T239" s="6">
        <v>44146</v>
      </c>
      <c r="U239" s="6">
        <v>44148</v>
      </c>
      <c r="V239" s="6">
        <v>44151</v>
      </c>
      <c r="W239" s="5"/>
      <c r="X239" s="5"/>
      <c r="Y239" s="5" t="s">
        <v>175</v>
      </c>
      <c r="Z239" s="5" t="s">
        <v>175</v>
      </c>
      <c r="AA239" s="5" t="s">
        <v>175</v>
      </c>
      <c r="AB239" s="5" t="s">
        <v>67</v>
      </c>
      <c r="AC239" s="5" t="s">
        <v>67</v>
      </c>
      <c r="AD239" s="5" t="s">
        <v>67</v>
      </c>
      <c r="AE239" s="5" t="s">
        <v>162</v>
      </c>
      <c r="AF239" s="5" t="s">
        <v>70</v>
      </c>
      <c r="AG239" s="5" t="s">
        <v>71</v>
      </c>
      <c r="AH239" s="5" t="s">
        <v>72</v>
      </c>
      <c r="AI239" s="5" t="s">
        <v>73</v>
      </c>
      <c r="AJ239" s="5">
        <v>0</v>
      </c>
      <c r="AK239" s="5">
        <v>0</v>
      </c>
      <c r="AL239" s="5">
        <v>0</v>
      </c>
      <c r="AM239" s="5">
        <v>0</v>
      </c>
      <c r="AN239" s="5">
        <v>7</v>
      </c>
      <c r="AO239" s="5">
        <v>1428</v>
      </c>
      <c r="AP239" s="5">
        <v>7.6909999999999998</v>
      </c>
      <c r="AQ239" s="5" t="s">
        <v>713</v>
      </c>
      <c r="AR239" s="5" t="s">
        <v>1104</v>
      </c>
      <c r="AS239" s="5"/>
      <c r="AT239" s="5"/>
      <c r="AU239" s="5"/>
      <c r="AV239" s="5">
        <v>-1</v>
      </c>
      <c r="AW239" s="5" t="s">
        <v>1140</v>
      </c>
    </row>
    <row r="240" spans="1:49" x14ac:dyDescent="0.55000000000000004">
      <c r="A240" s="5" t="str">
        <f>HYPERLINK("https://www.infodis.net/philips/net/Shipment/Details?InfodisNumber=4510704&amp;DomainCode=DAP", "4510704")</f>
        <v>4510704</v>
      </c>
      <c r="B240" s="5" t="s">
        <v>1149</v>
      </c>
      <c r="C240" s="5" t="s">
        <v>1150</v>
      </c>
      <c r="D240" s="5" t="s">
        <v>1151</v>
      </c>
      <c r="E240" s="5" t="s">
        <v>1150</v>
      </c>
      <c r="F240" s="5" t="s">
        <v>256</v>
      </c>
      <c r="G240" s="5" t="s">
        <v>1152</v>
      </c>
      <c r="H240" s="5" t="s">
        <v>79</v>
      </c>
      <c r="I240" s="5" t="s">
        <v>587</v>
      </c>
      <c r="J240" s="5" t="s">
        <v>258</v>
      </c>
      <c r="K240" s="5" t="s">
        <v>259</v>
      </c>
      <c r="L240" s="5" t="s">
        <v>260</v>
      </c>
      <c r="M240" s="5" t="s">
        <v>261</v>
      </c>
      <c r="N240" s="5"/>
      <c r="O240" s="5"/>
      <c r="P240" s="5" t="s">
        <v>1153</v>
      </c>
      <c r="Q240" s="5" t="s">
        <v>1154</v>
      </c>
      <c r="R240" s="5" t="s">
        <v>262</v>
      </c>
      <c r="S240" s="6">
        <v>44085</v>
      </c>
      <c r="T240" s="6">
        <v>44088</v>
      </c>
      <c r="U240" s="5"/>
      <c r="V240" s="6">
        <v>44093</v>
      </c>
      <c r="W240" s="6">
        <v>44089</v>
      </c>
      <c r="X240" s="6">
        <v>44152</v>
      </c>
      <c r="Y240" s="5" t="s">
        <v>66</v>
      </c>
      <c r="Z240" s="5" t="s">
        <v>857</v>
      </c>
      <c r="AA240" s="5" t="s">
        <v>857</v>
      </c>
      <c r="AB240" s="5" t="s">
        <v>68</v>
      </c>
      <c r="AC240" s="5" t="s">
        <v>67</v>
      </c>
      <c r="AD240" s="5" t="s">
        <v>67</v>
      </c>
      <c r="AE240" s="5" t="s">
        <v>1155</v>
      </c>
      <c r="AF240" s="5" t="s">
        <v>70</v>
      </c>
      <c r="AG240" s="5" t="s">
        <v>71</v>
      </c>
      <c r="AH240" s="5" t="s">
        <v>72</v>
      </c>
      <c r="AI240" s="5" t="s">
        <v>73</v>
      </c>
      <c r="AJ240" s="5">
        <v>0</v>
      </c>
      <c r="AK240" s="5">
        <v>0</v>
      </c>
      <c r="AL240" s="5">
        <v>0</v>
      </c>
      <c r="AM240" s="5">
        <v>0</v>
      </c>
      <c r="AN240" s="5">
        <v>5</v>
      </c>
      <c r="AO240" s="5">
        <v>658.4</v>
      </c>
      <c r="AP240" s="5">
        <v>8.8800000000000008</v>
      </c>
      <c r="AQ240" s="5" t="s">
        <v>713</v>
      </c>
      <c r="AR240" s="5" t="s">
        <v>1104</v>
      </c>
      <c r="AS240" s="5"/>
      <c r="AT240" s="5"/>
      <c r="AU240" s="5"/>
      <c r="AV240" s="5">
        <v>-1</v>
      </c>
      <c r="AW240" s="5" t="s">
        <v>1110</v>
      </c>
    </row>
    <row r="241" spans="1:49" x14ac:dyDescent="0.55000000000000004">
      <c r="A241" s="5" t="str">
        <f>HYPERLINK("https://www.infodis.net/philips/net/Shipment/Details?InfodisNumber=6974470&amp;DomainCode=PHILIPSR1", "6974470")</f>
        <v>6974470</v>
      </c>
      <c r="B241" s="5" t="s">
        <v>1156</v>
      </c>
      <c r="C241" s="5" t="s">
        <v>459</v>
      </c>
      <c r="D241" s="5" t="s">
        <v>618</v>
      </c>
      <c r="E241" s="5" t="s">
        <v>459</v>
      </c>
      <c r="F241" s="5" t="s">
        <v>458</v>
      </c>
      <c r="G241" s="5" t="s">
        <v>619</v>
      </c>
      <c r="H241" s="5" t="s">
        <v>79</v>
      </c>
      <c r="I241" s="5" t="s">
        <v>122</v>
      </c>
      <c r="J241" s="5" t="s">
        <v>218</v>
      </c>
      <c r="K241" s="5" t="s">
        <v>620</v>
      </c>
      <c r="L241" s="5" t="s">
        <v>180</v>
      </c>
      <c r="M241" s="5" t="s">
        <v>84</v>
      </c>
      <c r="N241" s="5" t="s">
        <v>1157</v>
      </c>
      <c r="O241" s="5" t="s">
        <v>1158</v>
      </c>
      <c r="P241" s="5" t="s">
        <v>623</v>
      </c>
      <c r="Q241" s="5"/>
      <c r="R241" s="5" t="s">
        <v>613</v>
      </c>
      <c r="S241" s="6">
        <v>44147</v>
      </c>
      <c r="T241" s="6">
        <v>44161</v>
      </c>
      <c r="U241" s="5"/>
      <c r="V241" s="6">
        <v>44169</v>
      </c>
      <c r="W241" s="5"/>
      <c r="X241" s="5"/>
      <c r="Y241" s="5" t="s">
        <v>65</v>
      </c>
      <c r="Z241" s="5" t="s">
        <v>65</v>
      </c>
      <c r="AA241" s="5" t="s">
        <v>65</v>
      </c>
      <c r="AB241" s="5" t="s">
        <v>67</v>
      </c>
      <c r="AC241" s="5" t="s">
        <v>67</v>
      </c>
      <c r="AD241" s="5" t="s">
        <v>67</v>
      </c>
      <c r="AE241" s="5" t="s">
        <v>69</v>
      </c>
      <c r="AF241" s="5" t="s">
        <v>70</v>
      </c>
      <c r="AG241" s="5" t="s">
        <v>71</v>
      </c>
      <c r="AH241" s="5" t="s">
        <v>72</v>
      </c>
      <c r="AI241" s="5" t="s">
        <v>252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6172</v>
      </c>
      <c r="AP241" s="5">
        <v>65</v>
      </c>
      <c r="AQ241" s="5" t="s">
        <v>713</v>
      </c>
      <c r="AR241" s="5" t="s">
        <v>1104</v>
      </c>
      <c r="AS241" s="5"/>
      <c r="AT241" s="5"/>
      <c r="AU241" s="5"/>
      <c r="AV241" s="5">
        <v>-1</v>
      </c>
      <c r="AW241" s="5" t="s">
        <v>1105</v>
      </c>
    </row>
    <row r="242" spans="1:49" x14ac:dyDescent="0.55000000000000004">
      <c r="A242" s="5" t="str">
        <f>HYPERLINK("https://www.infodis.net/philips/net/Shipment/Details?InfodisNumber=6921582&amp;DomainCode=PHILIPSR1", "6921582")</f>
        <v>6921582</v>
      </c>
      <c r="B242" s="5" t="s">
        <v>1159</v>
      </c>
      <c r="C242" s="5" t="s">
        <v>459</v>
      </c>
      <c r="D242" s="5" t="s">
        <v>618</v>
      </c>
      <c r="E242" s="5" t="s">
        <v>242</v>
      </c>
      <c r="F242" s="5" t="s">
        <v>1160</v>
      </c>
      <c r="G242" s="5" t="s">
        <v>619</v>
      </c>
      <c r="H242" s="5" t="s">
        <v>79</v>
      </c>
      <c r="I242" s="5" t="s">
        <v>122</v>
      </c>
      <c r="J242" s="5" t="s">
        <v>917</v>
      </c>
      <c r="K242" s="5" t="s">
        <v>1161</v>
      </c>
      <c r="L242" s="5" t="s">
        <v>881</v>
      </c>
      <c r="M242" s="5" t="s">
        <v>60</v>
      </c>
      <c r="N242" s="5" t="s">
        <v>1162</v>
      </c>
      <c r="O242" s="5" t="s">
        <v>1163</v>
      </c>
      <c r="P242" s="5" t="s">
        <v>623</v>
      </c>
      <c r="Q242" s="5"/>
      <c r="R242" s="5" t="s">
        <v>888</v>
      </c>
      <c r="S242" s="6">
        <v>44127</v>
      </c>
      <c r="T242" s="6">
        <v>44163</v>
      </c>
      <c r="U242" s="5"/>
      <c r="V242" s="6">
        <v>44165</v>
      </c>
      <c r="W242" s="5"/>
      <c r="X242" s="5"/>
      <c r="Y242" s="5" t="s">
        <v>65</v>
      </c>
      <c r="Z242" s="5" t="s">
        <v>65</v>
      </c>
      <c r="AA242" s="5" t="s">
        <v>65</v>
      </c>
      <c r="AB242" s="5" t="s">
        <v>67</v>
      </c>
      <c r="AC242" s="5" t="s">
        <v>67</v>
      </c>
      <c r="AD242" s="5" t="s">
        <v>67</v>
      </c>
      <c r="AE242" s="5" t="s">
        <v>69</v>
      </c>
      <c r="AF242" s="5" t="s">
        <v>70</v>
      </c>
      <c r="AG242" s="5" t="s">
        <v>71</v>
      </c>
      <c r="AH242" s="5" t="s">
        <v>72</v>
      </c>
      <c r="AI242" s="5" t="s">
        <v>252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5028</v>
      </c>
      <c r="AP242" s="5">
        <v>65</v>
      </c>
      <c r="AQ242" s="5" t="s">
        <v>713</v>
      </c>
      <c r="AR242" s="5" t="s">
        <v>1104</v>
      </c>
      <c r="AS242" s="5"/>
      <c r="AT242" s="5"/>
      <c r="AU242" s="5"/>
      <c r="AV242" s="5">
        <v>-1</v>
      </c>
      <c r="AW242" s="5" t="s">
        <v>1105</v>
      </c>
    </row>
    <row r="243" spans="1:49" x14ac:dyDescent="0.55000000000000004">
      <c r="A243" s="5" t="str">
        <f>HYPERLINK("https://www.infodis.net/philips/net/Shipment/Details?InfodisNumber=4493745&amp;DomainCode=DAP", "4493745")</f>
        <v>4493745</v>
      </c>
      <c r="B243" s="5" t="s">
        <v>1164</v>
      </c>
      <c r="C243" s="5" t="s">
        <v>1165</v>
      </c>
      <c r="D243" s="5" t="s">
        <v>1166</v>
      </c>
      <c r="E243" s="5" t="s">
        <v>1165</v>
      </c>
      <c r="F243" s="5" t="s">
        <v>256</v>
      </c>
      <c r="G243" s="5" t="s">
        <v>667</v>
      </c>
      <c r="H243" s="5" t="s">
        <v>79</v>
      </c>
      <c r="I243" s="5" t="s">
        <v>122</v>
      </c>
      <c r="J243" s="5" t="s">
        <v>258</v>
      </c>
      <c r="K243" s="5" t="s">
        <v>259</v>
      </c>
      <c r="L243" s="5" t="s">
        <v>260</v>
      </c>
      <c r="M243" s="5" t="s">
        <v>84</v>
      </c>
      <c r="N243" s="5" t="s">
        <v>1167</v>
      </c>
      <c r="O243" s="5"/>
      <c r="P243" s="5" t="s">
        <v>1168</v>
      </c>
      <c r="Q243" s="5"/>
      <c r="R243" s="5" t="s">
        <v>262</v>
      </c>
      <c r="S243" s="6">
        <v>44061</v>
      </c>
      <c r="T243" s="6">
        <v>44068</v>
      </c>
      <c r="U243" s="5"/>
      <c r="V243" s="6">
        <v>44073</v>
      </c>
      <c r="W243" s="5"/>
      <c r="X243" s="5"/>
      <c r="Y243" s="5" t="s">
        <v>66</v>
      </c>
      <c r="Z243" s="5" t="s">
        <v>649</v>
      </c>
      <c r="AA243" s="5" t="s">
        <v>649</v>
      </c>
      <c r="AB243" s="5" t="s">
        <v>68</v>
      </c>
      <c r="AC243" s="5" t="s">
        <v>67</v>
      </c>
      <c r="AD243" s="5" t="s">
        <v>67</v>
      </c>
      <c r="AE243" s="5" t="s">
        <v>90</v>
      </c>
      <c r="AF243" s="5" t="s">
        <v>70</v>
      </c>
      <c r="AG243" s="5" t="s">
        <v>71</v>
      </c>
      <c r="AH243" s="5" t="s">
        <v>72</v>
      </c>
      <c r="AI243" s="5" t="s">
        <v>73</v>
      </c>
      <c r="AJ243" s="5">
        <v>0</v>
      </c>
      <c r="AK243" s="5">
        <v>0</v>
      </c>
      <c r="AL243" s="5">
        <v>0</v>
      </c>
      <c r="AM243" s="5">
        <v>0</v>
      </c>
      <c r="AN243" s="5">
        <v>42</v>
      </c>
      <c r="AO243" s="5">
        <v>9782</v>
      </c>
      <c r="AP243" s="5">
        <v>54.661999999999999</v>
      </c>
      <c r="AQ243" s="5" t="s">
        <v>713</v>
      </c>
      <c r="AR243" s="5" t="s">
        <v>1104</v>
      </c>
      <c r="AS243" s="5"/>
      <c r="AT243" s="5"/>
      <c r="AU243" s="5"/>
      <c r="AV243" s="5">
        <v>-1</v>
      </c>
      <c r="AW243" s="5" t="s">
        <v>1110</v>
      </c>
    </row>
    <row r="244" spans="1:49" x14ac:dyDescent="0.55000000000000004">
      <c r="A244" s="5" t="str">
        <f>HYPERLINK("https://www.infodis.net/philips/net/Shipment/Details?InfodisNumber=5587309&amp;DomainCode=PHILIPSR1", "5587309")</f>
        <v>5587309</v>
      </c>
      <c r="B244" s="5" t="s">
        <v>1169</v>
      </c>
      <c r="C244" s="5" t="s">
        <v>607</v>
      </c>
      <c r="D244" s="5" t="s">
        <v>608</v>
      </c>
      <c r="E244" s="5" t="s">
        <v>458</v>
      </c>
      <c r="F244" s="5" t="s">
        <v>1170</v>
      </c>
      <c r="G244" s="5" t="s">
        <v>610</v>
      </c>
      <c r="H244" s="5" t="s">
        <v>180</v>
      </c>
      <c r="I244" s="5" t="s">
        <v>652</v>
      </c>
      <c r="J244" s="5" t="s">
        <v>1171</v>
      </c>
      <c r="K244" s="5" t="s">
        <v>1172</v>
      </c>
      <c r="L244" s="5" t="s">
        <v>234</v>
      </c>
      <c r="M244" s="5" t="s">
        <v>60</v>
      </c>
      <c r="N244" s="5"/>
      <c r="O244" s="5"/>
      <c r="P244" s="5" t="s">
        <v>613</v>
      </c>
      <c r="Q244" s="5"/>
      <c r="R244" s="5"/>
      <c r="S244" s="6">
        <v>43646</v>
      </c>
      <c r="T244" s="6">
        <v>43645</v>
      </c>
      <c r="U244" s="6">
        <v>43661</v>
      </c>
      <c r="V244" s="6">
        <v>43663</v>
      </c>
      <c r="W244" s="6">
        <v>43662</v>
      </c>
      <c r="X244" s="6">
        <v>43716</v>
      </c>
      <c r="Y244" s="5" t="s">
        <v>649</v>
      </c>
      <c r="Z244" s="5" t="s">
        <v>649</v>
      </c>
      <c r="AA244" s="5" t="s">
        <v>649</v>
      </c>
      <c r="AB244" s="5" t="s">
        <v>67</v>
      </c>
      <c r="AC244" s="5" t="s">
        <v>67</v>
      </c>
      <c r="AD244" s="5" t="s">
        <v>67</v>
      </c>
      <c r="AE244" s="5" t="s">
        <v>90</v>
      </c>
      <c r="AF244" s="5" t="s">
        <v>70</v>
      </c>
      <c r="AG244" s="5" t="s">
        <v>71</v>
      </c>
      <c r="AH244" s="5" t="s">
        <v>72</v>
      </c>
      <c r="AI244" s="5" t="s">
        <v>252</v>
      </c>
      <c r="AJ244" s="5">
        <v>0</v>
      </c>
      <c r="AK244" s="5">
        <v>0</v>
      </c>
      <c r="AL244" s="5">
        <v>0</v>
      </c>
      <c r="AM244" s="5">
        <v>0</v>
      </c>
      <c r="AN244" s="5">
        <v>12</v>
      </c>
      <c r="AO244" s="5">
        <v>1070.48</v>
      </c>
      <c r="AP244" s="5">
        <v>270.851</v>
      </c>
      <c r="AQ244" s="5" t="s">
        <v>713</v>
      </c>
      <c r="AR244" s="5" t="s">
        <v>1104</v>
      </c>
      <c r="AS244" s="5" t="s">
        <v>713</v>
      </c>
      <c r="AT244" s="6">
        <v>43790</v>
      </c>
      <c r="AU244" s="5" t="s">
        <v>1173</v>
      </c>
      <c r="AV244" s="5">
        <v>372</v>
      </c>
      <c r="AW244" s="5" t="s">
        <v>1174</v>
      </c>
    </row>
    <row r="245" spans="1:49" x14ac:dyDescent="0.55000000000000004">
      <c r="A245" s="5" t="str">
        <f>HYPERLINK("https://www.infodis.net/philips/net/Shipment/Details?InfodisNumber=4227003&amp;DomainCode=DAP", "4227003")</f>
        <v>4227003</v>
      </c>
      <c r="B245" s="5" t="s">
        <v>1175</v>
      </c>
      <c r="C245" s="5" t="s">
        <v>1176</v>
      </c>
      <c r="D245" s="5" t="s">
        <v>1177</v>
      </c>
      <c r="E245" s="5" t="s">
        <v>1176</v>
      </c>
      <c r="F245" s="5" t="s">
        <v>1178</v>
      </c>
      <c r="G245" s="5" t="s">
        <v>667</v>
      </c>
      <c r="H245" s="5" t="s">
        <v>79</v>
      </c>
      <c r="I245" s="5" t="s">
        <v>122</v>
      </c>
      <c r="J245" s="5" t="s">
        <v>194</v>
      </c>
      <c r="K245" s="5" t="s">
        <v>1179</v>
      </c>
      <c r="L245" s="5" t="s">
        <v>180</v>
      </c>
      <c r="M245" s="5" t="s">
        <v>84</v>
      </c>
      <c r="N245" s="5"/>
      <c r="O245" s="5"/>
      <c r="P245" s="5" t="s">
        <v>1180</v>
      </c>
      <c r="Q245" s="5"/>
      <c r="R245" s="5" t="s">
        <v>1181</v>
      </c>
      <c r="S245" s="6">
        <v>43648</v>
      </c>
      <c r="T245" s="6">
        <v>43656</v>
      </c>
      <c r="U245" s="5"/>
      <c r="V245" s="6">
        <v>43661</v>
      </c>
      <c r="W245" s="5"/>
      <c r="X245" s="5"/>
      <c r="Y245" s="5" t="s">
        <v>66</v>
      </c>
      <c r="Z245" s="5" t="s">
        <v>1182</v>
      </c>
      <c r="AA245" s="5" t="s">
        <v>1182</v>
      </c>
      <c r="AB245" s="5" t="s">
        <v>67</v>
      </c>
      <c r="AC245" s="5" t="s">
        <v>67</v>
      </c>
      <c r="AD245" s="5" t="s">
        <v>67</v>
      </c>
      <c r="AE245" s="5" t="s">
        <v>162</v>
      </c>
      <c r="AF245" s="5" t="s">
        <v>70</v>
      </c>
      <c r="AG245" s="5" t="s">
        <v>71</v>
      </c>
      <c r="AH245" s="5" t="s">
        <v>72</v>
      </c>
      <c r="AI245" s="5" t="s">
        <v>73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2332</v>
      </c>
      <c r="AP245" s="5">
        <v>18.02</v>
      </c>
      <c r="AQ245" s="5" t="s">
        <v>713</v>
      </c>
      <c r="AR245" s="5" t="s">
        <v>1104</v>
      </c>
      <c r="AS245" s="5" t="s">
        <v>713</v>
      </c>
      <c r="AT245" s="6">
        <v>43791</v>
      </c>
      <c r="AU245" s="5" t="s">
        <v>1183</v>
      </c>
      <c r="AV245" s="5">
        <v>371</v>
      </c>
      <c r="AW245" s="5" t="s">
        <v>1184</v>
      </c>
    </row>
    <row r="246" spans="1:49" x14ac:dyDescent="0.55000000000000004">
      <c r="A246" s="5" t="str">
        <f>HYPERLINK("https://www.infodis.net/philips/net/Shipment/Details?InfodisNumber=4231091&amp;DomainCode=DAP", "4231091")</f>
        <v>4231091</v>
      </c>
      <c r="B246" s="5" t="s">
        <v>1185</v>
      </c>
      <c r="C246" s="5" t="s">
        <v>1186</v>
      </c>
      <c r="D246" s="5" t="s">
        <v>878</v>
      </c>
      <c r="E246" s="5" t="s">
        <v>1187</v>
      </c>
      <c r="F246" s="5" t="s">
        <v>879</v>
      </c>
      <c r="G246" s="5" t="s">
        <v>880</v>
      </c>
      <c r="H246" s="5" t="s">
        <v>881</v>
      </c>
      <c r="I246" s="5" t="s">
        <v>882</v>
      </c>
      <c r="J246" s="5" t="s">
        <v>883</v>
      </c>
      <c r="K246" s="5" t="s">
        <v>884</v>
      </c>
      <c r="L246" s="5" t="s">
        <v>885</v>
      </c>
      <c r="M246" s="5" t="s">
        <v>385</v>
      </c>
      <c r="N246" s="5" t="s">
        <v>1188</v>
      </c>
      <c r="O246" s="5"/>
      <c r="P246" s="5" t="s">
        <v>888</v>
      </c>
      <c r="Q246" s="5"/>
      <c r="R246" s="5" t="s">
        <v>889</v>
      </c>
      <c r="S246" s="6">
        <v>43650</v>
      </c>
      <c r="T246" s="6">
        <v>43649</v>
      </c>
      <c r="U246" s="6">
        <v>43649</v>
      </c>
      <c r="V246" s="6">
        <v>43654</v>
      </c>
      <c r="W246" s="6">
        <v>43653</v>
      </c>
      <c r="X246" s="5"/>
      <c r="Y246" s="5" t="s">
        <v>1182</v>
      </c>
      <c r="Z246" s="5" t="s">
        <v>238</v>
      </c>
      <c r="AA246" s="5" t="s">
        <v>66</v>
      </c>
      <c r="AB246" s="5" t="s">
        <v>67</v>
      </c>
      <c r="AC246" s="5" t="s">
        <v>67</v>
      </c>
      <c r="AD246" s="5" t="s">
        <v>67</v>
      </c>
      <c r="AE246" s="5" t="s">
        <v>69</v>
      </c>
      <c r="AF246" s="5" t="s">
        <v>70</v>
      </c>
      <c r="AG246" s="5" t="s">
        <v>71</v>
      </c>
      <c r="AH246" s="5" t="s">
        <v>72</v>
      </c>
      <c r="AI246" s="5" t="s">
        <v>73</v>
      </c>
      <c r="AJ246" s="5">
        <v>0</v>
      </c>
      <c r="AK246" s="5">
        <v>0</v>
      </c>
      <c r="AL246" s="5">
        <v>0</v>
      </c>
      <c r="AM246" s="5">
        <v>0</v>
      </c>
      <c r="AN246" s="5">
        <v>18</v>
      </c>
      <c r="AO246" s="5">
        <v>5264</v>
      </c>
      <c r="AP246" s="5">
        <v>29.82</v>
      </c>
      <c r="AQ246" s="5" t="s">
        <v>713</v>
      </c>
      <c r="AR246" s="5" t="s">
        <v>1104</v>
      </c>
      <c r="AS246" s="5" t="s">
        <v>713</v>
      </c>
      <c r="AT246" s="6">
        <v>43718</v>
      </c>
      <c r="AU246" s="5" t="s">
        <v>1189</v>
      </c>
      <c r="AV246" s="5">
        <v>444</v>
      </c>
      <c r="AW246" s="5" t="s">
        <v>1190</v>
      </c>
    </row>
    <row r="247" spans="1:49" x14ac:dyDescent="0.55000000000000004">
      <c r="A247" s="5" t="str">
        <f>HYPERLINK("https://www.infodis.net/philips/net/Shipment/Details?InfodisNumber=4244215&amp;DomainCode=DAP", "4244215")</f>
        <v>4244215</v>
      </c>
      <c r="B247" s="5" t="s">
        <v>1191</v>
      </c>
      <c r="C247" s="5" t="s">
        <v>1176</v>
      </c>
      <c r="D247" s="5" t="s">
        <v>1177</v>
      </c>
      <c r="E247" s="5" t="s">
        <v>1176</v>
      </c>
      <c r="F247" s="5" t="s">
        <v>1178</v>
      </c>
      <c r="G247" s="5" t="s">
        <v>667</v>
      </c>
      <c r="H247" s="5" t="s">
        <v>79</v>
      </c>
      <c r="I247" s="5" t="s">
        <v>122</v>
      </c>
      <c r="J247" s="5" t="s">
        <v>194</v>
      </c>
      <c r="K247" s="5" t="s">
        <v>1179</v>
      </c>
      <c r="L247" s="5" t="s">
        <v>180</v>
      </c>
      <c r="M247" s="5" t="s">
        <v>84</v>
      </c>
      <c r="N247" s="5"/>
      <c r="O247" s="5"/>
      <c r="P247" s="5" t="s">
        <v>1180</v>
      </c>
      <c r="Q247" s="5"/>
      <c r="R247" s="5" t="s">
        <v>1181</v>
      </c>
      <c r="S247" s="6">
        <v>43664</v>
      </c>
      <c r="T247" s="6">
        <v>43692</v>
      </c>
      <c r="U247" s="5"/>
      <c r="V247" s="6">
        <v>43697</v>
      </c>
      <c r="W247" s="5"/>
      <c r="X247" s="5"/>
      <c r="Y247" s="5" t="s">
        <v>66</v>
      </c>
      <c r="Z247" s="5" t="s">
        <v>1182</v>
      </c>
      <c r="AA247" s="5" t="s">
        <v>1182</v>
      </c>
      <c r="AB247" s="5" t="s">
        <v>67</v>
      </c>
      <c r="AC247" s="5" t="s">
        <v>67</v>
      </c>
      <c r="AD247" s="5" t="s">
        <v>67</v>
      </c>
      <c r="AE247" s="5" t="s">
        <v>162</v>
      </c>
      <c r="AF247" s="5" t="s">
        <v>70</v>
      </c>
      <c r="AG247" s="5" t="s">
        <v>71</v>
      </c>
      <c r="AH247" s="5" t="s">
        <v>72</v>
      </c>
      <c r="AI247" s="5" t="s">
        <v>73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4664</v>
      </c>
      <c r="AP247" s="5">
        <v>36.04</v>
      </c>
      <c r="AQ247" s="5" t="s">
        <v>713</v>
      </c>
      <c r="AR247" s="5" t="s">
        <v>1104</v>
      </c>
      <c r="AS247" s="5" t="s">
        <v>713</v>
      </c>
      <c r="AT247" s="6">
        <v>43791</v>
      </c>
      <c r="AU247" s="5" t="s">
        <v>1183</v>
      </c>
      <c r="AV247" s="5">
        <v>371</v>
      </c>
      <c r="AW247" s="5" t="s">
        <v>1184</v>
      </c>
    </row>
    <row r="248" spans="1:49" x14ac:dyDescent="0.55000000000000004">
      <c r="A248" s="5" t="str">
        <f>HYPERLINK("https://www.infodis.net/philips/net/Shipment/Details?InfodisNumber=4257754&amp;DomainCode=DAP", "4257754")</f>
        <v>4257754</v>
      </c>
      <c r="B248" s="5" t="s">
        <v>1192</v>
      </c>
      <c r="C248" s="5" t="s">
        <v>1193</v>
      </c>
      <c r="D248" s="5" t="s">
        <v>1194</v>
      </c>
      <c r="E248" s="5" t="s">
        <v>1193</v>
      </c>
      <c r="F248" s="5" t="s">
        <v>77</v>
      </c>
      <c r="G248" s="5" t="s">
        <v>945</v>
      </c>
      <c r="H248" s="5" t="s">
        <v>938</v>
      </c>
      <c r="I248" s="5" t="s">
        <v>293</v>
      </c>
      <c r="J248" s="5" t="s">
        <v>81</v>
      </c>
      <c r="K248" s="5" t="s">
        <v>82</v>
      </c>
      <c r="L248" s="5" t="s">
        <v>83</v>
      </c>
      <c r="M248" s="5" t="s">
        <v>84</v>
      </c>
      <c r="N248" s="5" t="s">
        <v>1195</v>
      </c>
      <c r="O248" s="5"/>
      <c r="P248" s="5" t="s">
        <v>1196</v>
      </c>
      <c r="Q248" s="5"/>
      <c r="R248" s="5" t="s">
        <v>87</v>
      </c>
      <c r="S248" s="6">
        <v>43682</v>
      </c>
      <c r="T248" s="6">
        <v>43689</v>
      </c>
      <c r="U248" s="5"/>
      <c r="V248" s="6">
        <v>43692</v>
      </c>
      <c r="W248" s="6">
        <v>43693</v>
      </c>
      <c r="X248" s="6">
        <v>43694</v>
      </c>
      <c r="Y248" s="5" t="s">
        <v>66</v>
      </c>
      <c r="Z248" s="5" t="s">
        <v>1197</v>
      </c>
      <c r="AA248" s="5" t="s">
        <v>1197</v>
      </c>
      <c r="AB248" s="5" t="s">
        <v>68</v>
      </c>
      <c r="AC248" s="5" t="s">
        <v>67</v>
      </c>
      <c r="AD248" s="5" t="s">
        <v>67</v>
      </c>
      <c r="AE248" s="5" t="s">
        <v>162</v>
      </c>
      <c r="AF248" s="5" t="s">
        <v>70</v>
      </c>
      <c r="AG248" s="5" t="s">
        <v>71</v>
      </c>
      <c r="AH248" s="5" t="s">
        <v>72</v>
      </c>
      <c r="AI248" s="5" t="s">
        <v>73</v>
      </c>
      <c r="AJ248" s="5">
        <v>0</v>
      </c>
      <c r="AK248" s="5">
        <v>0</v>
      </c>
      <c r="AL248" s="5">
        <v>0</v>
      </c>
      <c r="AM248" s="5">
        <v>0</v>
      </c>
      <c r="AN248" s="5">
        <v>2</v>
      </c>
      <c r="AO248" s="5">
        <v>930.4</v>
      </c>
      <c r="AP248" s="5">
        <v>2.0539999999999998</v>
      </c>
      <c r="AQ248" s="5" t="s">
        <v>713</v>
      </c>
      <c r="AR248" s="5" t="s">
        <v>1104</v>
      </c>
      <c r="AS248" s="5"/>
      <c r="AT248" s="5"/>
      <c r="AU248" s="5"/>
      <c r="AV248" s="5">
        <v>-1</v>
      </c>
      <c r="AW248" s="5" t="s">
        <v>1198</v>
      </c>
    </row>
    <row r="249" spans="1:49" x14ac:dyDescent="0.55000000000000004">
      <c r="A249" s="5" t="str">
        <f>HYPERLINK("https://www.infodis.net/philips/net/Shipment/Details?InfodisNumber=4444784&amp;DomainCode=DAP", "4444784")</f>
        <v>4444784</v>
      </c>
      <c r="B249" s="5" t="s">
        <v>1199</v>
      </c>
      <c r="C249" s="5" t="s">
        <v>108</v>
      </c>
      <c r="D249" s="5" t="s">
        <v>109</v>
      </c>
      <c r="E249" s="5" t="s">
        <v>94</v>
      </c>
      <c r="F249" s="5" t="s">
        <v>1200</v>
      </c>
      <c r="G249" s="5" t="s">
        <v>111</v>
      </c>
      <c r="H249" s="5" t="s">
        <v>79</v>
      </c>
      <c r="I249" s="5" t="s">
        <v>122</v>
      </c>
      <c r="J249" s="5" t="s">
        <v>1201</v>
      </c>
      <c r="K249" s="5" t="s">
        <v>1202</v>
      </c>
      <c r="L249" s="5" t="s">
        <v>1203</v>
      </c>
      <c r="M249" s="5" t="s">
        <v>133</v>
      </c>
      <c r="N249" s="5" t="s">
        <v>1204</v>
      </c>
      <c r="O249" s="5" t="s">
        <v>1205</v>
      </c>
      <c r="P249" s="5" t="s">
        <v>116</v>
      </c>
      <c r="Q249" s="5"/>
      <c r="R249" s="5" t="s">
        <v>1206</v>
      </c>
      <c r="S249" s="6">
        <v>43976</v>
      </c>
      <c r="T249" s="6">
        <v>43977</v>
      </c>
      <c r="U249" s="6">
        <v>43979</v>
      </c>
      <c r="V249" s="6">
        <v>43981</v>
      </c>
      <c r="W249" s="6">
        <v>43982</v>
      </c>
      <c r="X249" s="6">
        <v>43995</v>
      </c>
      <c r="Y249" s="5" t="s">
        <v>89</v>
      </c>
      <c r="Z249" s="5" t="s">
        <v>105</v>
      </c>
      <c r="AA249" s="5" t="s">
        <v>66</v>
      </c>
      <c r="AB249" s="5" t="s">
        <v>67</v>
      </c>
      <c r="AC249" s="5" t="s">
        <v>67</v>
      </c>
      <c r="AD249" s="5" t="s">
        <v>68</v>
      </c>
      <c r="AE249" s="5" t="s">
        <v>90</v>
      </c>
      <c r="AF249" s="5" t="s">
        <v>70</v>
      </c>
      <c r="AG249" s="5" t="s">
        <v>71</v>
      </c>
      <c r="AH249" s="5" t="s">
        <v>72</v>
      </c>
      <c r="AI249" s="5" t="s">
        <v>73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6875.2</v>
      </c>
      <c r="AP249" s="5">
        <v>48.173999999999999</v>
      </c>
      <c r="AQ249" s="5" t="s">
        <v>713</v>
      </c>
      <c r="AR249" s="5" t="s">
        <v>1104</v>
      </c>
      <c r="AS249" s="5" t="s">
        <v>713</v>
      </c>
      <c r="AT249" s="6">
        <v>43977</v>
      </c>
      <c r="AU249" s="5" t="s">
        <v>1207</v>
      </c>
      <c r="AV249" s="5">
        <v>185</v>
      </c>
      <c r="AW249" s="5" t="s">
        <v>1208</v>
      </c>
    </row>
    <row r="250" spans="1:49" x14ac:dyDescent="0.55000000000000004">
      <c r="A250" s="5" t="str">
        <f>HYPERLINK("https://www.infodis.net/philips/net/Shipment/Details?InfodisNumber=6408729&amp;DomainCode=PHILIPSR1", "6408729")</f>
        <v>6408729</v>
      </c>
      <c r="B250" s="5" t="s">
        <v>1209</v>
      </c>
      <c r="C250" s="5" t="s">
        <v>877</v>
      </c>
      <c r="D250" s="5" t="s">
        <v>878</v>
      </c>
      <c r="E250" s="5" t="s">
        <v>1187</v>
      </c>
      <c r="F250" s="5" t="s">
        <v>1210</v>
      </c>
      <c r="G250" s="5" t="s">
        <v>880</v>
      </c>
      <c r="H250" s="5" t="s">
        <v>881</v>
      </c>
      <c r="I250" s="5" t="s">
        <v>882</v>
      </c>
      <c r="J250" s="5" t="s">
        <v>1211</v>
      </c>
      <c r="K250" s="5" t="s">
        <v>1212</v>
      </c>
      <c r="L250" s="5" t="s">
        <v>1213</v>
      </c>
      <c r="M250" s="5" t="s">
        <v>385</v>
      </c>
      <c r="N250" s="5" t="s">
        <v>1214</v>
      </c>
      <c r="O250" s="5" t="s">
        <v>1215</v>
      </c>
      <c r="P250" s="5" t="s">
        <v>888</v>
      </c>
      <c r="Q250" s="5"/>
      <c r="R250" s="5" t="s">
        <v>1216</v>
      </c>
      <c r="S250" s="6">
        <v>43936</v>
      </c>
      <c r="T250" s="6">
        <v>43941</v>
      </c>
      <c r="U250" s="5"/>
      <c r="V250" s="6">
        <v>43946</v>
      </c>
      <c r="W250" s="6">
        <v>43965</v>
      </c>
      <c r="X250" s="5"/>
      <c r="Y250" s="5" t="s">
        <v>649</v>
      </c>
      <c r="Z250" s="5" t="s">
        <v>649</v>
      </c>
      <c r="AA250" s="5" t="s">
        <v>649</v>
      </c>
      <c r="AB250" s="5" t="s">
        <v>67</v>
      </c>
      <c r="AC250" s="5" t="s">
        <v>67</v>
      </c>
      <c r="AD250" s="5" t="s">
        <v>67</v>
      </c>
      <c r="AE250" s="5" t="s">
        <v>162</v>
      </c>
      <c r="AF250" s="5" t="s">
        <v>70</v>
      </c>
      <c r="AG250" s="5" t="s">
        <v>71</v>
      </c>
      <c r="AH250" s="5" t="s">
        <v>72</v>
      </c>
      <c r="AI250" s="5" t="s">
        <v>252</v>
      </c>
      <c r="AJ250" s="5">
        <v>0</v>
      </c>
      <c r="AK250" s="5">
        <v>0</v>
      </c>
      <c r="AL250" s="5">
        <v>0</v>
      </c>
      <c r="AM250" s="5">
        <v>0</v>
      </c>
      <c r="AN250" s="5">
        <v>8</v>
      </c>
      <c r="AO250" s="5">
        <v>3358</v>
      </c>
      <c r="AP250" s="5">
        <v>12.31</v>
      </c>
      <c r="AQ250" s="5" t="s">
        <v>713</v>
      </c>
      <c r="AR250" s="5" t="s">
        <v>1104</v>
      </c>
      <c r="AS250" s="5" t="s">
        <v>713</v>
      </c>
      <c r="AT250" s="6">
        <v>43937</v>
      </c>
      <c r="AU250" s="5" t="s">
        <v>1217</v>
      </c>
      <c r="AV250" s="5">
        <v>225</v>
      </c>
      <c r="AW250" s="5" t="s">
        <v>1218</v>
      </c>
    </row>
    <row r="251" spans="1:49" x14ac:dyDescent="0.55000000000000004">
      <c r="A251" s="5" t="str">
        <f>HYPERLINK("https://www.infodis.net/philips/net/Shipment/Details?InfodisNumber=4463448&amp;DomainCode=DAP", "4463448")</f>
        <v>4463448</v>
      </c>
      <c r="B251" s="5" t="s">
        <v>1219</v>
      </c>
      <c r="C251" s="5" t="s">
        <v>1220</v>
      </c>
      <c r="D251" s="5" t="s">
        <v>1221</v>
      </c>
      <c r="E251" s="5" t="s">
        <v>1220</v>
      </c>
      <c r="F251" s="5" t="s">
        <v>1222</v>
      </c>
      <c r="G251" s="5" t="s">
        <v>1223</v>
      </c>
      <c r="H251" s="5" t="s">
        <v>79</v>
      </c>
      <c r="I251" s="5" t="s">
        <v>80</v>
      </c>
      <c r="J251" s="5" t="s">
        <v>495</v>
      </c>
      <c r="K251" s="5" t="s">
        <v>1224</v>
      </c>
      <c r="L251" s="5" t="s">
        <v>55</v>
      </c>
      <c r="M251" s="5" t="s">
        <v>60</v>
      </c>
      <c r="N251" s="5" t="s">
        <v>1225</v>
      </c>
      <c r="O251" s="5"/>
      <c r="P251" s="5" t="s">
        <v>1226</v>
      </c>
      <c r="Q251" s="5"/>
      <c r="R251" s="5" t="s">
        <v>1227</v>
      </c>
      <c r="S251" s="6">
        <v>44011</v>
      </c>
      <c r="T251" s="6">
        <v>44012</v>
      </c>
      <c r="U251" s="6">
        <v>44014</v>
      </c>
      <c r="V251" s="6">
        <v>44019</v>
      </c>
      <c r="W251" s="6">
        <v>44022</v>
      </c>
      <c r="X251" s="6">
        <v>44054</v>
      </c>
      <c r="Y251" s="5" t="s">
        <v>576</v>
      </c>
      <c r="Z251" s="5" t="s">
        <v>576</v>
      </c>
      <c r="AA251" s="5" t="s">
        <v>576</v>
      </c>
      <c r="AB251" s="5" t="s">
        <v>67</v>
      </c>
      <c r="AC251" s="5" t="s">
        <v>67</v>
      </c>
      <c r="AD251" s="5" t="s">
        <v>67</v>
      </c>
      <c r="AE251" s="5" t="s">
        <v>1228</v>
      </c>
      <c r="AF251" s="5" t="s">
        <v>70</v>
      </c>
      <c r="AG251" s="5" t="s">
        <v>71</v>
      </c>
      <c r="AH251" s="5" t="s">
        <v>72</v>
      </c>
      <c r="AI251" s="5" t="s">
        <v>73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3512</v>
      </c>
      <c r="AP251" s="5">
        <v>44.194000000000003</v>
      </c>
      <c r="AQ251" s="5" t="s">
        <v>713</v>
      </c>
      <c r="AR251" s="5" t="s">
        <v>1104</v>
      </c>
      <c r="AS251" s="5" t="s">
        <v>713</v>
      </c>
      <c r="AT251" s="6">
        <v>44019</v>
      </c>
      <c r="AU251" s="5" t="s">
        <v>1229</v>
      </c>
      <c r="AV251" s="5">
        <v>143</v>
      </c>
      <c r="AW251" s="5" t="s">
        <v>1230</v>
      </c>
    </row>
    <row r="252" spans="1:49" x14ac:dyDescent="0.55000000000000004">
      <c r="A252" s="5" t="str">
        <f>HYPERLINK("https://www.infodis.net/philips/net/Shipment/Details?InfodisNumber=4470476&amp;DomainCode=DAP", "4470476")</f>
        <v>4470476</v>
      </c>
      <c r="B252" s="5" t="s">
        <v>1231</v>
      </c>
      <c r="C252" s="5" t="s">
        <v>1220</v>
      </c>
      <c r="D252" s="5" t="s">
        <v>1221</v>
      </c>
      <c r="E252" s="5" t="s">
        <v>52</v>
      </c>
      <c r="F252" s="5" t="s">
        <v>1222</v>
      </c>
      <c r="G252" s="5" t="s">
        <v>1223</v>
      </c>
      <c r="H252" s="5" t="s">
        <v>79</v>
      </c>
      <c r="I252" s="5" t="s">
        <v>80</v>
      </c>
      <c r="J252" s="5" t="s">
        <v>495</v>
      </c>
      <c r="K252" s="5" t="s">
        <v>1224</v>
      </c>
      <c r="L252" s="5" t="s">
        <v>55</v>
      </c>
      <c r="M252" s="5" t="s">
        <v>60</v>
      </c>
      <c r="N252" s="5" t="s">
        <v>1232</v>
      </c>
      <c r="O252" s="5"/>
      <c r="P252" s="5" t="s">
        <v>1226</v>
      </c>
      <c r="Q252" s="5"/>
      <c r="R252" s="5" t="s">
        <v>1227</v>
      </c>
      <c r="S252" s="6">
        <v>44021</v>
      </c>
      <c r="T252" s="6">
        <v>44022</v>
      </c>
      <c r="U252" s="6">
        <v>44025</v>
      </c>
      <c r="V252" s="6">
        <v>44030</v>
      </c>
      <c r="W252" s="6">
        <v>44032</v>
      </c>
      <c r="X252" s="6">
        <v>44075</v>
      </c>
      <c r="Y252" s="5" t="s">
        <v>576</v>
      </c>
      <c r="Z252" s="5" t="s">
        <v>576</v>
      </c>
      <c r="AA252" s="5" t="s">
        <v>576</v>
      </c>
      <c r="AB252" s="5" t="s">
        <v>67</v>
      </c>
      <c r="AC252" s="5" t="s">
        <v>67</v>
      </c>
      <c r="AD252" s="5" t="s">
        <v>67</v>
      </c>
      <c r="AE252" s="5" t="s">
        <v>69</v>
      </c>
      <c r="AF252" s="5" t="s">
        <v>70</v>
      </c>
      <c r="AG252" s="5" t="s">
        <v>71</v>
      </c>
      <c r="AH252" s="5" t="s">
        <v>72</v>
      </c>
      <c r="AI252" s="5" t="s">
        <v>73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3512</v>
      </c>
      <c r="AP252" s="5">
        <v>44.19</v>
      </c>
      <c r="AQ252" s="5" t="s">
        <v>713</v>
      </c>
      <c r="AR252" s="5" t="s">
        <v>1104</v>
      </c>
      <c r="AS252" s="5" t="s">
        <v>713</v>
      </c>
      <c r="AT252" s="6">
        <v>44019</v>
      </c>
      <c r="AU252" s="5" t="s">
        <v>1229</v>
      </c>
      <c r="AV252" s="5">
        <v>143</v>
      </c>
      <c r="AW252" s="5" t="s">
        <v>1230</v>
      </c>
    </row>
    <row r="253" spans="1:49" x14ac:dyDescent="0.55000000000000004">
      <c r="A253" s="5" t="str">
        <f>HYPERLINK("https://www.infodis.net/philips/net/Shipment/Details?InfodisNumber=4474535&amp;DomainCode=DAP", "4474535")</f>
        <v>4474535</v>
      </c>
      <c r="B253" s="5" t="s">
        <v>1233</v>
      </c>
      <c r="C253" s="5" t="s">
        <v>1220</v>
      </c>
      <c r="D253" s="5" t="s">
        <v>1221</v>
      </c>
      <c r="E253" s="5" t="s">
        <v>52</v>
      </c>
      <c r="F253" s="5" t="s">
        <v>1222</v>
      </c>
      <c r="G253" s="5" t="s">
        <v>1223</v>
      </c>
      <c r="H253" s="5" t="s">
        <v>79</v>
      </c>
      <c r="I253" s="5" t="s">
        <v>80</v>
      </c>
      <c r="J253" s="5" t="s">
        <v>495</v>
      </c>
      <c r="K253" s="5" t="s">
        <v>1224</v>
      </c>
      <c r="L253" s="5" t="s">
        <v>55</v>
      </c>
      <c r="M253" s="5" t="s">
        <v>60</v>
      </c>
      <c r="N253" s="5" t="s">
        <v>1234</v>
      </c>
      <c r="O253" s="5"/>
      <c r="P253" s="5" t="s">
        <v>1226</v>
      </c>
      <c r="Q253" s="5"/>
      <c r="R253" s="5" t="s">
        <v>1227</v>
      </c>
      <c r="S253" s="6">
        <v>44028</v>
      </c>
      <c r="T253" s="6">
        <v>44041</v>
      </c>
      <c r="U253" s="6">
        <v>44041</v>
      </c>
      <c r="V253" s="6">
        <v>44045</v>
      </c>
      <c r="W253" s="6">
        <v>44046</v>
      </c>
      <c r="X253" s="6">
        <v>44082</v>
      </c>
      <c r="Y253" s="5" t="s">
        <v>576</v>
      </c>
      <c r="Z253" s="5" t="s">
        <v>576</v>
      </c>
      <c r="AA253" s="5" t="s">
        <v>576</v>
      </c>
      <c r="AB253" s="5" t="s">
        <v>67</v>
      </c>
      <c r="AC253" s="5" t="s">
        <v>67</v>
      </c>
      <c r="AD253" s="5" t="s">
        <v>67</v>
      </c>
      <c r="AE253" s="5" t="s">
        <v>69</v>
      </c>
      <c r="AF253" s="5" t="s">
        <v>70</v>
      </c>
      <c r="AG253" s="5" t="s">
        <v>71</v>
      </c>
      <c r="AH253" s="5" t="s">
        <v>72</v>
      </c>
      <c r="AI253" s="5" t="s">
        <v>73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2896</v>
      </c>
      <c r="AP253" s="5">
        <v>48.21</v>
      </c>
      <c r="AQ253" s="5" t="s">
        <v>713</v>
      </c>
      <c r="AR253" s="5" t="s">
        <v>1104</v>
      </c>
      <c r="AS253" s="5" t="s">
        <v>713</v>
      </c>
      <c r="AT253" s="6">
        <v>44019</v>
      </c>
      <c r="AU253" s="5" t="s">
        <v>1229</v>
      </c>
      <c r="AV253" s="5">
        <v>143</v>
      </c>
      <c r="AW253" s="5" t="s">
        <v>1230</v>
      </c>
    </row>
    <row r="254" spans="1:49" x14ac:dyDescent="0.55000000000000004">
      <c r="A254" s="5" t="str">
        <f>HYPERLINK("https://www.infodis.net/philips/net/Shipment/Details?InfodisNumber=6974551&amp;DomainCode=PHILIPSR1", "6974551")</f>
        <v>6974551</v>
      </c>
      <c r="B254" s="5" t="s">
        <v>1235</v>
      </c>
      <c r="C254" s="5" t="s">
        <v>459</v>
      </c>
      <c r="D254" s="5" t="s">
        <v>618</v>
      </c>
      <c r="E254" s="5" t="s">
        <v>459</v>
      </c>
      <c r="F254" s="5" t="s">
        <v>458</v>
      </c>
      <c r="G254" s="5" t="s">
        <v>619</v>
      </c>
      <c r="H254" s="5" t="s">
        <v>79</v>
      </c>
      <c r="I254" s="5" t="s">
        <v>122</v>
      </c>
      <c r="J254" s="5" t="s">
        <v>218</v>
      </c>
      <c r="K254" s="5" t="s">
        <v>620</v>
      </c>
      <c r="L254" s="5" t="s">
        <v>180</v>
      </c>
      <c r="M254" s="5" t="s">
        <v>84</v>
      </c>
      <c r="N254" s="5"/>
      <c r="O254" s="5"/>
      <c r="P254" s="5" t="s">
        <v>623</v>
      </c>
      <c r="Q254" s="5"/>
      <c r="R254" s="5" t="s">
        <v>613</v>
      </c>
      <c r="S254" s="6">
        <v>44147</v>
      </c>
      <c r="T254" s="6">
        <v>44167</v>
      </c>
      <c r="U254" s="5"/>
      <c r="V254" s="6">
        <v>44169</v>
      </c>
      <c r="W254" s="5"/>
      <c r="X254" s="5"/>
      <c r="Y254" s="5" t="s">
        <v>65</v>
      </c>
      <c r="Z254" s="5" t="s">
        <v>65</v>
      </c>
      <c r="AA254" s="5" t="s">
        <v>65</v>
      </c>
      <c r="AB254" s="5" t="s">
        <v>67</v>
      </c>
      <c r="AC254" s="5" t="s">
        <v>67</v>
      </c>
      <c r="AD254" s="5" t="s">
        <v>67</v>
      </c>
      <c r="AE254" s="5" t="s">
        <v>69</v>
      </c>
      <c r="AF254" s="5" t="s">
        <v>70</v>
      </c>
      <c r="AG254" s="5" t="s">
        <v>71</v>
      </c>
      <c r="AH254" s="5" t="s">
        <v>72</v>
      </c>
      <c r="AI254" s="5" t="s">
        <v>252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4000</v>
      </c>
      <c r="AP254" s="5">
        <v>64</v>
      </c>
      <c r="AQ254" s="5" t="s">
        <v>713</v>
      </c>
      <c r="AR254" s="5" t="s">
        <v>1104</v>
      </c>
      <c r="AS254" s="5"/>
      <c r="AT254" s="5"/>
      <c r="AU254" s="5"/>
      <c r="AV254" s="5">
        <v>-1</v>
      </c>
      <c r="AW254" s="5" t="s">
        <v>1105</v>
      </c>
    </row>
    <row r="255" spans="1:49" x14ac:dyDescent="0.55000000000000004">
      <c r="A255" s="5" t="str">
        <f>HYPERLINK("https://www.infodis.net/philips/net/Shipment/Details?InfodisNumber=6974548&amp;DomainCode=PHILIPSR1", "6974548")</f>
        <v>6974548</v>
      </c>
      <c r="B255" s="5" t="s">
        <v>1236</v>
      </c>
      <c r="C255" s="5" t="s">
        <v>459</v>
      </c>
      <c r="D255" s="5" t="s">
        <v>618</v>
      </c>
      <c r="E255" s="5" t="s">
        <v>459</v>
      </c>
      <c r="F255" s="5" t="s">
        <v>458</v>
      </c>
      <c r="G255" s="5" t="s">
        <v>619</v>
      </c>
      <c r="H255" s="5" t="s">
        <v>79</v>
      </c>
      <c r="I255" s="5" t="s">
        <v>122</v>
      </c>
      <c r="J255" s="5" t="s">
        <v>218</v>
      </c>
      <c r="K255" s="5" t="s">
        <v>620</v>
      </c>
      <c r="L255" s="5" t="s">
        <v>180</v>
      </c>
      <c r="M255" s="5" t="s">
        <v>84</v>
      </c>
      <c r="N255" s="5" t="s">
        <v>1237</v>
      </c>
      <c r="O255" s="5" t="s">
        <v>1238</v>
      </c>
      <c r="P255" s="5" t="s">
        <v>623</v>
      </c>
      <c r="Q255" s="5"/>
      <c r="R255" s="5" t="s">
        <v>613</v>
      </c>
      <c r="S255" s="6">
        <v>44147</v>
      </c>
      <c r="T255" s="6">
        <v>44159</v>
      </c>
      <c r="U255" s="5"/>
      <c r="V255" s="6">
        <v>44162</v>
      </c>
      <c r="W255" s="6">
        <v>44161</v>
      </c>
      <c r="X255" s="5"/>
      <c r="Y255" s="5" t="s">
        <v>65</v>
      </c>
      <c r="Z255" s="5" t="s">
        <v>65</v>
      </c>
      <c r="AA255" s="5" t="s">
        <v>65</v>
      </c>
      <c r="AB255" s="5" t="s">
        <v>67</v>
      </c>
      <c r="AC255" s="5" t="s">
        <v>67</v>
      </c>
      <c r="AD255" s="5" t="s">
        <v>67</v>
      </c>
      <c r="AE255" s="5" t="s">
        <v>69</v>
      </c>
      <c r="AF255" s="5" t="s">
        <v>70</v>
      </c>
      <c r="AG255" s="5" t="s">
        <v>71</v>
      </c>
      <c r="AH255" s="5" t="s">
        <v>72</v>
      </c>
      <c r="AI255" s="5" t="s">
        <v>252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6909</v>
      </c>
      <c r="AP255" s="5">
        <v>63</v>
      </c>
      <c r="AQ255" s="5" t="s">
        <v>713</v>
      </c>
      <c r="AR255" s="5" t="s">
        <v>1104</v>
      </c>
      <c r="AS255" s="5"/>
      <c r="AT255" s="5"/>
      <c r="AU255" s="5"/>
      <c r="AV255" s="5">
        <v>-1</v>
      </c>
      <c r="AW255" s="5" t="s">
        <v>1105</v>
      </c>
    </row>
    <row r="256" spans="1:49" x14ac:dyDescent="0.55000000000000004">
      <c r="A256" s="5" t="str">
        <f>HYPERLINK("https://www.infodis.net/philips/net/Shipment/Details?InfodisNumber=4474726&amp;DomainCode=DAP", "4474726")</f>
        <v>4474726</v>
      </c>
      <c r="B256" s="5" t="s">
        <v>1239</v>
      </c>
      <c r="C256" s="5" t="s">
        <v>108</v>
      </c>
      <c r="D256" s="5" t="s">
        <v>109</v>
      </c>
      <c r="E256" s="5" t="s">
        <v>94</v>
      </c>
      <c r="F256" s="5" t="s">
        <v>1240</v>
      </c>
      <c r="G256" s="5" t="s">
        <v>111</v>
      </c>
      <c r="H256" s="5" t="s">
        <v>79</v>
      </c>
      <c r="I256" s="5" t="s">
        <v>122</v>
      </c>
      <c r="J256" s="5" t="s">
        <v>1133</v>
      </c>
      <c r="K256" s="5" t="s">
        <v>1134</v>
      </c>
      <c r="L256" s="5" t="s">
        <v>1135</v>
      </c>
      <c r="M256" s="5" t="s">
        <v>261</v>
      </c>
      <c r="N256" s="5" t="s">
        <v>1241</v>
      </c>
      <c r="O256" s="5" t="s">
        <v>1242</v>
      </c>
      <c r="P256" s="5" t="s">
        <v>116</v>
      </c>
      <c r="Q256" s="5"/>
      <c r="R256" s="5" t="s">
        <v>1136</v>
      </c>
      <c r="S256" s="6">
        <v>44028</v>
      </c>
      <c r="T256" s="6">
        <v>44029</v>
      </c>
      <c r="U256" s="6">
        <v>44033</v>
      </c>
      <c r="V256" s="6">
        <v>44035</v>
      </c>
      <c r="W256" s="5"/>
      <c r="X256" s="6">
        <v>44116</v>
      </c>
      <c r="Y256" s="5" t="s">
        <v>89</v>
      </c>
      <c r="Z256" s="5" t="s">
        <v>1137</v>
      </c>
      <c r="AA256" s="5" t="s">
        <v>66</v>
      </c>
      <c r="AB256" s="5" t="s">
        <v>67</v>
      </c>
      <c r="AC256" s="5" t="s">
        <v>67</v>
      </c>
      <c r="AD256" s="5" t="s">
        <v>68</v>
      </c>
      <c r="AE256" s="5" t="s">
        <v>162</v>
      </c>
      <c r="AF256" s="5" t="s">
        <v>70</v>
      </c>
      <c r="AG256" s="5" t="s">
        <v>71</v>
      </c>
      <c r="AH256" s="5" t="s">
        <v>72</v>
      </c>
      <c r="AI256" s="5" t="s">
        <v>73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4032</v>
      </c>
      <c r="AP256" s="5">
        <v>29.31</v>
      </c>
      <c r="AQ256" s="5" t="s">
        <v>713</v>
      </c>
      <c r="AR256" s="5" t="s">
        <v>1104</v>
      </c>
      <c r="AS256" s="5" t="s">
        <v>713</v>
      </c>
      <c r="AT256" s="6">
        <v>44029</v>
      </c>
      <c r="AU256" s="5" t="s">
        <v>1243</v>
      </c>
      <c r="AV256" s="5">
        <v>133</v>
      </c>
      <c r="AW256" s="5" t="s">
        <v>1244</v>
      </c>
    </row>
    <row r="257" spans="1:49" x14ac:dyDescent="0.55000000000000004">
      <c r="A257" s="5" t="str">
        <f>HYPERLINK("https://www.infodis.net/philips/net/Shipment/Details?InfodisNumber=4480614&amp;DomainCode=DAP", "4480614")</f>
        <v>4480614</v>
      </c>
      <c r="B257" s="5" t="s">
        <v>1245</v>
      </c>
      <c r="C257" s="5" t="s">
        <v>1220</v>
      </c>
      <c r="D257" s="5" t="s">
        <v>1221</v>
      </c>
      <c r="E257" s="5" t="s">
        <v>1220</v>
      </c>
      <c r="F257" s="5" t="s">
        <v>1222</v>
      </c>
      <c r="G257" s="5" t="s">
        <v>1223</v>
      </c>
      <c r="H257" s="5" t="s">
        <v>79</v>
      </c>
      <c r="I257" s="5" t="s">
        <v>80</v>
      </c>
      <c r="J257" s="5" t="s">
        <v>495</v>
      </c>
      <c r="K257" s="5" t="s">
        <v>1224</v>
      </c>
      <c r="L257" s="5" t="s">
        <v>55</v>
      </c>
      <c r="M257" s="5" t="s">
        <v>60</v>
      </c>
      <c r="N257" s="5" t="s">
        <v>1246</v>
      </c>
      <c r="O257" s="5"/>
      <c r="P257" s="5" t="s">
        <v>1226</v>
      </c>
      <c r="Q257" s="5"/>
      <c r="R257" s="5" t="s">
        <v>1227</v>
      </c>
      <c r="S257" s="6">
        <v>44039</v>
      </c>
      <c r="T257" s="6">
        <v>44040</v>
      </c>
      <c r="U257" s="6">
        <v>44047</v>
      </c>
      <c r="V257" s="6">
        <v>44050</v>
      </c>
      <c r="W257" s="6">
        <v>44052</v>
      </c>
      <c r="X257" s="6">
        <v>44081</v>
      </c>
      <c r="Y257" s="5" t="s">
        <v>576</v>
      </c>
      <c r="Z257" s="5" t="s">
        <v>576</v>
      </c>
      <c r="AA257" s="5" t="s">
        <v>576</v>
      </c>
      <c r="AB257" s="5" t="s">
        <v>67</v>
      </c>
      <c r="AC257" s="5" t="s">
        <v>67</v>
      </c>
      <c r="AD257" s="5" t="s">
        <v>67</v>
      </c>
      <c r="AE257" s="5" t="s">
        <v>69</v>
      </c>
      <c r="AF257" s="5" t="s">
        <v>70</v>
      </c>
      <c r="AG257" s="5" t="s">
        <v>71</v>
      </c>
      <c r="AH257" s="5" t="s">
        <v>72</v>
      </c>
      <c r="AI257" s="5" t="s">
        <v>73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2896</v>
      </c>
      <c r="AP257" s="5">
        <v>48.211000000000013</v>
      </c>
      <c r="AQ257" s="5" t="s">
        <v>713</v>
      </c>
      <c r="AR257" s="5" t="s">
        <v>1104</v>
      </c>
      <c r="AS257" s="5" t="s">
        <v>713</v>
      </c>
      <c r="AT257" s="6">
        <v>44019</v>
      </c>
      <c r="AU257" s="5" t="s">
        <v>1229</v>
      </c>
      <c r="AV257" s="5">
        <v>143</v>
      </c>
      <c r="AW257" s="5" t="s">
        <v>1230</v>
      </c>
    </row>
    <row r="258" spans="1:49" x14ac:dyDescent="0.55000000000000004">
      <c r="A258" s="5" t="str">
        <f>HYPERLINK("https://www.infodis.net/philips/net/Shipment/Details?InfodisNumber=6974547&amp;DomainCode=PHILIPSR1", "6974547")</f>
        <v>6974547</v>
      </c>
      <c r="B258" s="5" t="s">
        <v>1247</v>
      </c>
      <c r="C258" s="5" t="s">
        <v>459</v>
      </c>
      <c r="D258" s="5" t="s">
        <v>618</v>
      </c>
      <c r="E258" s="5" t="s">
        <v>459</v>
      </c>
      <c r="F258" s="5" t="s">
        <v>458</v>
      </c>
      <c r="G258" s="5" t="s">
        <v>619</v>
      </c>
      <c r="H258" s="5" t="s">
        <v>79</v>
      </c>
      <c r="I258" s="5" t="s">
        <v>122</v>
      </c>
      <c r="J258" s="5" t="s">
        <v>218</v>
      </c>
      <c r="K258" s="5" t="s">
        <v>620</v>
      </c>
      <c r="L258" s="5" t="s">
        <v>180</v>
      </c>
      <c r="M258" s="5" t="s">
        <v>84</v>
      </c>
      <c r="N258" s="5" t="s">
        <v>1248</v>
      </c>
      <c r="O258" s="5" t="s">
        <v>1249</v>
      </c>
      <c r="P258" s="5" t="s">
        <v>623</v>
      </c>
      <c r="Q258" s="5"/>
      <c r="R258" s="5" t="s">
        <v>613</v>
      </c>
      <c r="S258" s="6">
        <v>44147</v>
      </c>
      <c r="T258" s="6">
        <v>44159</v>
      </c>
      <c r="U258" s="5"/>
      <c r="V258" s="6">
        <v>44162</v>
      </c>
      <c r="W258" s="6">
        <v>44162</v>
      </c>
      <c r="X258" s="5"/>
      <c r="Y258" s="5" t="s">
        <v>65</v>
      </c>
      <c r="Z258" s="5" t="s">
        <v>65</v>
      </c>
      <c r="AA258" s="5" t="s">
        <v>65</v>
      </c>
      <c r="AB258" s="5" t="s">
        <v>67</v>
      </c>
      <c r="AC258" s="5" t="s">
        <v>67</v>
      </c>
      <c r="AD258" s="5" t="s">
        <v>67</v>
      </c>
      <c r="AE258" s="5" t="s">
        <v>69</v>
      </c>
      <c r="AF258" s="5" t="s">
        <v>70</v>
      </c>
      <c r="AG258" s="5" t="s">
        <v>71</v>
      </c>
      <c r="AH258" s="5" t="s">
        <v>72</v>
      </c>
      <c r="AI258" s="5" t="s">
        <v>252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692495.30299999996</v>
      </c>
      <c r="AP258" s="5">
        <v>367.06599999999997</v>
      </c>
      <c r="AQ258" s="5" t="s">
        <v>713</v>
      </c>
      <c r="AR258" s="5" t="s">
        <v>1104</v>
      </c>
      <c r="AS258" s="5"/>
      <c r="AT258" s="5"/>
      <c r="AU258" s="5"/>
      <c r="AV258" s="5">
        <v>-1</v>
      </c>
      <c r="AW258" s="5" t="s">
        <v>1105</v>
      </c>
    </row>
    <row r="259" spans="1:49" x14ac:dyDescent="0.55000000000000004">
      <c r="A259" s="5" t="str">
        <f>HYPERLINK("https://www.infodis.net/philips/net/Shipment/Details?InfodisNumber=6974545&amp;DomainCode=PHILIPSR1", "6974545")</f>
        <v>6974545</v>
      </c>
      <c r="B259" s="5" t="s">
        <v>1250</v>
      </c>
      <c r="C259" s="5" t="s">
        <v>459</v>
      </c>
      <c r="D259" s="5" t="s">
        <v>618</v>
      </c>
      <c r="E259" s="5" t="s">
        <v>459</v>
      </c>
      <c r="F259" s="5" t="s">
        <v>458</v>
      </c>
      <c r="G259" s="5" t="s">
        <v>619</v>
      </c>
      <c r="H259" s="5" t="s">
        <v>79</v>
      </c>
      <c r="I259" s="5" t="s">
        <v>122</v>
      </c>
      <c r="J259" s="5" t="s">
        <v>218</v>
      </c>
      <c r="K259" s="5" t="s">
        <v>620</v>
      </c>
      <c r="L259" s="5" t="s">
        <v>180</v>
      </c>
      <c r="M259" s="5" t="s">
        <v>84</v>
      </c>
      <c r="N259" s="5" t="s">
        <v>1251</v>
      </c>
      <c r="O259" s="5" t="s">
        <v>1252</v>
      </c>
      <c r="P259" s="5" t="s">
        <v>623</v>
      </c>
      <c r="Q259" s="5"/>
      <c r="R259" s="5" t="s">
        <v>613</v>
      </c>
      <c r="S259" s="6">
        <v>44147</v>
      </c>
      <c r="T259" s="6">
        <v>44159</v>
      </c>
      <c r="U259" s="5"/>
      <c r="V259" s="6">
        <v>44162</v>
      </c>
      <c r="W259" s="6">
        <v>44161</v>
      </c>
      <c r="X259" s="5"/>
      <c r="Y259" s="5" t="s">
        <v>65</v>
      </c>
      <c r="Z259" s="5" t="s">
        <v>65</v>
      </c>
      <c r="AA259" s="5" t="s">
        <v>65</v>
      </c>
      <c r="AB259" s="5" t="s">
        <v>67</v>
      </c>
      <c r="AC259" s="5" t="s">
        <v>67</v>
      </c>
      <c r="AD259" s="5" t="s">
        <v>67</v>
      </c>
      <c r="AE259" s="5" t="s">
        <v>69</v>
      </c>
      <c r="AF259" s="5" t="s">
        <v>70</v>
      </c>
      <c r="AG259" s="5" t="s">
        <v>71</v>
      </c>
      <c r="AH259" s="5" t="s">
        <v>72</v>
      </c>
      <c r="AI259" s="5" t="s">
        <v>252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5581</v>
      </c>
      <c r="AP259" s="5">
        <v>65</v>
      </c>
      <c r="AQ259" s="5" t="s">
        <v>713</v>
      </c>
      <c r="AR259" s="5" t="s">
        <v>1104</v>
      </c>
      <c r="AS259" s="5"/>
      <c r="AT259" s="5"/>
      <c r="AU259" s="5"/>
      <c r="AV259" s="5">
        <v>-1</v>
      </c>
      <c r="AW259" s="5" t="s">
        <v>1105</v>
      </c>
    </row>
    <row r="260" spans="1:49" x14ac:dyDescent="0.55000000000000004">
      <c r="A260" s="5" t="str">
        <f>HYPERLINK("https://www.infodis.net/philips/net/Shipment/Details?InfodisNumber=4484755&amp;DomainCode=DAP", "4484755")</f>
        <v>4484755</v>
      </c>
      <c r="B260" s="5" t="s">
        <v>1253</v>
      </c>
      <c r="C260" s="5" t="s">
        <v>1220</v>
      </c>
      <c r="D260" s="5" t="s">
        <v>1221</v>
      </c>
      <c r="E260" s="5" t="s">
        <v>1220</v>
      </c>
      <c r="F260" s="5" t="s">
        <v>1254</v>
      </c>
      <c r="G260" s="5" t="s">
        <v>1223</v>
      </c>
      <c r="H260" s="5" t="s">
        <v>79</v>
      </c>
      <c r="I260" s="5" t="s">
        <v>80</v>
      </c>
      <c r="J260" s="5" t="s">
        <v>495</v>
      </c>
      <c r="K260" s="5" t="s">
        <v>54</v>
      </c>
      <c r="L260" s="5" t="s">
        <v>55</v>
      </c>
      <c r="M260" s="5" t="s">
        <v>60</v>
      </c>
      <c r="N260" s="5" t="s">
        <v>1255</v>
      </c>
      <c r="O260" s="5"/>
      <c r="P260" s="5" t="s">
        <v>1226</v>
      </c>
      <c r="Q260" s="5" t="s">
        <v>1256</v>
      </c>
      <c r="R260" s="5" t="s">
        <v>63</v>
      </c>
      <c r="S260" s="6">
        <v>44046</v>
      </c>
      <c r="T260" s="6">
        <v>44048</v>
      </c>
      <c r="U260" s="6">
        <v>44054</v>
      </c>
      <c r="V260" s="6">
        <v>44053</v>
      </c>
      <c r="W260" s="6">
        <v>44059</v>
      </c>
      <c r="X260" s="6">
        <v>44088</v>
      </c>
      <c r="Y260" s="5" t="s">
        <v>576</v>
      </c>
      <c r="Z260" s="5" t="s">
        <v>576</v>
      </c>
      <c r="AA260" s="5" t="s">
        <v>576</v>
      </c>
      <c r="AB260" s="5" t="s">
        <v>67</v>
      </c>
      <c r="AC260" s="5" t="s">
        <v>67</v>
      </c>
      <c r="AD260" s="5" t="s">
        <v>67</v>
      </c>
      <c r="AE260" s="5" t="s">
        <v>69</v>
      </c>
      <c r="AF260" s="5" t="s">
        <v>70</v>
      </c>
      <c r="AG260" s="5" t="s">
        <v>71</v>
      </c>
      <c r="AH260" s="5" t="s">
        <v>72</v>
      </c>
      <c r="AI260" s="5" t="s">
        <v>73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3512</v>
      </c>
      <c r="AP260" s="5">
        <v>44.19</v>
      </c>
      <c r="AQ260" s="5" t="s">
        <v>713</v>
      </c>
      <c r="AR260" s="5" t="s">
        <v>1104</v>
      </c>
      <c r="AS260" s="5" t="s">
        <v>713</v>
      </c>
      <c r="AT260" s="6">
        <v>44019</v>
      </c>
      <c r="AU260" s="5" t="s">
        <v>1229</v>
      </c>
      <c r="AV260" s="5">
        <v>143</v>
      </c>
      <c r="AW260" s="5" t="s">
        <v>1230</v>
      </c>
    </row>
    <row r="261" spans="1:49" x14ac:dyDescent="0.55000000000000004">
      <c r="A261" s="5" t="str">
        <f>HYPERLINK("https://www.infodis.net/philips/net/Shipment/Details?InfodisNumber=4555961&amp;DomainCode=DAP", "4555961")</f>
        <v>4555961</v>
      </c>
      <c r="B261" s="5" t="s">
        <v>1257</v>
      </c>
      <c r="C261" s="5" t="s">
        <v>1258</v>
      </c>
      <c r="D261" s="5" t="s">
        <v>1259</v>
      </c>
      <c r="E261" s="5" t="s">
        <v>1260</v>
      </c>
      <c r="F261" s="5" t="s">
        <v>1260</v>
      </c>
      <c r="G261" s="5" t="s">
        <v>394</v>
      </c>
      <c r="H261" s="5" t="s">
        <v>79</v>
      </c>
      <c r="I261" s="5" t="s">
        <v>122</v>
      </c>
      <c r="J261" s="5" t="s">
        <v>1261</v>
      </c>
      <c r="K261" s="5" t="s">
        <v>1262</v>
      </c>
      <c r="L261" s="5" t="s">
        <v>1263</v>
      </c>
      <c r="M261" s="5" t="s">
        <v>261</v>
      </c>
      <c r="N261" s="5" t="s">
        <v>115</v>
      </c>
      <c r="O261" s="5"/>
      <c r="P261" s="5" t="s">
        <v>1153</v>
      </c>
      <c r="Q261" s="5"/>
      <c r="R261" s="5" t="s">
        <v>1264</v>
      </c>
      <c r="S261" s="6">
        <v>44147</v>
      </c>
      <c r="T261" s="6">
        <v>44152</v>
      </c>
      <c r="U261" s="5"/>
      <c r="V261" s="6">
        <v>44157</v>
      </c>
      <c r="W261" s="5"/>
      <c r="X261" s="5"/>
      <c r="Y261" s="5" t="s">
        <v>66</v>
      </c>
      <c r="Z261" s="5" t="s">
        <v>65</v>
      </c>
      <c r="AA261" s="5" t="s">
        <v>65</v>
      </c>
      <c r="AB261" s="5" t="s">
        <v>67</v>
      </c>
      <c r="AC261" s="5" t="s">
        <v>67</v>
      </c>
      <c r="AD261" s="5" t="s">
        <v>67</v>
      </c>
      <c r="AE261" s="5" t="s">
        <v>119</v>
      </c>
      <c r="AF261" s="5" t="s">
        <v>70</v>
      </c>
      <c r="AG261" s="5" t="s">
        <v>71</v>
      </c>
      <c r="AH261" s="5" t="s">
        <v>72</v>
      </c>
      <c r="AI261" s="5" t="s">
        <v>73</v>
      </c>
      <c r="AJ261" s="5">
        <v>0</v>
      </c>
      <c r="AK261" s="5">
        <v>0</v>
      </c>
      <c r="AL261" s="5">
        <v>0</v>
      </c>
      <c r="AM261" s="5">
        <v>0</v>
      </c>
      <c r="AN261" s="5">
        <v>44</v>
      </c>
      <c r="AO261" s="5">
        <v>16834.400000000001</v>
      </c>
      <c r="AP261" s="5">
        <v>95.86</v>
      </c>
      <c r="AQ261" s="5" t="s">
        <v>713</v>
      </c>
      <c r="AR261" s="5" t="s">
        <v>1104</v>
      </c>
      <c r="AS261" s="5"/>
      <c r="AT261" s="5"/>
      <c r="AU261" s="5"/>
      <c r="AV261" s="5">
        <v>-1</v>
      </c>
      <c r="AW261" s="5" t="s">
        <v>1110</v>
      </c>
    </row>
    <row r="262" spans="1:49" x14ac:dyDescent="0.55000000000000004">
      <c r="A262" s="5" t="str">
        <f>HYPERLINK("https://www.infodis.net/philips/net/Shipment/Details?InfodisNumber=6974471&amp;DomainCode=PHILIPSR1", "6974471")</f>
        <v>6974471</v>
      </c>
      <c r="B262" s="5" t="s">
        <v>1265</v>
      </c>
      <c r="C262" s="5" t="s">
        <v>459</v>
      </c>
      <c r="D262" s="5" t="s">
        <v>618</v>
      </c>
      <c r="E262" s="5" t="s">
        <v>459</v>
      </c>
      <c r="F262" s="5" t="s">
        <v>458</v>
      </c>
      <c r="G262" s="5" t="s">
        <v>619</v>
      </c>
      <c r="H262" s="5" t="s">
        <v>79</v>
      </c>
      <c r="I262" s="5" t="s">
        <v>122</v>
      </c>
      <c r="J262" s="5" t="s">
        <v>218</v>
      </c>
      <c r="K262" s="5" t="s">
        <v>620</v>
      </c>
      <c r="L262" s="5" t="s">
        <v>180</v>
      </c>
      <c r="M262" s="5" t="s">
        <v>84</v>
      </c>
      <c r="N262" s="5"/>
      <c r="O262" s="5"/>
      <c r="P262" s="5" t="s">
        <v>623</v>
      </c>
      <c r="Q262" s="5"/>
      <c r="R262" s="5" t="s">
        <v>613</v>
      </c>
      <c r="S262" s="6">
        <v>44147</v>
      </c>
      <c r="T262" s="6">
        <v>44167</v>
      </c>
      <c r="U262" s="5"/>
      <c r="V262" s="6">
        <v>44169</v>
      </c>
      <c r="W262" s="5"/>
      <c r="X262" s="5"/>
      <c r="Y262" s="5" t="s">
        <v>65</v>
      </c>
      <c r="Z262" s="5" t="s">
        <v>65</v>
      </c>
      <c r="AA262" s="5" t="s">
        <v>65</v>
      </c>
      <c r="AB262" s="5" t="s">
        <v>67</v>
      </c>
      <c r="AC262" s="5" t="s">
        <v>67</v>
      </c>
      <c r="AD262" s="5" t="s">
        <v>67</v>
      </c>
      <c r="AE262" s="5" t="s">
        <v>69</v>
      </c>
      <c r="AF262" s="5" t="s">
        <v>70</v>
      </c>
      <c r="AG262" s="5" t="s">
        <v>71</v>
      </c>
      <c r="AH262" s="5" t="s">
        <v>72</v>
      </c>
      <c r="AI262" s="5" t="s">
        <v>252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1887765.919</v>
      </c>
      <c r="AP262" s="5">
        <v>246.33600000000001</v>
      </c>
      <c r="AQ262" s="5" t="s">
        <v>713</v>
      </c>
      <c r="AR262" s="5" t="s">
        <v>1104</v>
      </c>
      <c r="AS262" s="5"/>
      <c r="AT262" s="5"/>
      <c r="AU262" s="5"/>
      <c r="AV262" s="5">
        <v>-1</v>
      </c>
      <c r="AW262" s="5" t="s">
        <v>1105</v>
      </c>
    </row>
    <row r="263" spans="1:49" x14ac:dyDescent="0.55000000000000004">
      <c r="A263" s="5" t="str">
        <f>HYPERLINK("https://www.infodis.net/philips/net/Shipment/Details?InfodisNumber=4488333&amp;DomainCode=DAP", "4488333")</f>
        <v>4488333</v>
      </c>
      <c r="B263" s="5" t="s">
        <v>1266</v>
      </c>
      <c r="C263" s="5" t="s">
        <v>1220</v>
      </c>
      <c r="D263" s="5" t="s">
        <v>1221</v>
      </c>
      <c r="E263" s="5" t="s">
        <v>1220</v>
      </c>
      <c r="F263" s="5" t="s">
        <v>1254</v>
      </c>
      <c r="G263" s="5" t="s">
        <v>1223</v>
      </c>
      <c r="H263" s="5" t="s">
        <v>79</v>
      </c>
      <c r="I263" s="5" t="s">
        <v>80</v>
      </c>
      <c r="J263" s="5" t="s">
        <v>495</v>
      </c>
      <c r="K263" s="5" t="s">
        <v>54</v>
      </c>
      <c r="L263" s="5" t="s">
        <v>55</v>
      </c>
      <c r="M263" s="5" t="s">
        <v>60</v>
      </c>
      <c r="N263" s="5" t="s">
        <v>1267</v>
      </c>
      <c r="O263" s="5"/>
      <c r="P263" s="5" t="s">
        <v>1226</v>
      </c>
      <c r="Q263" s="5" t="s">
        <v>1268</v>
      </c>
      <c r="R263" s="5" t="s">
        <v>63</v>
      </c>
      <c r="S263" s="6">
        <v>44050</v>
      </c>
      <c r="T263" s="6">
        <v>44053</v>
      </c>
      <c r="U263" s="6">
        <v>44055</v>
      </c>
      <c r="V263" s="6">
        <v>44058</v>
      </c>
      <c r="W263" s="6">
        <v>44060</v>
      </c>
      <c r="X263" s="6">
        <v>44105</v>
      </c>
      <c r="Y263" s="5" t="s">
        <v>576</v>
      </c>
      <c r="Z263" s="5" t="s">
        <v>576</v>
      </c>
      <c r="AA263" s="5" t="s">
        <v>576</v>
      </c>
      <c r="AB263" s="5" t="s">
        <v>67</v>
      </c>
      <c r="AC263" s="5" t="s">
        <v>67</v>
      </c>
      <c r="AD263" s="5" t="s">
        <v>67</v>
      </c>
      <c r="AE263" s="5" t="s">
        <v>69</v>
      </c>
      <c r="AF263" s="5" t="s">
        <v>70</v>
      </c>
      <c r="AG263" s="5" t="s">
        <v>71</v>
      </c>
      <c r="AH263" s="5" t="s">
        <v>72</v>
      </c>
      <c r="AI263" s="5" t="s">
        <v>73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3512</v>
      </c>
      <c r="AP263" s="5">
        <v>44.19</v>
      </c>
      <c r="AQ263" s="5" t="s">
        <v>713</v>
      </c>
      <c r="AR263" s="5" t="s">
        <v>1104</v>
      </c>
      <c r="AS263" s="5"/>
      <c r="AT263" s="5"/>
      <c r="AU263" s="5"/>
      <c r="AV263" s="5">
        <v>-1</v>
      </c>
      <c r="AW263" s="5" t="s">
        <v>1269</v>
      </c>
    </row>
    <row r="264" spans="1:49" x14ac:dyDescent="0.55000000000000004">
      <c r="A264" s="5" t="str">
        <f>HYPERLINK("https://www.infodis.net/philips/net/Shipment/Details?InfodisNumber=4492056&amp;DomainCode=DAP", "4492056")</f>
        <v>4492056</v>
      </c>
      <c r="B264" s="5" t="s">
        <v>1270</v>
      </c>
      <c r="C264" s="5" t="s">
        <v>1150</v>
      </c>
      <c r="D264" s="5" t="s">
        <v>1151</v>
      </c>
      <c r="E264" s="5" t="s">
        <v>1150</v>
      </c>
      <c r="F264" s="5" t="s">
        <v>256</v>
      </c>
      <c r="G264" s="5" t="s">
        <v>1152</v>
      </c>
      <c r="H264" s="5" t="s">
        <v>79</v>
      </c>
      <c r="I264" s="5" t="s">
        <v>587</v>
      </c>
      <c r="J264" s="5" t="s">
        <v>759</v>
      </c>
      <c r="K264" s="5" t="s">
        <v>259</v>
      </c>
      <c r="L264" s="5" t="s">
        <v>260</v>
      </c>
      <c r="M264" s="5" t="s">
        <v>261</v>
      </c>
      <c r="N264" s="5"/>
      <c r="O264" s="5"/>
      <c r="P264" s="5" t="s">
        <v>1153</v>
      </c>
      <c r="Q264" s="5" t="s">
        <v>1271</v>
      </c>
      <c r="R264" s="5" t="s">
        <v>262</v>
      </c>
      <c r="S264" s="6">
        <v>44057</v>
      </c>
      <c r="T264" s="6">
        <v>44060</v>
      </c>
      <c r="U264" s="5"/>
      <c r="V264" s="6">
        <v>44065</v>
      </c>
      <c r="W264" s="6">
        <v>44061</v>
      </c>
      <c r="X264" s="5"/>
      <c r="Y264" s="5" t="s">
        <v>66</v>
      </c>
      <c r="Z264" s="5" t="s">
        <v>857</v>
      </c>
      <c r="AA264" s="5" t="s">
        <v>857</v>
      </c>
      <c r="AB264" s="5" t="s">
        <v>68</v>
      </c>
      <c r="AC264" s="5" t="s">
        <v>67</v>
      </c>
      <c r="AD264" s="5" t="s">
        <v>67</v>
      </c>
      <c r="AE264" s="5" t="s">
        <v>162</v>
      </c>
      <c r="AF264" s="5" t="s">
        <v>70</v>
      </c>
      <c r="AG264" s="5" t="s">
        <v>71</v>
      </c>
      <c r="AH264" s="5" t="s">
        <v>72</v>
      </c>
      <c r="AI264" s="5" t="s">
        <v>73</v>
      </c>
      <c r="AJ264" s="5">
        <v>0</v>
      </c>
      <c r="AK264" s="5">
        <v>0</v>
      </c>
      <c r="AL264" s="5">
        <v>0</v>
      </c>
      <c r="AM264" s="5">
        <v>0</v>
      </c>
      <c r="AN264" s="5">
        <v>4</v>
      </c>
      <c r="AO264" s="5">
        <v>526.72</v>
      </c>
      <c r="AP264" s="5">
        <v>7.1</v>
      </c>
      <c r="AQ264" s="5" t="s">
        <v>713</v>
      </c>
      <c r="AR264" s="5" t="s">
        <v>1104</v>
      </c>
      <c r="AS264" s="5"/>
      <c r="AT264" s="5"/>
      <c r="AU264" s="5"/>
      <c r="AV264" s="5">
        <v>-1</v>
      </c>
      <c r="AW264" s="5" t="s">
        <v>1110</v>
      </c>
    </row>
    <row r="265" spans="1:49" x14ac:dyDescent="0.55000000000000004">
      <c r="A265" s="5" t="str">
        <f>HYPERLINK("https://www.infodis.net/philips/net/Shipment/Details?InfodisNumber=4493821&amp;DomainCode=DAP", "4493821")</f>
        <v>4493821</v>
      </c>
      <c r="B265" s="5" t="s">
        <v>1272</v>
      </c>
      <c r="C265" s="5" t="s">
        <v>1165</v>
      </c>
      <c r="D265" s="5" t="s">
        <v>1166</v>
      </c>
      <c r="E265" s="5" t="s">
        <v>1165</v>
      </c>
      <c r="F265" s="5" t="s">
        <v>256</v>
      </c>
      <c r="G265" s="5" t="s">
        <v>667</v>
      </c>
      <c r="H265" s="5" t="s">
        <v>79</v>
      </c>
      <c r="I265" s="5" t="s">
        <v>122</v>
      </c>
      <c r="J265" s="5" t="s">
        <v>258</v>
      </c>
      <c r="K265" s="5" t="s">
        <v>259</v>
      </c>
      <c r="L265" s="5" t="s">
        <v>260</v>
      </c>
      <c r="M265" s="5" t="s">
        <v>84</v>
      </c>
      <c r="N265" s="5"/>
      <c r="O265" s="5"/>
      <c r="P265" s="5" t="s">
        <v>1168</v>
      </c>
      <c r="Q265" s="5"/>
      <c r="R265" s="5" t="s">
        <v>262</v>
      </c>
      <c r="S265" s="6">
        <v>44061</v>
      </c>
      <c r="T265" s="6">
        <v>44068</v>
      </c>
      <c r="U265" s="5"/>
      <c r="V265" s="6">
        <v>44073</v>
      </c>
      <c r="W265" s="5"/>
      <c r="X265" s="5"/>
      <c r="Y265" s="5" t="s">
        <v>66</v>
      </c>
      <c r="Z265" s="5" t="s">
        <v>649</v>
      </c>
      <c r="AA265" s="5" t="s">
        <v>649</v>
      </c>
      <c r="AB265" s="5" t="s">
        <v>68</v>
      </c>
      <c r="AC265" s="5" t="s">
        <v>67</v>
      </c>
      <c r="AD265" s="5" t="s">
        <v>67</v>
      </c>
      <c r="AE265" s="5" t="s">
        <v>90</v>
      </c>
      <c r="AF265" s="5" t="s">
        <v>70</v>
      </c>
      <c r="AG265" s="5" t="s">
        <v>71</v>
      </c>
      <c r="AH265" s="5" t="s">
        <v>72</v>
      </c>
      <c r="AI265" s="5" t="s">
        <v>73</v>
      </c>
      <c r="AJ265" s="5">
        <v>0</v>
      </c>
      <c r="AK265" s="5">
        <v>0</v>
      </c>
      <c r="AL265" s="5">
        <v>0</v>
      </c>
      <c r="AM265" s="5">
        <v>0</v>
      </c>
      <c r="AN265" s="5">
        <v>42</v>
      </c>
      <c r="AO265" s="5">
        <v>7392</v>
      </c>
      <c r="AP265" s="5">
        <v>51.413999999999987</v>
      </c>
      <c r="AQ265" s="5" t="s">
        <v>713</v>
      </c>
      <c r="AR265" s="5" t="s">
        <v>1104</v>
      </c>
      <c r="AS265" s="5"/>
      <c r="AT265" s="5"/>
      <c r="AU265" s="5"/>
      <c r="AV265" s="5">
        <v>-1</v>
      </c>
      <c r="AW265" s="5" t="s">
        <v>1110</v>
      </c>
    </row>
    <row r="266" spans="1:49" x14ac:dyDescent="0.55000000000000004">
      <c r="A266" s="5" t="str">
        <f>HYPERLINK("https://www.infodis.net/philips/net/Shipment/Details?InfodisNumber=4552977&amp;DomainCode=DAP", "4552977")</f>
        <v>4552977</v>
      </c>
      <c r="B266" s="5" t="s">
        <v>1273</v>
      </c>
      <c r="C266" s="5" t="s">
        <v>1274</v>
      </c>
      <c r="D266" s="5" t="s">
        <v>1275</v>
      </c>
      <c r="E266" s="5" t="s">
        <v>94</v>
      </c>
      <c r="F266" s="5" t="s">
        <v>449</v>
      </c>
      <c r="G266" s="5" t="s">
        <v>546</v>
      </c>
      <c r="H266" s="5" t="s">
        <v>79</v>
      </c>
      <c r="I266" s="5" t="s">
        <v>80</v>
      </c>
      <c r="J266" s="5" t="s">
        <v>451</v>
      </c>
      <c r="K266" s="5" t="s">
        <v>452</v>
      </c>
      <c r="L266" s="5" t="s">
        <v>453</v>
      </c>
      <c r="M266" s="5" t="s">
        <v>60</v>
      </c>
      <c r="N266" s="5" t="s">
        <v>1276</v>
      </c>
      <c r="O266" s="5" t="s">
        <v>1277</v>
      </c>
      <c r="P266" s="5" t="s">
        <v>1278</v>
      </c>
      <c r="Q266" s="5"/>
      <c r="R266" s="5" t="s">
        <v>454</v>
      </c>
      <c r="S266" s="6">
        <v>44144</v>
      </c>
      <c r="T266" s="6">
        <v>44147</v>
      </c>
      <c r="U266" s="6">
        <v>44146</v>
      </c>
      <c r="V266" s="6">
        <v>44152</v>
      </c>
      <c r="W266" s="6">
        <v>44152</v>
      </c>
      <c r="X266" s="5"/>
      <c r="Y266" s="5" t="s">
        <v>89</v>
      </c>
      <c r="Z266" s="5" t="s">
        <v>65</v>
      </c>
      <c r="AA266" s="5" t="s">
        <v>65</v>
      </c>
      <c r="AB266" s="5" t="s">
        <v>67</v>
      </c>
      <c r="AC266" s="5" t="s">
        <v>67</v>
      </c>
      <c r="AD266" s="5" t="s">
        <v>67</v>
      </c>
      <c r="AE266" s="5" t="s">
        <v>69</v>
      </c>
      <c r="AF266" s="5" t="s">
        <v>70</v>
      </c>
      <c r="AG266" s="5" t="s">
        <v>71</v>
      </c>
      <c r="AH266" s="5" t="s">
        <v>72</v>
      </c>
      <c r="AI266" s="5" t="s">
        <v>73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8093.68</v>
      </c>
      <c r="AP266" s="5">
        <v>62.594999999999999</v>
      </c>
      <c r="AQ266" s="5" t="s">
        <v>713</v>
      </c>
      <c r="AR266" s="5" t="s">
        <v>1104</v>
      </c>
      <c r="AS266" s="5"/>
      <c r="AT266" s="5"/>
      <c r="AU266" s="5"/>
      <c r="AV266" s="5">
        <v>-1</v>
      </c>
      <c r="AW266" s="5" t="s">
        <v>1105</v>
      </c>
    </row>
    <row r="267" spans="1:49" x14ac:dyDescent="0.55000000000000004">
      <c r="A267" s="5" t="str">
        <f>HYPERLINK("https://www.infodis.net/philips/net/Shipment/Details?InfodisNumber=4551033&amp;DomainCode=DAP", "4551033")</f>
        <v>4551033</v>
      </c>
      <c r="B267" s="5" t="s">
        <v>1279</v>
      </c>
      <c r="C267" s="5" t="s">
        <v>1280</v>
      </c>
      <c r="D267" s="5" t="s">
        <v>1281</v>
      </c>
      <c r="E267" s="5" t="s">
        <v>94</v>
      </c>
      <c r="F267" s="5" t="s">
        <v>423</v>
      </c>
      <c r="G267" s="5" t="s">
        <v>1282</v>
      </c>
      <c r="H267" s="5" t="s">
        <v>79</v>
      </c>
      <c r="I267" s="5" t="s">
        <v>112</v>
      </c>
      <c r="J267" s="5" t="s">
        <v>283</v>
      </c>
      <c r="K267" s="5" t="s">
        <v>425</v>
      </c>
      <c r="L267" s="5" t="s">
        <v>307</v>
      </c>
      <c r="M267" s="5" t="s">
        <v>60</v>
      </c>
      <c r="N267" s="5"/>
      <c r="O267" s="5"/>
      <c r="P267" s="5" t="s">
        <v>1283</v>
      </c>
      <c r="Q267" s="5"/>
      <c r="R267" s="5" t="s">
        <v>429</v>
      </c>
      <c r="S267" s="6">
        <v>44141</v>
      </c>
      <c r="T267" s="6">
        <v>44197</v>
      </c>
      <c r="U267" s="5"/>
      <c r="V267" s="6">
        <v>44202</v>
      </c>
      <c r="W267" s="5"/>
      <c r="X267" s="5"/>
      <c r="Y267" s="5" t="s">
        <v>89</v>
      </c>
      <c r="Z267" s="5" t="s">
        <v>65</v>
      </c>
      <c r="AA267" s="5" t="s">
        <v>65</v>
      </c>
      <c r="AB267" s="5" t="s">
        <v>67</v>
      </c>
      <c r="AC267" s="5" t="s">
        <v>67</v>
      </c>
      <c r="AD267" s="5" t="s">
        <v>67</v>
      </c>
      <c r="AE267" s="5" t="s">
        <v>69</v>
      </c>
      <c r="AF267" s="5" t="s">
        <v>70</v>
      </c>
      <c r="AG267" s="5" t="s">
        <v>71</v>
      </c>
      <c r="AH267" s="5" t="s">
        <v>72</v>
      </c>
      <c r="AI267" s="5" t="s">
        <v>73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8000</v>
      </c>
      <c r="AP267" s="5">
        <v>66</v>
      </c>
      <c r="AQ267" s="5" t="s">
        <v>713</v>
      </c>
      <c r="AR267" s="5" t="s">
        <v>1104</v>
      </c>
      <c r="AS267" s="5"/>
      <c r="AT267" s="5"/>
      <c r="AU267" s="5"/>
      <c r="AV267" s="5">
        <v>-1</v>
      </c>
      <c r="AW267" s="5" t="s">
        <v>1284</v>
      </c>
    </row>
    <row r="268" spans="1:49" x14ac:dyDescent="0.55000000000000004">
      <c r="A268" s="5" t="str">
        <f>HYPERLINK("https://www.infodis.net/philips/net/Shipment/Details?InfodisNumber=4552304&amp;DomainCode=DAP", "4552304")</f>
        <v>4552304</v>
      </c>
      <c r="B268" s="5" t="s">
        <v>1285</v>
      </c>
      <c r="C268" s="5" t="s">
        <v>108</v>
      </c>
      <c r="D268" s="5" t="s">
        <v>109</v>
      </c>
      <c r="E268" s="5" t="s">
        <v>94</v>
      </c>
      <c r="F268" s="5" t="s">
        <v>1240</v>
      </c>
      <c r="G268" s="5" t="s">
        <v>111</v>
      </c>
      <c r="H268" s="5" t="s">
        <v>79</v>
      </c>
      <c r="I268" s="5" t="s">
        <v>122</v>
      </c>
      <c r="J268" s="5" t="s">
        <v>1133</v>
      </c>
      <c r="K268" s="5" t="s">
        <v>1134</v>
      </c>
      <c r="L268" s="5" t="s">
        <v>1135</v>
      </c>
      <c r="M268" s="5" t="s">
        <v>261</v>
      </c>
      <c r="N268" s="5" t="s">
        <v>1286</v>
      </c>
      <c r="O268" s="5"/>
      <c r="P268" s="5" t="s">
        <v>116</v>
      </c>
      <c r="Q268" s="5"/>
      <c r="R268" s="5" t="s">
        <v>1136</v>
      </c>
      <c r="S268" s="6">
        <v>44143</v>
      </c>
      <c r="T268" s="6">
        <v>44144</v>
      </c>
      <c r="U268" s="6">
        <v>44149</v>
      </c>
      <c r="V268" s="6">
        <v>44151</v>
      </c>
      <c r="W268" s="5"/>
      <c r="X268" s="5"/>
      <c r="Y268" s="5" t="s">
        <v>89</v>
      </c>
      <c r="Z268" s="5" t="s">
        <v>1137</v>
      </c>
      <c r="AA268" s="5" t="s">
        <v>66</v>
      </c>
      <c r="AB268" s="5" t="s">
        <v>67</v>
      </c>
      <c r="AC268" s="5" t="s">
        <v>67</v>
      </c>
      <c r="AD268" s="5" t="s">
        <v>68</v>
      </c>
      <c r="AE268" s="5" t="s">
        <v>162</v>
      </c>
      <c r="AF268" s="5" t="s">
        <v>70</v>
      </c>
      <c r="AG268" s="5" t="s">
        <v>71</v>
      </c>
      <c r="AH268" s="5" t="s">
        <v>72</v>
      </c>
      <c r="AI268" s="5" t="s">
        <v>73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3993.92</v>
      </c>
      <c r="AP268" s="5">
        <v>27.960999999999999</v>
      </c>
      <c r="AQ268" s="5" t="s">
        <v>713</v>
      </c>
      <c r="AR268" s="5" t="s">
        <v>1104</v>
      </c>
      <c r="AS268" s="5"/>
      <c r="AT268" s="5"/>
      <c r="AU268" s="5"/>
      <c r="AV268" s="5">
        <v>-1</v>
      </c>
      <c r="AW268" s="5" t="s">
        <v>1287</v>
      </c>
    </row>
    <row r="269" spans="1:49" x14ac:dyDescent="0.55000000000000004">
      <c r="A269" s="5" t="str">
        <f>HYPERLINK("https://www.infodis.net/philips/net/Shipment/Details?InfodisNumber=6901589&amp;DomainCode=PHILIPSR1", "6901589")</f>
        <v>6901589</v>
      </c>
      <c r="B269" s="5" t="s">
        <v>1288</v>
      </c>
      <c r="C269" s="5" t="s">
        <v>459</v>
      </c>
      <c r="D269" s="5" t="s">
        <v>618</v>
      </c>
      <c r="E269" s="5" t="s">
        <v>242</v>
      </c>
      <c r="F269" s="5" t="s">
        <v>1160</v>
      </c>
      <c r="G269" s="5" t="s">
        <v>619</v>
      </c>
      <c r="H269" s="5" t="s">
        <v>79</v>
      </c>
      <c r="I269" s="5" t="s">
        <v>122</v>
      </c>
      <c r="J269" s="5" t="s">
        <v>917</v>
      </c>
      <c r="K269" s="5" t="s">
        <v>918</v>
      </c>
      <c r="L269" s="5" t="s">
        <v>881</v>
      </c>
      <c r="M269" s="5" t="s">
        <v>60</v>
      </c>
      <c r="N269" s="5" t="s">
        <v>1289</v>
      </c>
      <c r="O269" s="5" t="s">
        <v>1290</v>
      </c>
      <c r="P269" s="5" t="s">
        <v>623</v>
      </c>
      <c r="Q269" s="5"/>
      <c r="R269" s="5" t="s">
        <v>888</v>
      </c>
      <c r="S269" s="6">
        <v>44120</v>
      </c>
      <c r="T269" s="6">
        <v>44128</v>
      </c>
      <c r="U269" s="6">
        <v>44124</v>
      </c>
      <c r="V269" s="6">
        <v>44144</v>
      </c>
      <c r="W269" s="6">
        <v>44145</v>
      </c>
      <c r="X269" s="5"/>
      <c r="Y269" s="5" t="s">
        <v>65</v>
      </c>
      <c r="Z269" s="5" t="s">
        <v>65</v>
      </c>
      <c r="AA269" s="5" t="s">
        <v>65</v>
      </c>
      <c r="AB269" s="5" t="s">
        <v>67</v>
      </c>
      <c r="AC269" s="5" t="s">
        <v>67</v>
      </c>
      <c r="AD269" s="5" t="s">
        <v>67</v>
      </c>
      <c r="AE269" s="5" t="s">
        <v>69</v>
      </c>
      <c r="AF269" s="5" t="s">
        <v>70</v>
      </c>
      <c r="AG269" s="5" t="s">
        <v>71</v>
      </c>
      <c r="AH269" s="5" t="s">
        <v>72</v>
      </c>
      <c r="AI269" s="5" t="s">
        <v>252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6428</v>
      </c>
      <c r="AP269" s="5">
        <v>63</v>
      </c>
      <c r="AQ269" s="5" t="s">
        <v>713</v>
      </c>
      <c r="AR269" s="5" t="s">
        <v>1104</v>
      </c>
      <c r="AS269" s="5" t="s">
        <v>713</v>
      </c>
      <c r="AT269" s="6">
        <v>44123</v>
      </c>
      <c r="AU269" s="5" t="s">
        <v>1291</v>
      </c>
      <c r="AV269" s="5">
        <v>39</v>
      </c>
      <c r="AW269" s="5" t="s">
        <v>1292</v>
      </c>
    </row>
    <row r="270" spans="1:49" x14ac:dyDescent="0.55000000000000004">
      <c r="A270" s="5" t="str">
        <f>HYPERLINK("https://www.infodis.net/philips/net/Shipment/Details?InfodisNumber=4536025&amp;DomainCode=DAP", "4536025")</f>
        <v>4536025</v>
      </c>
      <c r="B270" s="5" t="s">
        <v>1293</v>
      </c>
      <c r="C270" s="5" t="s">
        <v>278</v>
      </c>
      <c r="D270" s="5" t="s">
        <v>279</v>
      </c>
      <c r="E270" s="5" t="s">
        <v>278</v>
      </c>
      <c r="F270" s="5" t="s">
        <v>256</v>
      </c>
      <c r="G270" s="5" t="s">
        <v>281</v>
      </c>
      <c r="H270" s="5" t="s">
        <v>79</v>
      </c>
      <c r="I270" s="5" t="s">
        <v>282</v>
      </c>
      <c r="J270" s="5" t="s">
        <v>258</v>
      </c>
      <c r="K270" s="5" t="s">
        <v>259</v>
      </c>
      <c r="L270" s="5" t="s">
        <v>260</v>
      </c>
      <c r="M270" s="5" t="s">
        <v>261</v>
      </c>
      <c r="N270" s="5" t="s">
        <v>1294</v>
      </c>
      <c r="O270" s="5" t="s">
        <v>1295</v>
      </c>
      <c r="P270" s="5" t="s">
        <v>286</v>
      </c>
      <c r="Q270" s="5"/>
      <c r="R270" s="5" t="s">
        <v>262</v>
      </c>
      <c r="S270" s="6">
        <v>44120</v>
      </c>
      <c r="T270" s="6">
        <v>44119</v>
      </c>
      <c r="U270" s="5"/>
      <c r="V270" s="6">
        <v>44124</v>
      </c>
      <c r="W270" s="6">
        <v>44126</v>
      </c>
      <c r="X270" s="5"/>
      <c r="Y270" s="5" t="s">
        <v>66</v>
      </c>
      <c r="Z270" s="5" t="s">
        <v>65</v>
      </c>
      <c r="AA270" s="5" t="s">
        <v>273</v>
      </c>
      <c r="AB270" s="5" t="s">
        <v>68</v>
      </c>
      <c r="AC270" s="5" t="s">
        <v>67</v>
      </c>
      <c r="AD270" s="5" t="s">
        <v>67</v>
      </c>
      <c r="AE270" s="5" t="s">
        <v>90</v>
      </c>
      <c r="AF270" s="5" t="s">
        <v>70</v>
      </c>
      <c r="AG270" s="5" t="s">
        <v>71</v>
      </c>
      <c r="AH270" s="5" t="s">
        <v>72</v>
      </c>
      <c r="AI270" s="5" t="s">
        <v>73</v>
      </c>
      <c r="AJ270" s="5">
        <v>0</v>
      </c>
      <c r="AK270" s="5">
        <v>0</v>
      </c>
      <c r="AL270" s="5">
        <v>0</v>
      </c>
      <c r="AM270" s="5">
        <v>0</v>
      </c>
      <c r="AN270" s="5">
        <v>32</v>
      </c>
      <c r="AO270" s="5">
        <v>4791.3599999999997</v>
      </c>
      <c r="AP270" s="5">
        <v>32</v>
      </c>
      <c r="AQ270" s="5" t="s">
        <v>713</v>
      </c>
      <c r="AR270" s="5" t="s">
        <v>1104</v>
      </c>
      <c r="AS270" s="5"/>
      <c r="AT270" s="5"/>
      <c r="AU270" s="5"/>
      <c r="AV270" s="5">
        <v>-1</v>
      </c>
      <c r="AW270" s="5" t="s">
        <v>1110</v>
      </c>
    </row>
    <row r="271" spans="1:49" x14ac:dyDescent="0.55000000000000004">
      <c r="A271" s="5" t="str">
        <f>HYPERLINK("https://www.infodis.net/philips/net/Shipment/Details?InfodisNumber=6932202&amp;DomainCode=PHILIPSR1", "6932202")</f>
        <v>6932202</v>
      </c>
      <c r="B271" s="5" t="s">
        <v>1296</v>
      </c>
      <c r="C271" s="5" t="s">
        <v>459</v>
      </c>
      <c r="D271" s="5" t="s">
        <v>618</v>
      </c>
      <c r="E271" s="5" t="s">
        <v>459</v>
      </c>
      <c r="F271" s="5" t="s">
        <v>458</v>
      </c>
      <c r="G271" s="5" t="s">
        <v>619</v>
      </c>
      <c r="H271" s="5" t="s">
        <v>79</v>
      </c>
      <c r="I271" s="5" t="s">
        <v>122</v>
      </c>
      <c r="J271" s="5" t="s">
        <v>218</v>
      </c>
      <c r="K271" s="5" t="s">
        <v>620</v>
      </c>
      <c r="L271" s="5" t="s">
        <v>180</v>
      </c>
      <c r="M271" s="5" t="s">
        <v>84</v>
      </c>
      <c r="N271" s="5" t="s">
        <v>1297</v>
      </c>
      <c r="O271" s="5" t="s">
        <v>1298</v>
      </c>
      <c r="P271" s="5" t="s">
        <v>623</v>
      </c>
      <c r="Q271" s="5"/>
      <c r="R271" s="5" t="s">
        <v>613</v>
      </c>
      <c r="S271" s="6">
        <v>44132</v>
      </c>
      <c r="T271" s="6">
        <v>44152</v>
      </c>
      <c r="U271" s="5"/>
      <c r="V271" s="6">
        <v>44154</v>
      </c>
      <c r="W271" s="6">
        <v>44156</v>
      </c>
      <c r="X271" s="5"/>
      <c r="Y271" s="5" t="s">
        <v>65</v>
      </c>
      <c r="Z271" s="5" t="s">
        <v>65</v>
      </c>
      <c r="AA271" s="5" t="s">
        <v>65</v>
      </c>
      <c r="AB271" s="5" t="s">
        <v>67</v>
      </c>
      <c r="AC271" s="5" t="s">
        <v>67</v>
      </c>
      <c r="AD271" s="5" t="s">
        <v>67</v>
      </c>
      <c r="AE271" s="5" t="s">
        <v>69</v>
      </c>
      <c r="AF271" s="5" t="s">
        <v>70</v>
      </c>
      <c r="AG271" s="5" t="s">
        <v>71</v>
      </c>
      <c r="AH271" s="5" t="s">
        <v>72</v>
      </c>
      <c r="AI271" s="5" t="s">
        <v>252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4905</v>
      </c>
      <c r="AP271" s="5">
        <v>65</v>
      </c>
      <c r="AQ271" s="5" t="s">
        <v>713</v>
      </c>
      <c r="AR271" s="5" t="s">
        <v>1104</v>
      </c>
      <c r="AS271" s="5"/>
      <c r="AT271" s="5"/>
      <c r="AU271" s="5"/>
      <c r="AV271" s="5">
        <v>-1</v>
      </c>
      <c r="AW271" s="5" t="s">
        <v>1105</v>
      </c>
    </row>
    <row r="272" spans="1:49" x14ac:dyDescent="0.55000000000000004">
      <c r="A272" s="5" t="str">
        <f>HYPERLINK("https://www.infodis.net/philips/net/Shipment/Details?InfodisNumber=5587250&amp;DomainCode=PHILIPSR1", "5587250")</f>
        <v>5587250</v>
      </c>
      <c r="B272" s="5" t="s">
        <v>1299</v>
      </c>
      <c r="C272" s="5" t="s">
        <v>607</v>
      </c>
      <c r="D272" s="5" t="s">
        <v>608</v>
      </c>
      <c r="E272" s="5" t="s">
        <v>458</v>
      </c>
      <c r="F272" s="5" t="s">
        <v>1300</v>
      </c>
      <c r="G272" s="5" t="s">
        <v>610</v>
      </c>
      <c r="H272" s="5" t="s">
        <v>180</v>
      </c>
      <c r="I272" s="5" t="s">
        <v>652</v>
      </c>
      <c r="J272" s="5" t="s">
        <v>1301</v>
      </c>
      <c r="K272" s="5" t="s">
        <v>1302</v>
      </c>
      <c r="L272" s="5" t="s">
        <v>1303</v>
      </c>
      <c r="M272" s="5" t="s">
        <v>133</v>
      </c>
      <c r="N272" s="5"/>
      <c r="O272" s="5"/>
      <c r="P272" s="5" t="s">
        <v>613</v>
      </c>
      <c r="Q272" s="5"/>
      <c r="R272" s="5" t="s">
        <v>1304</v>
      </c>
      <c r="S272" s="6">
        <v>43646</v>
      </c>
      <c r="T272" s="6">
        <v>43656</v>
      </c>
      <c r="U272" s="6">
        <v>43656</v>
      </c>
      <c r="V272" s="6">
        <v>43667</v>
      </c>
      <c r="W272" s="6">
        <v>43665</v>
      </c>
      <c r="X272" s="6">
        <v>43707</v>
      </c>
      <c r="Y272" s="5" t="s">
        <v>649</v>
      </c>
      <c r="Z272" s="5" t="s">
        <v>649</v>
      </c>
      <c r="AA272" s="5" t="s">
        <v>66</v>
      </c>
      <c r="AB272" s="5" t="s">
        <v>67</v>
      </c>
      <c r="AC272" s="5" t="s">
        <v>67</v>
      </c>
      <c r="AD272" s="5" t="s">
        <v>68</v>
      </c>
      <c r="AE272" s="5" t="s">
        <v>90</v>
      </c>
      <c r="AF272" s="5" t="s">
        <v>70</v>
      </c>
      <c r="AG272" s="5" t="s">
        <v>71</v>
      </c>
      <c r="AH272" s="5" t="s">
        <v>72</v>
      </c>
      <c r="AI272" s="5" t="s">
        <v>252</v>
      </c>
      <c r="AJ272" s="5">
        <v>0</v>
      </c>
      <c r="AK272" s="5">
        <v>0</v>
      </c>
      <c r="AL272" s="5">
        <v>0</v>
      </c>
      <c r="AM272" s="5">
        <v>0</v>
      </c>
      <c r="AN272" s="5">
        <v>11</v>
      </c>
      <c r="AO272" s="5">
        <v>1948.18</v>
      </c>
      <c r="AP272" s="5">
        <v>16.460999999999999</v>
      </c>
      <c r="AQ272" s="5" t="s">
        <v>713</v>
      </c>
      <c r="AR272" s="5" t="s">
        <v>1104</v>
      </c>
      <c r="AS272" s="5" t="s">
        <v>713</v>
      </c>
      <c r="AT272" s="6">
        <v>43790</v>
      </c>
      <c r="AU272" s="5" t="s">
        <v>1173</v>
      </c>
      <c r="AV272" s="5">
        <v>372</v>
      </c>
      <c r="AW272" s="5" t="s">
        <v>1174</v>
      </c>
    </row>
    <row r="273" spans="1:49" x14ac:dyDescent="0.55000000000000004">
      <c r="A273" s="5" t="str">
        <f>HYPERLINK("https://www.infodis.net/philips/net/Shipment/Details?InfodisNumber=4537600&amp;DomainCode=DAP", "4537600")</f>
        <v>4537600</v>
      </c>
      <c r="B273" s="5" t="s">
        <v>1305</v>
      </c>
      <c r="C273" s="5" t="s">
        <v>560</v>
      </c>
      <c r="D273" s="5" t="s">
        <v>561</v>
      </c>
      <c r="E273" s="5" t="s">
        <v>562</v>
      </c>
      <c r="F273" s="5" t="s">
        <v>1306</v>
      </c>
      <c r="G273" s="5" t="s">
        <v>54</v>
      </c>
      <c r="H273" s="5" t="s">
        <v>55</v>
      </c>
      <c r="I273" s="5" t="s">
        <v>495</v>
      </c>
      <c r="J273" s="5" t="s">
        <v>1036</v>
      </c>
      <c r="K273" s="5" t="s">
        <v>1307</v>
      </c>
      <c r="L273" s="5" t="s">
        <v>132</v>
      </c>
      <c r="M273" s="5" t="s">
        <v>133</v>
      </c>
      <c r="N273" s="5" t="s">
        <v>115</v>
      </c>
      <c r="O273" s="5"/>
      <c r="P273" s="5" t="s">
        <v>63</v>
      </c>
      <c r="Q273" s="5" t="s">
        <v>1308</v>
      </c>
      <c r="R273" s="5" t="s">
        <v>1309</v>
      </c>
      <c r="S273" s="6">
        <v>44123</v>
      </c>
      <c r="T273" s="6">
        <v>44126</v>
      </c>
      <c r="U273" s="5"/>
      <c r="V273" s="6">
        <v>44131</v>
      </c>
      <c r="W273" s="6">
        <v>44133</v>
      </c>
      <c r="X273" s="5"/>
      <c r="Y273" s="5" t="s">
        <v>686</v>
      </c>
      <c r="Z273" s="5" t="s">
        <v>686</v>
      </c>
      <c r="AA273" s="5" t="s">
        <v>66</v>
      </c>
      <c r="AB273" s="5" t="s">
        <v>67</v>
      </c>
      <c r="AC273" s="5" t="s">
        <v>67</v>
      </c>
      <c r="AD273" s="5" t="s">
        <v>68</v>
      </c>
      <c r="AE273" s="5" t="s">
        <v>69</v>
      </c>
      <c r="AF273" s="5" t="s">
        <v>70</v>
      </c>
      <c r="AG273" s="5" t="s">
        <v>71</v>
      </c>
      <c r="AH273" s="5" t="s">
        <v>72</v>
      </c>
      <c r="AI273" s="5" t="s">
        <v>73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5067.5</v>
      </c>
      <c r="AP273" s="5">
        <v>34.502000000000002</v>
      </c>
      <c r="AQ273" s="5" t="s">
        <v>713</v>
      </c>
      <c r="AR273" s="5" t="s">
        <v>1104</v>
      </c>
      <c r="AS273" s="5" t="s">
        <v>713</v>
      </c>
      <c r="AT273" s="6">
        <v>44139</v>
      </c>
      <c r="AU273" s="5" t="s">
        <v>1310</v>
      </c>
      <c r="AV273" s="5">
        <v>23</v>
      </c>
      <c r="AW273" s="5" t="s">
        <v>738</v>
      </c>
    </row>
    <row r="274" spans="1:49" x14ac:dyDescent="0.55000000000000004">
      <c r="A274" s="5" t="str">
        <f>HYPERLINK("https://www.infodis.net/philips/net/Shipment/Details?InfodisNumber=4537864&amp;DomainCode=DAP", "4537864")</f>
        <v>4537864</v>
      </c>
      <c r="B274" s="5" t="s">
        <v>1311</v>
      </c>
      <c r="C274" s="5" t="s">
        <v>153</v>
      </c>
      <c r="D274" s="5" t="s">
        <v>154</v>
      </c>
      <c r="E274" s="5" t="s">
        <v>94</v>
      </c>
      <c r="F274" s="5" t="s">
        <v>367</v>
      </c>
      <c r="G274" s="5" t="s">
        <v>82</v>
      </c>
      <c r="H274" s="5" t="s">
        <v>83</v>
      </c>
      <c r="I274" s="5" t="s">
        <v>156</v>
      </c>
      <c r="J274" s="5" t="s">
        <v>157</v>
      </c>
      <c r="K274" s="5" t="s">
        <v>369</v>
      </c>
      <c r="L274" s="5" t="s">
        <v>159</v>
      </c>
      <c r="M274" s="5" t="s">
        <v>60</v>
      </c>
      <c r="N274" s="5" t="s">
        <v>1312</v>
      </c>
      <c r="O274" s="5" t="s">
        <v>1313</v>
      </c>
      <c r="P274" s="5" t="s">
        <v>87</v>
      </c>
      <c r="Q274" s="5"/>
      <c r="R274" s="5" t="s">
        <v>370</v>
      </c>
      <c r="S274" s="6">
        <v>44124</v>
      </c>
      <c r="T274" s="6">
        <v>44128</v>
      </c>
      <c r="U274" s="6">
        <v>44128</v>
      </c>
      <c r="V274" s="6">
        <v>44128</v>
      </c>
      <c r="W274" s="6">
        <v>44128</v>
      </c>
      <c r="X274" s="5"/>
      <c r="Y274" s="5" t="s">
        <v>65</v>
      </c>
      <c r="Z274" s="5" t="s">
        <v>65</v>
      </c>
      <c r="AA274" s="5" t="s">
        <v>66</v>
      </c>
      <c r="AB274" s="5" t="s">
        <v>67</v>
      </c>
      <c r="AC274" s="5" t="s">
        <v>67</v>
      </c>
      <c r="AD274" s="5" t="s">
        <v>68</v>
      </c>
      <c r="AE274" s="5" t="s">
        <v>90</v>
      </c>
      <c r="AF274" s="5" t="s">
        <v>70</v>
      </c>
      <c r="AG274" s="5" t="s">
        <v>71</v>
      </c>
      <c r="AH274" s="5" t="s">
        <v>72</v>
      </c>
      <c r="AI274" s="5" t="s">
        <v>73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7766.48</v>
      </c>
      <c r="AP274" s="5">
        <v>45.368000000000002</v>
      </c>
      <c r="AQ274" s="5" t="s">
        <v>713</v>
      </c>
      <c r="AR274" s="5" t="s">
        <v>1104</v>
      </c>
      <c r="AS274" s="5"/>
      <c r="AT274" s="5"/>
      <c r="AU274" s="5"/>
      <c r="AV274" s="5">
        <v>-1</v>
      </c>
      <c r="AW274" s="5" t="s">
        <v>1105</v>
      </c>
    </row>
    <row r="275" spans="1:49" x14ac:dyDescent="0.55000000000000004">
      <c r="A275" s="5" t="str">
        <f>HYPERLINK("https://www.infodis.net/philips/net/Shipment/Details?InfodisNumber=4537863&amp;DomainCode=DAP", "4537863")</f>
        <v>4537863</v>
      </c>
      <c r="B275" s="5" t="s">
        <v>1314</v>
      </c>
      <c r="C275" s="5" t="s">
        <v>153</v>
      </c>
      <c r="D275" s="5" t="s">
        <v>154</v>
      </c>
      <c r="E275" s="5" t="s">
        <v>94</v>
      </c>
      <c r="F275" s="5" t="s">
        <v>155</v>
      </c>
      <c r="G275" s="5" t="s">
        <v>82</v>
      </c>
      <c r="H275" s="5" t="s">
        <v>83</v>
      </c>
      <c r="I275" s="5" t="s">
        <v>156</v>
      </c>
      <c r="J275" s="5" t="s">
        <v>157</v>
      </c>
      <c r="K275" s="5" t="s">
        <v>158</v>
      </c>
      <c r="L275" s="5" t="s">
        <v>159</v>
      </c>
      <c r="M275" s="5" t="s">
        <v>133</v>
      </c>
      <c r="N275" s="5" t="s">
        <v>1315</v>
      </c>
      <c r="O275" s="5" t="s">
        <v>1316</v>
      </c>
      <c r="P275" s="5" t="s">
        <v>87</v>
      </c>
      <c r="Q275" s="5"/>
      <c r="R275" s="5" t="s">
        <v>161</v>
      </c>
      <c r="S275" s="6">
        <v>44124</v>
      </c>
      <c r="T275" s="6">
        <v>44128</v>
      </c>
      <c r="U275" s="6">
        <v>44126</v>
      </c>
      <c r="V275" s="6">
        <v>44126</v>
      </c>
      <c r="W275" s="6">
        <v>44126</v>
      </c>
      <c r="X275" s="6">
        <v>44154</v>
      </c>
      <c r="Y275" s="5" t="s">
        <v>65</v>
      </c>
      <c r="Z275" s="5" t="s">
        <v>65</v>
      </c>
      <c r="AA275" s="5" t="s">
        <v>66</v>
      </c>
      <c r="AB275" s="5" t="s">
        <v>67</v>
      </c>
      <c r="AC275" s="5" t="s">
        <v>67</v>
      </c>
      <c r="AD275" s="5" t="s">
        <v>68</v>
      </c>
      <c r="AE275" s="5" t="s">
        <v>162</v>
      </c>
      <c r="AF275" s="5" t="s">
        <v>70</v>
      </c>
      <c r="AG275" s="5" t="s">
        <v>71</v>
      </c>
      <c r="AH275" s="5" t="s">
        <v>72</v>
      </c>
      <c r="AI275" s="5" t="s">
        <v>73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2265.48</v>
      </c>
      <c r="AP275" s="5">
        <v>22.641999999999999</v>
      </c>
      <c r="AQ275" s="5" t="s">
        <v>713</v>
      </c>
      <c r="AR275" s="5" t="s">
        <v>1104</v>
      </c>
      <c r="AS275" s="5"/>
      <c r="AT275" s="5"/>
      <c r="AU275" s="5"/>
      <c r="AV275" s="5">
        <v>-1</v>
      </c>
      <c r="AW275" s="5" t="s">
        <v>1105</v>
      </c>
    </row>
    <row r="276" spans="1:49" x14ac:dyDescent="0.55000000000000004">
      <c r="A276" s="5" t="str">
        <f>HYPERLINK("https://www.infodis.net/philips/net/Shipment/Details?InfodisNumber=4537865&amp;DomainCode=DAP", "4537865")</f>
        <v>4537865</v>
      </c>
      <c r="B276" s="5" t="s">
        <v>1317</v>
      </c>
      <c r="C276" s="5" t="s">
        <v>153</v>
      </c>
      <c r="D276" s="5" t="s">
        <v>154</v>
      </c>
      <c r="E276" s="5" t="s">
        <v>94</v>
      </c>
      <c r="F276" s="5" t="s">
        <v>367</v>
      </c>
      <c r="G276" s="5" t="s">
        <v>82</v>
      </c>
      <c r="H276" s="5" t="s">
        <v>83</v>
      </c>
      <c r="I276" s="5" t="s">
        <v>156</v>
      </c>
      <c r="J276" s="5" t="s">
        <v>157</v>
      </c>
      <c r="K276" s="5" t="s">
        <v>369</v>
      </c>
      <c r="L276" s="5" t="s">
        <v>159</v>
      </c>
      <c r="M276" s="5" t="s">
        <v>60</v>
      </c>
      <c r="N276" s="5" t="s">
        <v>1318</v>
      </c>
      <c r="O276" s="5" t="s">
        <v>1319</v>
      </c>
      <c r="P276" s="5" t="s">
        <v>87</v>
      </c>
      <c r="Q276" s="5"/>
      <c r="R276" s="5" t="s">
        <v>370</v>
      </c>
      <c r="S276" s="6">
        <v>44124</v>
      </c>
      <c r="T276" s="6">
        <v>44128</v>
      </c>
      <c r="U276" s="6">
        <v>44126</v>
      </c>
      <c r="V276" s="6">
        <v>44126</v>
      </c>
      <c r="W276" s="6">
        <v>44126</v>
      </c>
      <c r="X276" s="5"/>
      <c r="Y276" s="5" t="s">
        <v>65</v>
      </c>
      <c r="Z276" s="5" t="s">
        <v>65</v>
      </c>
      <c r="AA276" s="5" t="s">
        <v>66</v>
      </c>
      <c r="AB276" s="5" t="s">
        <v>67</v>
      </c>
      <c r="AC276" s="5" t="s">
        <v>67</v>
      </c>
      <c r="AD276" s="5" t="s">
        <v>68</v>
      </c>
      <c r="AE276" s="5" t="s">
        <v>90</v>
      </c>
      <c r="AF276" s="5" t="s">
        <v>70</v>
      </c>
      <c r="AG276" s="5" t="s">
        <v>71</v>
      </c>
      <c r="AH276" s="5" t="s">
        <v>72</v>
      </c>
      <c r="AI276" s="5" t="s">
        <v>73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7359.68</v>
      </c>
      <c r="AP276" s="5">
        <v>48.12</v>
      </c>
      <c r="AQ276" s="5" t="s">
        <v>713</v>
      </c>
      <c r="AR276" s="5" t="s">
        <v>1104</v>
      </c>
      <c r="AS276" s="5"/>
      <c r="AT276" s="5"/>
      <c r="AU276" s="5"/>
      <c r="AV276" s="5">
        <v>-1</v>
      </c>
      <c r="AW276" s="5" t="s">
        <v>1105</v>
      </c>
    </row>
    <row r="277" spans="1:49" x14ac:dyDescent="0.55000000000000004">
      <c r="A277" s="5" t="str">
        <f>HYPERLINK("https://www.infodis.net/philips/net/Shipment/Details?InfodisNumber=6901588&amp;DomainCode=PHILIPSR1", "6901588")</f>
        <v>6901588</v>
      </c>
      <c r="B277" s="5" t="s">
        <v>1320</v>
      </c>
      <c r="C277" s="5" t="s">
        <v>459</v>
      </c>
      <c r="D277" s="5" t="s">
        <v>618</v>
      </c>
      <c r="E277" s="5" t="s">
        <v>242</v>
      </c>
      <c r="F277" s="5" t="s">
        <v>1160</v>
      </c>
      <c r="G277" s="5" t="s">
        <v>619</v>
      </c>
      <c r="H277" s="5" t="s">
        <v>79</v>
      </c>
      <c r="I277" s="5" t="s">
        <v>122</v>
      </c>
      <c r="J277" s="5" t="s">
        <v>917</v>
      </c>
      <c r="K277" s="5" t="s">
        <v>1161</v>
      </c>
      <c r="L277" s="5" t="s">
        <v>881</v>
      </c>
      <c r="M277" s="5" t="s">
        <v>60</v>
      </c>
      <c r="N277" s="5" t="s">
        <v>1321</v>
      </c>
      <c r="O277" s="5" t="s">
        <v>1322</v>
      </c>
      <c r="P277" s="5" t="s">
        <v>623</v>
      </c>
      <c r="Q277" s="5"/>
      <c r="R277" s="5" t="s">
        <v>888</v>
      </c>
      <c r="S277" s="6">
        <v>44120</v>
      </c>
      <c r="T277" s="6">
        <v>44127</v>
      </c>
      <c r="U277" s="6">
        <v>44127</v>
      </c>
      <c r="V277" s="6">
        <v>44130</v>
      </c>
      <c r="W277" s="6">
        <v>44131</v>
      </c>
      <c r="X277" s="5"/>
      <c r="Y277" s="5" t="s">
        <v>65</v>
      </c>
      <c r="Z277" s="5" t="s">
        <v>65</v>
      </c>
      <c r="AA277" s="5" t="s">
        <v>65</v>
      </c>
      <c r="AB277" s="5" t="s">
        <v>67</v>
      </c>
      <c r="AC277" s="5" t="s">
        <v>67</v>
      </c>
      <c r="AD277" s="5" t="s">
        <v>67</v>
      </c>
      <c r="AE277" s="5" t="s">
        <v>69</v>
      </c>
      <c r="AF277" s="5" t="s">
        <v>70</v>
      </c>
      <c r="AG277" s="5" t="s">
        <v>71</v>
      </c>
      <c r="AH277" s="5" t="s">
        <v>72</v>
      </c>
      <c r="AI277" s="5" t="s">
        <v>252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5889</v>
      </c>
      <c r="AP277" s="5">
        <v>61</v>
      </c>
      <c r="AQ277" s="5" t="s">
        <v>713</v>
      </c>
      <c r="AR277" s="5" t="s">
        <v>1104</v>
      </c>
      <c r="AS277" s="5" t="s">
        <v>713</v>
      </c>
      <c r="AT277" s="6">
        <v>44123</v>
      </c>
      <c r="AU277" s="5" t="s">
        <v>1291</v>
      </c>
      <c r="AV277" s="5">
        <v>39</v>
      </c>
      <c r="AW277" s="5" t="s">
        <v>1292</v>
      </c>
    </row>
    <row r="278" spans="1:49" x14ac:dyDescent="0.55000000000000004">
      <c r="A278" s="5" t="str">
        <f>HYPERLINK("https://www.infodis.net/philips/net/Shipment/Details?InfodisNumber=4537861&amp;DomainCode=DAP", "4537861")</f>
        <v>4537861</v>
      </c>
      <c r="B278" s="5" t="s">
        <v>1323</v>
      </c>
      <c r="C278" s="5" t="s">
        <v>153</v>
      </c>
      <c r="D278" s="5" t="s">
        <v>154</v>
      </c>
      <c r="E278" s="5" t="s">
        <v>94</v>
      </c>
      <c r="F278" s="5" t="s">
        <v>155</v>
      </c>
      <c r="G278" s="5" t="s">
        <v>82</v>
      </c>
      <c r="H278" s="5" t="s">
        <v>83</v>
      </c>
      <c r="I278" s="5" t="s">
        <v>156</v>
      </c>
      <c r="J278" s="5" t="s">
        <v>157</v>
      </c>
      <c r="K278" s="5" t="s">
        <v>158</v>
      </c>
      <c r="L278" s="5" t="s">
        <v>159</v>
      </c>
      <c r="M278" s="5" t="s">
        <v>133</v>
      </c>
      <c r="N278" s="5" t="s">
        <v>1324</v>
      </c>
      <c r="O278" s="5" t="s">
        <v>1325</v>
      </c>
      <c r="P278" s="5" t="s">
        <v>87</v>
      </c>
      <c r="Q278" s="5"/>
      <c r="R278" s="5" t="s">
        <v>161</v>
      </c>
      <c r="S278" s="6">
        <v>44124</v>
      </c>
      <c r="T278" s="6">
        <v>44127</v>
      </c>
      <c r="U278" s="6">
        <v>44127</v>
      </c>
      <c r="V278" s="6">
        <v>44128</v>
      </c>
      <c r="W278" s="6">
        <v>44127</v>
      </c>
      <c r="X278" s="6">
        <v>44160</v>
      </c>
      <c r="Y278" s="5" t="s">
        <v>65</v>
      </c>
      <c r="Z278" s="5" t="s">
        <v>65</v>
      </c>
      <c r="AA278" s="5" t="s">
        <v>66</v>
      </c>
      <c r="AB278" s="5" t="s">
        <v>67</v>
      </c>
      <c r="AC278" s="5" t="s">
        <v>67</v>
      </c>
      <c r="AD278" s="5" t="s">
        <v>68</v>
      </c>
      <c r="AE278" s="5" t="s">
        <v>90</v>
      </c>
      <c r="AF278" s="5" t="s">
        <v>70</v>
      </c>
      <c r="AG278" s="5" t="s">
        <v>71</v>
      </c>
      <c r="AH278" s="5" t="s">
        <v>72</v>
      </c>
      <c r="AI278" s="5" t="s">
        <v>73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3346.91</v>
      </c>
      <c r="AP278" s="5">
        <v>28.72</v>
      </c>
      <c r="AQ278" s="5" t="s">
        <v>713</v>
      </c>
      <c r="AR278" s="5" t="s">
        <v>1104</v>
      </c>
      <c r="AS278" s="5"/>
      <c r="AT278" s="5"/>
      <c r="AU278" s="5"/>
      <c r="AV278" s="5">
        <v>-1</v>
      </c>
      <c r="AW278" s="5" t="s">
        <v>1105</v>
      </c>
    </row>
    <row r="279" spans="1:49" x14ac:dyDescent="0.55000000000000004">
      <c r="A279" s="5" t="str">
        <f>HYPERLINK("https://www.infodis.net/philips/net/Shipment/Details?InfodisNumber=6933195&amp;DomainCode=PHILIPSR1", "6933195")</f>
        <v>6933195</v>
      </c>
      <c r="B279" s="5" t="s">
        <v>1326</v>
      </c>
      <c r="C279" s="5" t="s">
        <v>877</v>
      </c>
      <c r="D279" s="5" t="s">
        <v>878</v>
      </c>
      <c r="E279" s="5" t="s">
        <v>877</v>
      </c>
      <c r="F279" s="5" t="s">
        <v>1210</v>
      </c>
      <c r="G279" s="5" t="s">
        <v>880</v>
      </c>
      <c r="H279" s="5" t="s">
        <v>881</v>
      </c>
      <c r="I279" s="5" t="s">
        <v>882</v>
      </c>
      <c r="J279" s="5" t="s">
        <v>1211</v>
      </c>
      <c r="K279" s="5" t="s">
        <v>1212</v>
      </c>
      <c r="L279" s="5" t="s">
        <v>1213</v>
      </c>
      <c r="M279" s="5" t="s">
        <v>385</v>
      </c>
      <c r="N279" s="5"/>
      <c r="O279" s="5" t="s">
        <v>1327</v>
      </c>
      <c r="P279" s="5" t="s">
        <v>888</v>
      </c>
      <c r="Q279" s="5"/>
      <c r="R279" s="5" t="s">
        <v>1216</v>
      </c>
      <c r="S279" s="6">
        <v>44132</v>
      </c>
      <c r="T279" s="6">
        <v>44134</v>
      </c>
      <c r="U279" s="6">
        <v>44150</v>
      </c>
      <c r="V279" s="6">
        <v>44152</v>
      </c>
      <c r="W279" s="5"/>
      <c r="X279" s="5"/>
      <c r="Y279" s="5" t="s">
        <v>467</v>
      </c>
      <c r="Z279" s="5" t="s">
        <v>467</v>
      </c>
      <c r="AA279" s="5" t="s">
        <v>467</v>
      </c>
      <c r="AB279" s="5" t="s">
        <v>67</v>
      </c>
      <c r="AC279" s="5" t="s">
        <v>67</v>
      </c>
      <c r="AD279" s="5" t="s">
        <v>67</v>
      </c>
      <c r="AE279" s="5" t="s">
        <v>162</v>
      </c>
      <c r="AF279" s="5" t="s">
        <v>70</v>
      </c>
      <c r="AG279" s="5" t="s">
        <v>71</v>
      </c>
      <c r="AH279" s="5" t="s">
        <v>72</v>
      </c>
      <c r="AI279" s="5" t="s">
        <v>252</v>
      </c>
      <c r="AJ279" s="5">
        <v>0</v>
      </c>
      <c r="AK279" s="5">
        <v>0</v>
      </c>
      <c r="AL279" s="5">
        <v>0</v>
      </c>
      <c r="AM279" s="5">
        <v>0</v>
      </c>
      <c r="AN279" s="5">
        <v>15</v>
      </c>
      <c r="AO279" s="5">
        <v>5000</v>
      </c>
      <c r="AP279" s="5">
        <v>0</v>
      </c>
      <c r="AQ279" s="5" t="s">
        <v>713</v>
      </c>
      <c r="AR279" s="5" t="s">
        <v>1104</v>
      </c>
      <c r="AS279" s="5"/>
      <c r="AT279" s="5"/>
      <c r="AU279" s="5"/>
      <c r="AV279" s="5">
        <v>-1</v>
      </c>
      <c r="AW279" s="5" t="s">
        <v>1328</v>
      </c>
    </row>
    <row r="280" spans="1:49" x14ac:dyDescent="0.55000000000000004">
      <c r="A280" s="5" t="str">
        <f>HYPERLINK("https://www.infodis.net/philips/net/Shipment/Details?InfodisNumber=4544396&amp;DomainCode=DAP", "4544396")</f>
        <v>4544396</v>
      </c>
      <c r="B280" s="5" t="s">
        <v>1329</v>
      </c>
      <c r="C280" s="5" t="s">
        <v>1330</v>
      </c>
      <c r="D280" s="5" t="s">
        <v>1331</v>
      </c>
      <c r="E280" s="5" t="s">
        <v>1332</v>
      </c>
      <c r="F280" s="5" t="s">
        <v>1332</v>
      </c>
      <c r="G280" s="5" t="s">
        <v>600</v>
      </c>
      <c r="H280" s="5" t="s">
        <v>267</v>
      </c>
      <c r="I280" s="5" t="s">
        <v>268</v>
      </c>
      <c r="J280" s="5" t="s">
        <v>1333</v>
      </c>
      <c r="K280" s="5" t="s">
        <v>1334</v>
      </c>
      <c r="L280" s="5" t="s">
        <v>180</v>
      </c>
      <c r="M280" s="5" t="s">
        <v>261</v>
      </c>
      <c r="N280" s="5" t="s">
        <v>115</v>
      </c>
      <c r="O280" s="5"/>
      <c r="P280" s="5" t="s">
        <v>1335</v>
      </c>
      <c r="Q280" s="5" t="s">
        <v>1336</v>
      </c>
      <c r="R280" s="5" t="s">
        <v>1337</v>
      </c>
      <c r="S280" s="6">
        <v>44132</v>
      </c>
      <c r="T280" s="6">
        <v>44140</v>
      </c>
      <c r="U280" s="6">
        <v>44140</v>
      </c>
      <c r="V280" s="6">
        <v>44145</v>
      </c>
      <c r="W280" s="6">
        <v>44144</v>
      </c>
      <c r="X280" s="5"/>
      <c r="Y280" s="5" t="s">
        <v>649</v>
      </c>
      <c r="Z280" s="5" t="s">
        <v>649</v>
      </c>
      <c r="AA280" s="5" t="s">
        <v>649</v>
      </c>
      <c r="AB280" s="5" t="s">
        <v>67</v>
      </c>
      <c r="AC280" s="5" t="s">
        <v>67</v>
      </c>
      <c r="AD280" s="5" t="s">
        <v>67</v>
      </c>
      <c r="AE280" s="5" t="s">
        <v>1338</v>
      </c>
      <c r="AF280" s="5" t="s">
        <v>70</v>
      </c>
      <c r="AG280" s="5" t="s">
        <v>71</v>
      </c>
      <c r="AH280" s="5" t="s">
        <v>72</v>
      </c>
      <c r="AI280" s="5" t="s">
        <v>73</v>
      </c>
      <c r="AJ280" s="5">
        <v>0</v>
      </c>
      <c r="AK280" s="5">
        <v>0</v>
      </c>
      <c r="AL280" s="5">
        <v>0</v>
      </c>
      <c r="AM280" s="5">
        <v>0</v>
      </c>
      <c r="AN280" s="5">
        <v>89</v>
      </c>
      <c r="AO280" s="5">
        <v>10547</v>
      </c>
      <c r="AP280" s="5">
        <v>204</v>
      </c>
      <c r="AQ280" s="5" t="s">
        <v>1339</v>
      </c>
      <c r="AR280" s="5" t="s">
        <v>1104</v>
      </c>
      <c r="AS280" s="5"/>
      <c r="AT280" s="5"/>
      <c r="AU280" s="5"/>
      <c r="AV280" s="5">
        <v>-1</v>
      </c>
      <c r="AW280" s="5" t="s">
        <v>1340</v>
      </c>
    </row>
    <row r="281" spans="1:49" x14ac:dyDescent="0.55000000000000004">
      <c r="A281" s="5" t="str">
        <f>HYPERLINK("https://www.infodis.net/philips/net/Shipment/Details?InfodisNumber=4540975&amp;DomainCode=DAP", "4540975")</f>
        <v>4540975</v>
      </c>
      <c r="B281" s="5" t="s">
        <v>1341</v>
      </c>
      <c r="C281" s="5" t="s">
        <v>153</v>
      </c>
      <c r="D281" s="5" t="s">
        <v>154</v>
      </c>
      <c r="E281" s="5" t="s">
        <v>94</v>
      </c>
      <c r="F281" s="5" t="s">
        <v>367</v>
      </c>
      <c r="G281" s="5" t="s">
        <v>82</v>
      </c>
      <c r="H281" s="5" t="s">
        <v>83</v>
      </c>
      <c r="I281" s="5" t="s">
        <v>156</v>
      </c>
      <c r="J281" s="5" t="s">
        <v>157</v>
      </c>
      <c r="K281" s="5" t="s">
        <v>369</v>
      </c>
      <c r="L281" s="5" t="s">
        <v>159</v>
      </c>
      <c r="M281" s="5" t="s">
        <v>60</v>
      </c>
      <c r="N281" s="5" t="s">
        <v>1342</v>
      </c>
      <c r="O281" s="5" t="s">
        <v>1343</v>
      </c>
      <c r="P281" s="5" t="s">
        <v>87</v>
      </c>
      <c r="Q281" s="5"/>
      <c r="R281" s="5" t="s">
        <v>370</v>
      </c>
      <c r="S281" s="6">
        <v>44127</v>
      </c>
      <c r="T281" s="6">
        <v>44134</v>
      </c>
      <c r="U281" s="6">
        <v>44134</v>
      </c>
      <c r="V281" s="6">
        <v>44137</v>
      </c>
      <c r="W281" s="6">
        <v>44134</v>
      </c>
      <c r="X281" s="5"/>
      <c r="Y281" s="5" t="s">
        <v>65</v>
      </c>
      <c r="Z281" s="5" t="s">
        <v>65</v>
      </c>
      <c r="AA281" s="5" t="s">
        <v>66</v>
      </c>
      <c r="AB281" s="5" t="s">
        <v>67</v>
      </c>
      <c r="AC281" s="5" t="s">
        <v>67</v>
      </c>
      <c r="AD281" s="5" t="s">
        <v>68</v>
      </c>
      <c r="AE281" s="5" t="s">
        <v>90</v>
      </c>
      <c r="AF281" s="5" t="s">
        <v>70</v>
      </c>
      <c r="AG281" s="5" t="s">
        <v>71</v>
      </c>
      <c r="AH281" s="5" t="s">
        <v>72</v>
      </c>
      <c r="AI281" s="5" t="s">
        <v>73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7113.02</v>
      </c>
      <c r="AP281" s="5">
        <v>47.536000000000001</v>
      </c>
      <c r="AQ281" s="5" t="s">
        <v>713</v>
      </c>
      <c r="AR281" s="5" t="s">
        <v>1104</v>
      </c>
      <c r="AS281" s="5"/>
      <c r="AT281" s="5"/>
      <c r="AU281" s="5"/>
      <c r="AV281" s="5">
        <v>-1</v>
      </c>
      <c r="AW281" s="5" t="s">
        <v>1105</v>
      </c>
    </row>
    <row r="282" spans="1:49" x14ac:dyDescent="0.55000000000000004">
      <c r="A282" s="5" t="str">
        <f>HYPERLINK("https://www.infodis.net/philips/net/Shipment/Details?InfodisNumber=6921584&amp;DomainCode=PHILIPSR1", "6921584")</f>
        <v>6921584</v>
      </c>
      <c r="B282" s="5" t="s">
        <v>1344</v>
      </c>
      <c r="C282" s="5" t="s">
        <v>459</v>
      </c>
      <c r="D282" s="5" t="s">
        <v>618</v>
      </c>
      <c r="E282" s="5" t="s">
        <v>242</v>
      </c>
      <c r="F282" s="5" t="s">
        <v>1160</v>
      </c>
      <c r="G282" s="5" t="s">
        <v>619</v>
      </c>
      <c r="H282" s="5" t="s">
        <v>79</v>
      </c>
      <c r="I282" s="5" t="s">
        <v>122</v>
      </c>
      <c r="J282" s="5" t="s">
        <v>917</v>
      </c>
      <c r="K282" s="5" t="s">
        <v>1161</v>
      </c>
      <c r="L282" s="5" t="s">
        <v>881</v>
      </c>
      <c r="M282" s="5" t="s">
        <v>60</v>
      </c>
      <c r="N282" s="5" t="s">
        <v>1345</v>
      </c>
      <c r="O282" s="5" t="s">
        <v>1346</v>
      </c>
      <c r="P282" s="5" t="s">
        <v>623</v>
      </c>
      <c r="Q282" s="5"/>
      <c r="R282" s="5" t="s">
        <v>888</v>
      </c>
      <c r="S282" s="6">
        <v>44127</v>
      </c>
      <c r="T282" s="6">
        <v>44163</v>
      </c>
      <c r="U282" s="5"/>
      <c r="V282" s="6">
        <v>44165</v>
      </c>
      <c r="W282" s="5"/>
      <c r="X282" s="5"/>
      <c r="Y282" s="5" t="s">
        <v>65</v>
      </c>
      <c r="Z282" s="5" t="s">
        <v>65</v>
      </c>
      <c r="AA282" s="5" t="s">
        <v>65</v>
      </c>
      <c r="AB282" s="5" t="s">
        <v>67</v>
      </c>
      <c r="AC282" s="5" t="s">
        <v>67</v>
      </c>
      <c r="AD282" s="5" t="s">
        <v>67</v>
      </c>
      <c r="AE282" s="5" t="s">
        <v>69</v>
      </c>
      <c r="AF282" s="5" t="s">
        <v>70</v>
      </c>
      <c r="AG282" s="5" t="s">
        <v>71</v>
      </c>
      <c r="AH282" s="5" t="s">
        <v>72</v>
      </c>
      <c r="AI282" s="5" t="s">
        <v>252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241719.228</v>
      </c>
      <c r="AP282" s="5">
        <v>812.15300000000002</v>
      </c>
      <c r="AQ282" s="5" t="s">
        <v>713</v>
      </c>
      <c r="AR282" s="5" t="s">
        <v>1104</v>
      </c>
      <c r="AS282" s="5"/>
      <c r="AT282" s="5"/>
      <c r="AU282" s="5"/>
      <c r="AV282" s="5">
        <v>-1</v>
      </c>
      <c r="AW282" s="5" t="s">
        <v>1105</v>
      </c>
    </row>
    <row r="283" spans="1:49" x14ac:dyDescent="0.55000000000000004">
      <c r="A283" s="5" t="str">
        <f>HYPERLINK("https://www.infodis.net/philips/net/Shipment/Details?InfodisNumber=4540977&amp;DomainCode=DAP", "4540977")</f>
        <v>4540977</v>
      </c>
      <c r="B283" s="5" t="s">
        <v>1347</v>
      </c>
      <c r="C283" s="5" t="s">
        <v>153</v>
      </c>
      <c r="D283" s="5" t="s">
        <v>154</v>
      </c>
      <c r="E283" s="5" t="s">
        <v>94</v>
      </c>
      <c r="F283" s="5" t="s">
        <v>367</v>
      </c>
      <c r="G283" s="5" t="s">
        <v>82</v>
      </c>
      <c r="H283" s="5" t="s">
        <v>83</v>
      </c>
      <c r="I283" s="5" t="s">
        <v>156</v>
      </c>
      <c r="J283" s="5" t="s">
        <v>157</v>
      </c>
      <c r="K283" s="5" t="s">
        <v>369</v>
      </c>
      <c r="L283" s="5" t="s">
        <v>159</v>
      </c>
      <c r="M283" s="5" t="s">
        <v>60</v>
      </c>
      <c r="N283" s="5" t="s">
        <v>1348</v>
      </c>
      <c r="O283" s="5" t="s">
        <v>1349</v>
      </c>
      <c r="P283" s="5" t="s">
        <v>87</v>
      </c>
      <c r="Q283" s="5"/>
      <c r="R283" s="5" t="s">
        <v>370</v>
      </c>
      <c r="S283" s="6">
        <v>44127</v>
      </c>
      <c r="T283" s="6">
        <v>44137</v>
      </c>
      <c r="U283" s="6">
        <v>44138</v>
      </c>
      <c r="V283" s="6">
        <v>44138</v>
      </c>
      <c r="W283" s="6">
        <v>44138</v>
      </c>
      <c r="X283" s="5"/>
      <c r="Y283" s="5" t="s">
        <v>65</v>
      </c>
      <c r="Z283" s="5" t="s">
        <v>65</v>
      </c>
      <c r="AA283" s="5" t="s">
        <v>66</v>
      </c>
      <c r="AB283" s="5" t="s">
        <v>67</v>
      </c>
      <c r="AC283" s="5" t="s">
        <v>67</v>
      </c>
      <c r="AD283" s="5" t="s">
        <v>68</v>
      </c>
      <c r="AE283" s="5" t="s">
        <v>90</v>
      </c>
      <c r="AF283" s="5" t="s">
        <v>70</v>
      </c>
      <c r="AG283" s="5" t="s">
        <v>71</v>
      </c>
      <c r="AH283" s="5" t="s">
        <v>72</v>
      </c>
      <c r="AI283" s="5" t="s">
        <v>73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7073.44</v>
      </c>
      <c r="AP283" s="5">
        <v>49.49</v>
      </c>
      <c r="AQ283" s="5" t="s">
        <v>713</v>
      </c>
      <c r="AR283" s="5" t="s">
        <v>1104</v>
      </c>
      <c r="AS283" s="5"/>
      <c r="AT283" s="5"/>
      <c r="AU283" s="5"/>
      <c r="AV283" s="5">
        <v>-1</v>
      </c>
      <c r="AW283" s="5" t="s">
        <v>1105</v>
      </c>
    </row>
    <row r="284" spans="1:49" x14ac:dyDescent="0.55000000000000004">
      <c r="A284" s="5" t="str">
        <f>HYPERLINK("https://www.infodis.net/philips/net/Shipment/Details?InfodisNumber=4540978&amp;DomainCode=DAP", "4540978")</f>
        <v>4540978</v>
      </c>
      <c r="B284" s="5" t="s">
        <v>1350</v>
      </c>
      <c r="C284" s="5" t="s">
        <v>153</v>
      </c>
      <c r="D284" s="5" t="s">
        <v>154</v>
      </c>
      <c r="E284" s="5" t="s">
        <v>94</v>
      </c>
      <c r="F284" s="5" t="s">
        <v>367</v>
      </c>
      <c r="G284" s="5" t="s">
        <v>82</v>
      </c>
      <c r="H284" s="5" t="s">
        <v>83</v>
      </c>
      <c r="I284" s="5" t="s">
        <v>156</v>
      </c>
      <c r="J284" s="5" t="s">
        <v>157</v>
      </c>
      <c r="K284" s="5" t="s">
        <v>369</v>
      </c>
      <c r="L284" s="5" t="s">
        <v>159</v>
      </c>
      <c r="M284" s="5" t="s">
        <v>60</v>
      </c>
      <c r="N284" s="5" t="s">
        <v>1351</v>
      </c>
      <c r="O284" s="5" t="s">
        <v>1352</v>
      </c>
      <c r="P284" s="5" t="s">
        <v>87</v>
      </c>
      <c r="Q284" s="5"/>
      <c r="R284" s="5" t="s">
        <v>370</v>
      </c>
      <c r="S284" s="6">
        <v>44127</v>
      </c>
      <c r="T284" s="6">
        <v>44134</v>
      </c>
      <c r="U284" s="6">
        <v>44134</v>
      </c>
      <c r="V284" s="6">
        <v>44137</v>
      </c>
      <c r="W284" s="6">
        <v>44134</v>
      </c>
      <c r="X284" s="5"/>
      <c r="Y284" s="5" t="s">
        <v>65</v>
      </c>
      <c r="Z284" s="5" t="s">
        <v>65</v>
      </c>
      <c r="AA284" s="5" t="s">
        <v>66</v>
      </c>
      <c r="AB284" s="5" t="s">
        <v>67</v>
      </c>
      <c r="AC284" s="5" t="s">
        <v>67</v>
      </c>
      <c r="AD284" s="5" t="s">
        <v>68</v>
      </c>
      <c r="AE284" s="5" t="s">
        <v>90</v>
      </c>
      <c r="AF284" s="5" t="s">
        <v>70</v>
      </c>
      <c r="AG284" s="5" t="s">
        <v>71</v>
      </c>
      <c r="AH284" s="5" t="s">
        <v>72</v>
      </c>
      <c r="AI284" s="5" t="s">
        <v>73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6983.56</v>
      </c>
      <c r="AP284" s="5">
        <v>48.704999999999998</v>
      </c>
      <c r="AQ284" s="5" t="s">
        <v>713</v>
      </c>
      <c r="AR284" s="5" t="s">
        <v>1104</v>
      </c>
      <c r="AS284" s="5"/>
      <c r="AT284" s="5"/>
      <c r="AU284" s="5"/>
      <c r="AV284" s="5">
        <v>-1</v>
      </c>
      <c r="AW284" s="5" t="s">
        <v>1105</v>
      </c>
    </row>
    <row r="285" spans="1:49" x14ac:dyDescent="0.55000000000000004">
      <c r="A285" s="5" t="str">
        <f>HYPERLINK("https://www.infodis.net/philips/net/Shipment/Details?InfodisNumber=6921554&amp;DomainCode=PHILIPSR1", "6921554")</f>
        <v>6921554</v>
      </c>
      <c r="B285" s="5" t="s">
        <v>1353</v>
      </c>
      <c r="C285" s="5" t="s">
        <v>459</v>
      </c>
      <c r="D285" s="5" t="s">
        <v>618</v>
      </c>
      <c r="E285" s="5" t="s">
        <v>242</v>
      </c>
      <c r="F285" s="5" t="s">
        <v>1160</v>
      </c>
      <c r="G285" s="5" t="s">
        <v>619</v>
      </c>
      <c r="H285" s="5" t="s">
        <v>79</v>
      </c>
      <c r="I285" s="5" t="s">
        <v>122</v>
      </c>
      <c r="J285" s="5" t="s">
        <v>917</v>
      </c>
      <c r="K285" s="5" t="s">
        <v>1161</v>
      </c>
      <c r="L285" s="5" t="s">
        <v>881</v>
      </c>
      <c r="M285" s="5" t="s">
        <v>60</v>
      </c>
      <c r="N285" s="5" t="s">
        <v>1354</v>
      </c>
      <c r="O285" s="5" t="s">
        <v>1355</v>
      </c>
      <c r="P285" s="5" t="s">
        <v>623</v>
      </c>
      <c r="Q285" s="5"/>
      <c r="R285" s="5" t="s">
        <v>888</v>
      </c>
      <c r="S285" s="6">
        <v>44127</v>
      </c>
      <c r="T285" s="6">
        <v>44163</v>
      </c>
      <c r="U285" s="5"/>
      <c r="V285" s="6">
        <v>44165</v>
      </c>
      <c r="W285" s="5"/>
      <c r="X285" s="5"/>
      <c r="Y285" s="5" t="s">
        <v>65</v>
      </c>
      <c r="Z285" s="5" t="s">
        <v>65</v>
      </c>
      <c r="AA285" s="5" t="s">
        <v>65</v>
      </c>
      <c r="AB285" s="5" t="s">
        <v>67</v>
      </c>
      <c r="AC285" s="5" t="s">
        <v>67</v>
      </c>
      <c r="AD285" s="5" t="s">
        <v>67</v>
      </c>
      <c r="AE285" s="5" t="s">
        <v>69</v>
      </c>
      <c r="AF285" s="5" t="s">
        <v>70</v>
      </c>
      <c r="AG285" s="5" t="s">
        <v>71</v>
      </c>
      <c r="AH285" s="5" t="s">
        <v>72</v>
      </c>
      <c r="AI285" s="5" t="s">
        <v>252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5112</v>
      </c>
      <c r="AP285" s="5">
        <v>65</v>
      </c>
      <c r="AQ285" s="5" t="s">
        <v>713</v>
      </c>
      <c r="AR285" s="5" t="s">
        <v>1104</v>
      </c>
      <c r="AS285" s="5"/>
      <c r="AT285" s="5"/>
      <c r="AU285" s="5"/>
      <c r="AV285" s="5">
        <v>-1</v>
      </c>
      <c r="AW285" s="5" t="s">
        <v>1105</v>
      </c>
    </row>
    <row r="286" spans="1:49" x14ac:dyDescent="0.55000000000000004">
      <c r="A286" s="5" t="str">
        <f>HYPERLINK("https://www.infodis.net/philips/net/Shipment/Details?InfodisNumber=6921581&amp;DomainCode=PHILIPSR1", "6921581")</f>
        <v>6921581</v>
      </c>
      <c r="B286" s="5" t="s">
        <v>1356</v>
      </c>
      <c r="C286" s="5" t="s">
        <v>459</v>
      </c>
      <c r="D286" s="5" t="s">
        <v>618</v>
      </c>
      <c r="E286" s="5" t="s">
        <v>242</v>
      </c>
      <c r="F286" s="5" t="s">
        <v>1160</v>
      </c>
      <c r="G286" s="5" t="s">
        <v>619</v>
      </c>
      <c r="H286" s="5" t="s">
        <v>79</v>
      </c>
      <c r="I286" s="5" t="s">
        <v>122</v>
      </c>
      <c r="J286" s="5" t="s">
        <v>917</v>
      </c>
      <c r="K286" s="5" t="s">
        <v>1161</v>
      </c>
      <c r="L286" s="5" t="s">
        <v>881</v>
      </c>
      <c r="M286" s="5" t="s">
        <v>60</v>
      </c>
      <c r="N286" s="5" t="s">
        <v>1357</v>
      </c>
      <c r="O286" s="5" t="s">
        <v>1358</v>
      </c>
      <c r="P286" s="5" t="s">
        <v>623</v>
      </c>
      <c r="Q286" s="5"/>
      <c r="R286" s="5" t="s">
        <v>888</v>
      </c>
      <c r="S286" s="6">
        <v>44127</v>
      </c>
      <c r="T286" s="6">
        <v>44163</v>
      </c>
      <c r="U286" s="5"/>
      <c r="V286" s="6">
        <v>44165</v>
      </c>
      <c r="W286" s="5"/>
      <c r="X286" s="5"/>
      <c r="Y286" s="5" t="s">
        <v>65</v>
      </c>
      <c r="Z286" s="5" t="s">
        <v>65</v>
      </c>
      <c r="AA286" s="5" t="s">
        <v>65</v>
      </c>
      <c r="AB286" s="5" t="s">
        <v>67</v>
      </c>
      <c r="AC286" s="5" t="s">
        <v>67</v>
      </c>
      <c r="AD286" s="5" t="s">
        <v>67</v>
      </c>
      <c r="AE286" s="5" t="s">
        <v>69</v>
      </c>
      <c r="AF286" s="5" t="s">
        <v>70</v>
      </c>
      <c r="AG286" s="5" t="s">
        <v>71</v>
      </c>
      <c r="AH286" s="5" t="s">
        <v>72</v>
      </c>
      <c r="AI286" s="5" t="s">
        <v>252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5127</v>
      </c>
      <c r="AP286" s="5">
        <v>66</v>
      </c>
      <c r="AQ286" s="5" t="s">
        <v>713</v>
      </c>
      <c r="AR286" s="5" t="s">
        <v>1104</v>
      </c>
      <c r="AS286" s="5"/>
      <c r="AT286" s="5"/>
      <c r="AU286" s="5"/>
      <c r="AV286" s="5">
        <v>-1</v>
      </c>
      <c r="AW286" s="5" t="s">
        <v>1105</v>
      </c>
    </row>
    <row r="287" spans="1:49" x14ac:dyDescent="0.55000000000000004">
      <c r="A287" s="5" t="str">
        <f>HYPERLINK("https://www.infodis.net/philips/net/Shipment/Details?InfodisNumber=4538748&amp;DomainCode=DAP", "4538748")</f>
        <v>4538748</v>
      </c>
      <c r="B287" s="5" t="s">
        <v>1359</v>
      </c>
      <c r="C287" s="5" t="s">
        <v>489</v>
      </c>
      <c r="D287" s="5" t="s">
        <v>490</v>
      </c>
      <c r="E287" s="5" t="s">
        <v>94</v>
      </c>
      <c r="F287" s="5" t="s">
        <v>95</v>
      </c>
      <c r="G287" s="5" t="s">
        <v>96</v>
      </c>
      <c r="H287" s="5" t="s">
        <v>79</v>
      </c>
      <c r="I287" s="5" t="s">
        <v>97</v>
      </c>
      <c r="J287" s="5" t="s">
        <v>491</v>
      </c>
      <c r="K287" s="5" t="s">
        <v>99</v>
      </c>
      <c r="L287" s="5" t="s">
        <v>100</v>
      </c>
      <c r="M287" s="5" t="s">
        <v>60</v>
      </c>
      <c r="N287" s="5" t="s">
        <v>115</v>
      </c>
      <c r="O287" s="5" t="s">
        <v>1360</v>
      </c>
      <c r="P287" s="5" t="s">
        <v>103</v>
      </c>
      <c r="Q287" s="5"/>
      <c r="R287" s="5" t="s">
        <v>104</v>
      </c>
      <c r="S287" s="6">
        <v>44125</v>
      </c>
      <c r="T287" s="6">
        <v>44125</v>
      </c>
      <c r="U287" s="6">
        <v>44124</v>
      </c>
      <c r="V287" s="6">
        <v>44130</v>
      </c>
      <c r="W287" s="5"/>
      <c r="X287" s="5"/>
      <c r="Y287" s="5" t="s">
        <v>89</v>
      </c>
      <c r="Z287" s="5" t="s">
        <v>65</v>
      </c>
      <c r="AA287" s="5" t="s">
        <v>106</v>
      </c>
      <c r="AB287" s="5" t="s">
        <v>67</v>
      </c>
      <c r="AC287" s="5" t="s">
        <v>67</v>
      </c>
      <c r="AD287" s="5" t="s">
        <v>67</v>
      </c>
      <c r="AE287" s="5" t="s">
        <v>119</v>
      </c>
      <c r="AF287" s="5" t="s">
        <v>70</v>
      </c>
      <c r="AG287" s="5" t="s">
        <v>71</v>
      </c>
      <c r="AH287" s="5" t="s">
        <v>72</v>
      </c>
      <c r="AI287" s="5" t="s">
        <v>73</v>
      </c>
      <c r="AJ287" s="5">
        <v>0</v>
      </c>
      <c r="AK287" s="5">
        <v>0</v>
      </c>
      <c r="AL287" s="5">
        <v>0</v>
      </c>
      <c r="AM287" s="5">
        <v>0</v>
      </c>
      <c r="AN287" s="5">
        <v>40</v>
      </c>
      <c r="AO287" s="5">
        <v>10135.498</v>
      </c>
      <c r="AP287" s="5">
        <v>93.334000000000003</v>
      </c>
      <c r="AQ287" s="5" t="s">
        <v>713</v>
      </c>
      <c r="AR287" s="5" t="s">
        <v>1104</v>
      </c>
      <c r="AS287" s="5"/>
      <c r="AT287" s="5"/>
      <c r="AU287" s="5"/>
      <c r="AV287" s="5">
        <v>-1</v>
      </c>
      <c r="AW287" s="5" t="s">
        <v>1105</v>
      </c>
    </row>
    <row r="288" spans="1:49" x14ac:dyDescent="0.55000000000000004">
      <c r="A288" s="5" t="str">
        <f>HYPERLINK("https://www.infodis.net/philips/net/Shipment/Details?InfodisNumber=4561149&amp;DomainCode=DAP", "4561149")</f>
        <v>4561149</v>
      </c>
      <c r="B288" s="5" t="s">
        <v>1361</v>
      </c>
      <c r="C288" s="5" t="s">
        <v>50</v>
      </c>
      <c r="D288" s="5" t="s">
        <v>51</v>
      </c>
      <c r="E288" s="5" t="s">
        <v>52</v>
      </c>
      <c r="F288" s="5" t="s">
        <v>1362</v>
      </c>
      <c r="G288" s="5" t="s">
        <v>54</v>
      </c>
      <c r="H288" s="5" t="s">
        <v>55</v>
      </c>
      <c r="I288" s="5" t="s">
        <v>56</v>
      </c>
      <c r="J288" s="5" t="s">
        <v>1363</v>
      </c>
      <c r="K288" s="5" t="s">
        <v>1364</v>
      </c>
      <c r="L288" s="5" t="s">
        <v>159</v>
      </c>
      <c r="M288" s="5" t="s">
        <v>60</v>
      </c>
      <c r="N288" s="5" t="s">
        <v>1365</v>
      </c>
      <c r="O288" s="5" t="s">
        <v>1366</v>
      </c>
      <c r="P288" s="5" t="s">
        <v>63</v>
      </c>
      <c r="Q288" s="5"/>
      <c r="R288" s="5" t="s">
        <v>1367</v>
      </c>
      <c r="S288" s="6">
        <v>44154</v>
      </c>
      <c r="T288" s="6">
        <v>44164</v>
      </c>
      <c r="U288" s="5"/>
      <c r="V288" s="6">
        <v>44165</v>
      </c>
      <c r="W288" s="5"/>
      <c r="X288" s="5"/>
      <c r="Y288" s="5" t="s">
        <v>65</v>
      </c>
      <c r="Z288" s="5" t="s">
        <v>65</v>
      </c>
      <c r="AA288" s="5" t="s">
        <v>66</v>
      </c>
      <c r="AB288" s="5" t="s">
        <v>67</v>
      </c>
      <c r="AC288" s="5" t="s">
        <v>67</v>
      </c>
      <c r="AD288" s="5" t="s">
        <v>68</v>
      </c>
      <c r="AE288" s="5" t="s">
        <v>69</v>
      </c>
      <c r="AF288" s="5" t="s">
        <v>70</v>
      </c>
      <c r="AG288" s="5" t="s">
        <v>71</v>
      </c>
      <c r="AH288" s="5" t="s">
        <v>72</v>
      </c>
      <c r="AI288" s="5" t="s">
        <v>73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3510</v>
      </c>
      <c r="AP288" s="5">
        <v>31.76</v>
      </c>
      <c r="AQ288" s="5" t="s">
        <v>713</v>
      </c>
      <c r="AR288" s="5" t="s">
        <v>1104</v>
      </c>
      <c r="AS288" s="5"/>
      <c r="AT288" s="5"/>
      <c r="AU288" s="5"/>
      <c r="AV288" s="5">
        <v>-1</v>
      </c>
      <c r="AW288" s="5" t="s">
        <v>1368</v>
      </c>
    </row>
    <row r="289" spans="1:49" x14ac:dyDescent="0.55000000000000004">
      <c r="A289" s="5" t="str">
        <f>HYPERLINK("https://www.infodis.net/philips/net/Shipment/Details?InfodisNumber=6901598&amp;DomainCode=PHILIPSR1", "6901598")</f>
        <v>6901598</v>
      </c>
      <c r="B289" s="5" t="s">
        <v>1369</v>
      </c>
      <c r="C289" s="5" t="s">
        <v>459</v>
      </c>
      <c r="D289" s="5" t="s">
        <v>618</v>
      </c>
      <c r="E289" s="5" t="s">
        <v>242</v>
      </c>
      <c r="F289" s="5" t="s">
        <v>1160</v>
      </c>
      <c r="G289" s="5" t="s">
        <v>619</v>
      </c>
      <c r="H289" s="5" t="s">
        <v>79</v>
      </c>
      <c r="I289" s="5" t="s">
        <v>122</v>
      </c>
      <c r="J289" s="5" t="s">
        <v>917</v>
      </c>
      <c r="K289" s="5" t="s">
        <v>1161</v>
      </c>
      <c r="L289" s="5" t="s">
        <v>881</v>
      </c>
      <c r="M289" s="5" t="s">
        <v>60</v>
      </c>
      <c r="N289" s="5" t="s">
        <v>1370</v>
      </c>
      <c r="O289" s="5" t="s">
        <v>1371</v>
      </c>
      <c r="P289" s="5" t="s">
        <v>623</v>
      </c>
      <c r="Q289" s="5"/>
      <c r="R289" s="5" t="s">
        <v>888</v>
      </c>
      <c r="S289" s="6">
        <v>44120</v>
      </c>
      <c r="T289" s="6">
        <v>44133</v>
      </c>
      <c r="U289" s="6">
        <v>44132</v>
      </c>
      <c r="V289" s="6">
        <v>44136</v>
      </c>
      <c r="W289" s="6">
        <v>44141</v>
      </c>
      <c r="X289" s="5"/>
      <c r="Y289" s="5" t="s">
        <v>65</v>
      </c>
      <c r="Z289" s="5" t="s">
        <v>65</v>
      </c>
      <c r="AA289" s="5" t="s">
        <v>65</v>
      </c>
      <c r="AB289" s="5" t="s">
        <v>67</v>
      </c>
      <c r="AC289" s="5" t="s">
        <v>67</v>
      </c>
      <c r="AD289" s="5" t="s">
        <v>67</v>
      </c>
      <c r="AE289" s="5" t="s">
        <v>69</v>
      </c>
      <c r="AF289" s="5" t="s">
        <v>70</v>
      </c>
      <c r="AG289" s="5" t="s">
        <v>71</v>
      </c>
      <c r="AH289" s="5" t="s">
        <v>72</v>
      </c>
      <c r="AI289" s="5" t="s">
        <v>252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4489</v>
      </c>
      <c r="AP289" s="5">
        <v>51</v>
      </c>
      <c r="AQ289" s="5" t="s">
        <v>713</v>
      </c>
      <c r="AR289" s="5" t="s">
        <v>1104</v>
      </c>
      <c r="AS289" s="5" t="s">
        <v>713</v>
      </c>
      <c r="AT289" s="6">
        <v>44123</v>
      </c>
      <c r="AU289" s="5" t="s">
        <v>1291</v>
      </c>
      <c r="AV289" s="5">
        <v>39</v>
      </c>
      <c r="AW289" s="5" t="s">
        <v>1292</v>
      </c>
    </row>
    <row r="290" spans="1:49" x14ac:dyDescent="0.55000000000000004">
      <c r="A290" s="5" t="str">
        <f>HYPERLINK("https://www.infodis.net/philips/net/Shipment/Details?InfodisNumber=4535015&amp;DomainCode=DAP", "4535015")</f>
        <v>4535015</v>
      </c>
      <c r="B290" s="5" t="s">
        <v>1372</v>
      </c>
      <c r="C290" s="5" t="s">
        <v>421</v>
      </c>
      <c r="D290" s="5" t="s">
        <v>422</v>
      </c>
      <c r="E290" s="5" t="s">
        <v>94</v>
      </c>
      <c r="F290" s="5" t="s">
        <v>423</v>
      </c>
      <c r="G290" s="5" t="s">
        <v>424</v>
      </c>
      <c r="H290" s="5" t="s">
        <v>79</v>
      </c>
      <c r="I290" s="5" t="s">
        <v>1373</v>
      </c>
      <c r="J290" s="5" t="s">
        <v>405</v>
      </c>
      <c r="K290" s="5" t="s">
        <v>425</v>
      </c>
      <c r="L290" s="5" t="s">
        <v>307</v>
      </c>
      <c r="M290" s="5" t="s">
        <v>60</v>
      </c>
      <c r="N290" s="5" t="s">
        <v>1374</v>
      </c>
      <c r="O290" s="5" t="s">
        <v>1375</v>
      </c>
      <c r="P290" s="5" t="s">
        <v>428</v>
      </c>
      <c r="Q290" s="5"/>
      <c r="R290" s="5" t="s">
        <v>429</v>
      </c>
      <c r="S290" s="6">
        <v>44119</v>
      </c>
      <c r="T290" s="6">
        <v>44119</v>
      </c>
      <c r="U290" s="6">
        <v>44124</v>
      </c>
      <c r="V290" s="6">
        <v>44126</v>
      </c>
      <c r="W290" s="6">
        <v>44130</v>
      </c>
      <c r="X290" s="5"/>
      <c r="Y290" s="5" t="s">
        <v>89</v>
      </c>
      <c r="Z290" s="5" t="s">
        <v>65</v>
      </c>
      <c r="AA290" s="5" t="s">
        <v>65</v>
      </c>
      <c r="AB290" s="5" t="s">
        <v>67</v>
      </c>
      <c r="AC290" s="5" t="s">
        <v>67</v>
      </c>
      <c r="AD290" s="5" t="s">
        <v>67</v>
      </c>
      <c r="AE290" s="5" t="s">
        <v>69</v>
      </c>
      <c r="AF290" s="5" t="s">
        <v>70</v>
      </c>
      <c r="AG290" s="5" t="s">
        <v>71</v>
      </c>
      <c r="AH290" s="5" t="s">
        <v>72</v>
      </c>
      <c r="AI290" s="5" t="s">
        <v>73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7572.1319999999996</v>
      </c>
      <c r="AP290" s="5">
        <v>61.728999999999999</v>
      </c>
      <c r="AQ290" s="5" t="s">
        <v>713</v>
      </c>
      <c r="AR290" s="5" t="s">
        <v>1104</v>
      </c>
      <c r="AS290" s="5"/>
      <c r="AT290" s="5"/>
      <c r="AU290" s="5"/>
      <c r="AV290" s="5">
        <v>-1</v>
      </c>
      <c r="AW290" s="5" t="s">
        <v>1376</v>
      </c>
    </row>
    <row r="291" spans="1:49" x14ac:dyDescent="0.55000000000000004">
      <c r="A291" s="5" t="str">
        <f>HYPERLINK("https://www.infodis.net/philips/net/Shipment/Details?InfodisNumber=6959247&amp;DomainCode=PHILIPSR1", "6959247")</f>
        <v>6959247</v>
      </c>
      <c r="B291" s="5" t="s">
        <v>1377</v>
      </c>
      <c r="C291" s="5" t="s">
        <v>1065</v>
      </c>
      <c r="D291" s="5" t="s">
        <v>1066</v>
      </c>
      <c r="E291" s="5" t="s">
        <v>1067</v>
      </c>
      <c r="F291" s="5" t="s">
        <v>1378</v>
      </c>
      <c r="G291" s="5" t="s">
        <v>1069</v>
      </c>
      <c r="H291" s="5" t="s">
        <v>180</v>
      </c>
      <c r="I291" s="5" t="s">
        <v>1070</v>
      </c>
      <c r="J291" s="5" t="s">
        <v>1379</v>
      </c>
      <c r="K291" s="5" t="s">
        <v>1380</v>
      </c>
      <c r="L291" s="5" t="s">
        <v>132</v>
      </c>
      <c r="M291" s="5" t="s">
        <v>60</v>
      </c>
      <c r="N291" s="5"/>
      <c r="O291" s="5"/>
      <c r="P291" s="5" t="s">
        <v>1072</v>
      </c>
      <c r="Q291" s="5" t="s">
        <v>1381</v>
      </c>
      <c r="R291" s="5" t="s">
        <v>1382</v>
      </c>
      <c r="S291" s="6">
        <v>44141</v>
      </c>
      <c r="T291" s="6">
        <v>44144</v>
      </c>
      <c r="U291" s="6">
        <v>44146</v>
      </c>
      <c r="V291" s="6">
        <v>44149</v>
      </c>
      <c r="W291" s="5"/>
      <c r="X291" s="5"/>
      <c r="Y291" s="5" t="s">
        <v>467</v>
      </c>
      <c r="Z291" s="5" t="s">
        <v>467</v>
      </c>
      <c r="AA291" s="5" t="s">
        <v>66</v>
      </c>
      <c r="AB291" s="5" t="s">
        <v>67</v>
      </c>
      <c r="AC291" s="5" t="s">
        <v>67</v>
      </c>
      <c r="AD291" s="5" t="s">
        <v>68</v>
      </c>
      <c r="AE291" s="5" t="s">
        <v>162</v>
      </c>
      <c r="AF291" s="5" t="s">
        <v>70</v>
      </c>
      <c r="AG291" s="5" t="s">
        <v>71</v>
      </c>
      <c r="AH291" s="5" t="s">
        <v>72</v>
      </c>
      <c r="AI291" s="5" t="s">
        <v>252</v>
      </c>
      <c r="AJ291" s="5">
        <v>0</v>
      </c>
      <c r="AK291" s="5">
        <v>0</v>
      </c>
      <c r="AL291" s="5">
        <v>0</v>
      </c>
      <c r="AM291" s="5">
        <v>0</v>
      </c>
      <c r="AN291" s="5">
        <v>5</v>
      </c>
      <c r="AO291" s="5">
        <v>6490.91</v>
      </c>
      <c r="AP291" s="5">
        <v>53.764000000000003</v>
      </c>
      <c r="AQ291" s="5" t="s">
        <v>713</v>
      </c>
      <c r="AR291" s="5" t="s">
        <v>1104</v>
      </c>
      <c r="AS291" s="5"/>
      <c r="AT291" s="5"/>
      <c r="AU291" s="5"/>
      <c r="AV291" s="5">
        <v>-1</v>
      </c>
      <c r="AW291" s="5" t="s">
        <v>1368</v>
      </c>
    </row>
    <row r="292" spans="1:49" x14ac:dyDescent="0.55000000000000004">
      <c r="A292" s="5" t="str">
        <f>HYPERLINK("https://www.infodis.net/philips/net/Shipment/Details?InfodisNumber=4561160&amp;DomainCode=DAP", "4561160")</f>
        <v>4561160</v>
      </c>
      <c r="B292" s="5" t="s">
        <v>1383</v>
      </c>
      <c r="C292" s="5" t="s">
        <v>50</v>
      </c>
      <c r="D292" s="5" t="s">
        <v>51</v>
      </c>
      <c r="E292" s="5" t="s">
        <v>52</v>
      </c>
      <c r="F292" s="5" t="s">
        <v>1362</v>
      </c>
      <c r="G292" s="5" t="s">
        <v>54</v>
      </c>
      <c r="H292" s="5" t="s">
        <v>55</v>
      </c>
      <c r="I292" s="5" t="s">
        <v>495</v>
      </c>
      <c r="J292" s="5" t="s">
        <v>1363</v>
      </c>
      <c r="K292" s="5" t="s">
        <v>1364</v>
      </c>
      <c r="L292" s="5" t="s">
        <v>159</v>
      </c>
      <c r="M292" s="5" t="s">
        <v>60</v>
      </c>
      <c r="N292" s="5" t="s">
        <v>115</v>
      </c>
      <c r="O292" s="5"/>
      <c r="P292" s="5" t="s">
        <v>63</v>
      </c>
      <c r="Q292" s="5"/>
      <c r="R292" s="5" t="s">
        <v>1367</v>
      </c>
      <c r="S292" s="6">
        <v>44154</v>
      </c>
      <c r="T292" s="6">
        <v>44171</v>
      </c>
      <c r="U292" s="5"/>
      <c r="V292" s="6">
        <v>44172</v>
      </c>
      <c r="W292" s="5"/>
      <c r="X292" s="5"/>
      <c r="Y292" s="5" t="s">
        <v>65</v>
      </c>
      <c r="Z292" s="5" t="s">
        <v>65</v>
      </c>
      <c r="AA292" s="5" t="s">
        <v>66</v>
      </c>
      <c r="AB292" s="5" t="s">
        <v>67</v>
      </c>
      <c r="AC292" s="5" t="s">
        <v>67</v>
      </c>
      <c r="AD292" s="5" t="s">
        <v>68</v>
      </c>
      <c r="AE292" s="5" t="s">
        <v>567</v>
      </c>
      <c r="AF292" s="5" t="s">
        <v>70</v>
      </c>
      <c r="AG292" s="5" t="s">
        <v>71</v>
      </c>
      <c r="AH292" s="5" t="s">
        <v>72</v>
      </c>
      <c r="AI292" s="5" t="s">
        <v>73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7500</v>
      </c>
      <c r="AP292" s="5">
        <v>60</v>
      </c>
      <c r="AQ292" s="5" t="s">
        <v>713</v>
      </c>
      <c r="AR292" s="5" t="s">
        <v>1104</v>
      </c>
      <c r="AS292" s="5"/>
      <c r="AT292" s="5"/>
      <c r="AU292" s="5"/>
      <c r="AV292" s="5">
        <v>-1</v>
      </c>
      <c r="AW292" s="5" t="s">
        <v>1368</v>
      </c>
    </row>
    <row r="293" spans="1:49" x14ac:dyDescent="0.55000000000000004">
      <c r="A293" s="5" t="str">
        <f>HYPERLINK("https://www.infodis.net/philips/net/Shipment/Details?InfodisNumber=4561171&amp;DomainCode=DAP", "4561171")</f>
        <v>4561171</v>
      </c>
      <c r="B293" s="5" t="s">
        <v>1384</v>
      </c>
      <c r="C293" s="5" t="s">
        <v>50</v>
      </c>
      <c r="D293" s="5" t="s">
        <v>51</v>
      </c>
      <c r="E293" s="5" t="s">
        <v>52</v>
      </c>
      <c r="F293" s="5" t="s">
        <v>1362</v>
      </c>
      <c r="G293" s="5" t="s">
        <v>54</v>
      </c>
      <c r="H293" s="5" t="s">
        <v>55</v>
      </c>
      <c r="I293" s="5" t="s">
        <v>495</v>
      </c>
      <c r="J293" s="5" t="s">
        <v>1363</v>
      </c>
      <c r="K293" s="5" t="s">
        <v>1364</v>
      </c>
      <c r="L293" s="5" t="s">
        <v>159</v>
      </c>
      <c r="M293" s="5" t="s">
        <v>60</v>
      </c>
      <c r="N293" s="5" t="s">
        <v>115</v>
      </c>
      <c r="O293" s="5"/>
      <c r="P293" s="5" t="s">
        <v>63</v>
      </c>
      <c r="Q293" s="5"/>
      <c r="R293" s="5" t="s">
        <v>1367</v>
      </c>
      <c r="S293" s="6">
        <v>44154</v>
      </c>
      <c r="T293" s="6">
        <v>44171</v>
      </c>
      <c r="U293" s="5"/>
      <c r="V293" s="6">
        <v>44172</v>
      </c>
      <c r="W293" s="5"/>
      <c r="X293" s="5"/>
      <c r="Y293" s="5" t="s">
        <v>65</v>
      </c>
      <c r="Z293" s="5" t="s">
        <v>65</v>
      </c>
      <c r="AA293" s="5" t="s">
        <v>66</v>
      </c>
      <c r="AB293" s="5" t="s">
        <v>67</v>
      </c>
      <c r="AC293" s="5" t="s">
        <v>67</v>
      </c>
      <c r="AD293" s="5" t="s">
        <v>68</v>
      </c>
      <c r="AE293" s="5" t="s">
        <v>567</v>
      </c>
      <c r="AF293" s="5" t="s">
        <v>70</v>
      </c>
      <c r="AG293" s="5" t="s">
        <v>71</v>
      </c>
      <c r="AH293" s="5" t="s">
        <v>72</v>
      </c>
      <c r="AI293" s="5" t="s">
        <v>73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7000</v>
      </c>
      <c r="AP293" s="5">
        <v>60</v>
      </c>
      <c r="AQ293" s="5" t="s">
        <v>713</v>
      </c>
      <c r="AR293" s="5" t="s">
        <v>1104</v>
      </c>
      <c r="AS293" s="5"/>
      <c r="AT293" s="5"/>
      <c r="AU293" s="5"/>
      <c r="AV293" s="5">
        <v>-1</v>
      </c>
      <c r="AW293" s="5" t="s">
        <v>1368</v>
      </c>
    </row>
    <row r="294" spans="1:49" x14ac:dyDescent="0.55000000000000004">
      <c r="A294" s="5" t="str">
        <f>HYPERLINK("https://www.infodis.net/philips/net/Shipment/Details?InfodisNumber=4525476&amp;DomainCode=DAP", "4525476")</f>
        <v>4525476</v>
      </c>
      <c r="B294" s="5" t="s">
        <v>1385</v>
      </c>
      <c r="C294" s="5" t="s">
        <v>278</v>
      </c>
      <c r="D294" s="5" t="s">
        <v>279</v>
      </c>
      <c r="E294" s="5" t="s">
        <v>278</v>
      </c>
      <c r="F294" s="5" t="s">
        <v>256</v>
      </c>
      <c r="G294" s="5" t="s">
        <v>281</v>
      </c>
      <c r="H294" s="5" t="s">
        <v>79</v>
      </c>
      <c r="I294" s="5" t="s">
        <v>282</v>
      </c>
      <c r="J294" s="5" t="s">
        <v>258</v>
      </c>
      <c r="K294" s="5" t="s">
        <v>259</v>
      </c>
      <c r="L294" s="5" t="s">
        <v>260</v>
      </c>
      <c r="M294" s="5" t="s">
        <v>261</v>
      </c>
      <c r="N294" s="5" t="s">
        <v>1386</v>
      </c>
      <c r="O294" s="5" t="s">
        <v>1387</v>
      </c>
      <c r="P294" s="5" t="s">
        <v>286</v>
      </c>
      <c r="Q294" s="5"/>
      <c r="R294" s="5" t="s">
        <v>262</v>
      </c>
      <c r="S294" s="6">
        <v>44104</v>
      </c>
      <c r="T294" s="6">
        <v>44104</v>
      </c>
      <c r="U294" s="5"/>
      <c r="V294" s="6">
        <v>44109</v>
      </c>
      <c r="W294" s="5"/>
      <c r="X294" s="5"/>
      <c r="Y294" s="5" t="s">
        <v>66</v>
      </c>
      <c r="Z294" s="5" t="s">
        <v>273</v>
      </c>
      <c r="AA294" s="5" t="s">
        <v>273</v>
      </c>
      <c r="AB294" s="5" t="s">
        <v>68</v>
      </c>
      <c r="AC294" s="5" t="s">
        <v>67</v>
      </c>
      <c r="AD294" s="5" t="s">
        <v>67</v>
      </c>
      <c r="AE294" s="5" t="s">
        <v>90</v>
      </c>
      <c r="AF294" s="5" t="s">
        <v>70</v>
      </c>
      <c r="AG294" s="5" t="s">
        <v>71</v>
      </c>
      <c r="AH294" s="5" t="s">
        <v>72</v>
      </c>
      <c r="AI294" s="5" t="s">
        <v>73</v>
      </c>
      <c r="AJ294" s="5">
        <v>0</v>
      </c>
      <c r="AK294" s="5">
        <v>0</v>
      </c>
      <c r="AL294" s="5">
        <v>0</v>
      </c>
      <c r="AM294" s="5">
        <v>0</v>
      </c>
      <c r="AN294" s="5">
        <v>38</v>
      </c>
      <c r="AO294" s="5">
        <v>6060.6</v>
      </c>
      <c r="AP294" s="5">
        <v>38</v>
      </c>
      <c r="AQ294" s="5" t="s">
        <v>713</v>
      </c>
      <c r="AR294" s="5" t="s">
        <v>1104</v>
      </c>
      <c r="AS294" s="5"/>
      <c r="AT294" s="5"/>
      <c r="AU294" s="5"/>
      <c r="AV294" s="5">
        <v>-1</v>
      </c>
      <c r="AW294" s="5" t="s">
        <v>1110</v>
      </c>
    </row>
    <row r="295" spans="1:49" x14ac:dyDescent="0.55000000000000004">
      <c r="A295" s="5" t="str">
        <f>HYPERLINK("https://www.infodis.net/philips/net/Shipment/Details?InfodisNumber=4554263&amp;DomainCode=DAP", "4554263")</f>
        <v>4554263</v>
      </c>
      <c r="B295" s="5" t="s">
        <v>1388</v>
      </c>
      <c r="C295" s="5" t="s">
        <v>585</v>
      </c>
      <c r="D295" s="5" t="s">
        <v>586</v>
      </c>
      <c r="E295" s="5" t="s">
        <v>393</v>
      </c>
      <c r="F295" s="5" t="s">
        <v>256</v>
      </c>
      <c r="G295" s="5" t="s">
        <v>394</v>
      </c>
      <c r="H295" s="5" t="s">
        <v>79</v>
      </c>
      <c r="I295" s="5" t="s">
        <v>587</v>
      </c>
      <c r="J295" s="5" t="s">
        <v>258</v>
      </c>
      <c r="K295" s="5" t="s">
        <v>259</v>
      </c>
      <c r="L295" s="5" t="s">
        <v>260</v>
      </c>
      <c r="M295" s="5" t="s">
        <v>60</v>
      </c>
      <c r="N295" s="5" t="s">
        <v>1389</v>
      </c>
      <c r="O295" s="5" t="s">
        <v>1390</v>
      </c>
      <c r="P295" s="5" t="s">
        <v>398</v>
      </c>
      <c r="Q295" s="5"/>
      <c r="R295" s="5" t="s">
        <v>262</v>
      </c>
      <c r="S295" s="6">
        <v>44145</v>
      </c>
      <c r="T295" s="6">
        <v>44141</v>
      </c>
      <c r="U295" s="6">
        <v>44152</v>
      </c>
      <c r="V295" s="6">
        <v>44149</v>
      </c>
      <c r="W295" s="6">
        <v>44154</v>
      </c>
      <c r="X295" s="5"/>
      <c r="Y295" s="5" t="s">
        <v>399</v>
      </c>
      <c r="Z295" s="5" t="s">
        <v>65</v>
      </c>
      <c r="AA295" s="5" t="s">
        <v>65</v>
      </c>
      <c r="AB295" s="5" t="s">
        <v>67</v>
      </c>
      <c r="AC295" s="5" t="s">
        <v>67</v>
      </c>
      <c r="AD295" s="5" t="s">
        <v>67</v>
      </c>
      <c r="AE295" s="5" t="s">
        <v>69</v>
      </c>
      <c r="AF295" s="5" t="s">
        <v>70</v>
      </c>
      <c r="AG295" s="5" t="s">
        <v>71</v>
      </c>
      <c r="AH295" s="5" t="s">
        <v>72</v>
      </c>
      <c r="AI295" s="5" t="s">
        <v>73</v>
      </c>
      <c r="AJ295" s="5">
        <v>0</v>
      </c>
      <c r="AK295" s="5">
        <v>0</v>
      </c>
      <c r="AL295" s="5">
        <v>0</v>
      </c>
      <c r="AM295" s="5">
        <v>0</v>
      </c>
      <c r="AN295" s="5">
        <v>17</v>
      </c>
      <c r="AO295" s="5">
        <v>8599.24</v>
      </c>
      <c r="AP295" s="5">
        <v>21.827999999999999</v>
      </c>
      <c r="AQ295" s="5" t="s">
        <v>713</v>
      </c>
      <c r="AR295" s="5" t="s">
        <v>1104</v>
      </c>
      <c r="AS295" s="5"/>
      <c r="AT295" s="5"/>
      <c r="AU295" s="5"/>
      <c r="AV295" s="5">
        <v>-1</v>
      </c>
      <c r="AW295" s="5" t="s">
        <v>1105</v>
      </c>
    </row>
    <row r="296" spans="1:49" x14ac:dyDescent="0.55000000000000004">
      <c r="A296" s="5" t="str">
        <f>HYPERLINK("https://www.infodis.net/philips/net/Shipment/Details?InfodisNumber=6974288&amp;DomainCode=PHILIPSR1", "6974288")</f>
        <v>6974288</v>
      </c>
      <c r="B296" s="5" t="s">
        <v>1391</v>
      </c>
      <c r="C296" s="5" t="s">
        <v>459</v>
      </c>
      <c r="D296" s="5" t="s">
        <v>618</v>
      </c>
      <c r="E296" s="5" t="s">
        <v>459</v>
      </c>
      <c r="F296" s="5" t="s">
        <v>458</v>
      </c>
      <c r="G296" s="5" t="s">
        <v>619</v>
      </c>
      <c r="H296" s="5" t="s">
        <v>79</v>
      </c>
      <c r="I296" s="5" t="s">
        <v>122</v>
      </c>
      <c r="J296" s="5" t="s">
        <v>218</v>
      </c>
      <c r="K296" s="5" t="s">
        <v>620</v>
      </c>
      <c r="L296" s="5" t="s">
        <v>180</v>
      </c>
      <c r="M296" s="5" t="s">
        <v>84</v>
      </c>
      <c r="N296" s="5" t="s">
        <v>1392</v>
      </c>
      <c r="O296" s="5" t="s">
        <v>1393</v>
      </c>
      <c r="P296" s="5" t="s">
        <v>623</v>
      </c>
      <c r="Q296" s="5"/>
      <c r="R296" s="5" t="s">
        <v>613</v>
      </c>
      <c r="S296" s="6">
        <v>44147</v>
      </c>
      <c r="T296" s="6">
        <v>44159</v>
      </c>
      <c r="U296" s="5"/>
      <c r="V296" s="6">
        <v>44162</v>
      </c>
      <c r="W296" s="6">
        <v>44161</v>
      </c>
      <c r="X296" s="5"/>
      <c r="Y296" s="5" t="s">
        <v>65</v>
      </c>
      <c r="Z296" s="5" t="s">
        <v>65</v>
      </c>
      <c r="AA296" s="5" t="s">
        <v>65</v>
      </c>
      <c r="AB296" s="5" t="s">
        <v>67</v>
      </c>
      <c r="AC296" s="5" t="s">
        <v>67</v>
      </c>
      <c r="AD296" s="5" t="s">
        <v>67</v>
      </c>
      <c r="AE296" s="5" t="s">
        <v>69</v>
      </c>
      <c r="AF296" s="5" t="s">
        <v>70</v>
      </c>
      <c r="AG296" s="5" t="s">
        <v>71</v>
      </c>
      <c r="AH296" s="5" t="s">
        <v>72</v>
      </c>
      <c r="AI296" s="5" t="s">
        <v>252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5714</v>
      </c>
      <c r="AP296" s="5">
        <v>61</v>
      </c>
      <c r="AQ296" s="5" t="s">
        <v>713</v>
      </c>
      <c r="AR296" s="5" t="s">
        <v>1104</v>
      </c>
      <c r="AS296" s="5"/>
      <c r="AT296" s="5"/>
      <c r="AU296" s="5"/>
      <c r="AV296" s="5">
        <v>-1</v>
      </c>
      <c r="AW296" s="5" t="s">
        <v>1105</v>
      </c>
    </row>
    <row r="297" spans="1:49" x14ac:dyDescent="0.55000000000000004">
      <c r="A297" s="5" t="str">
        <f>HYPERLINK("https://www.infodis.net/philips/net/Shipment/Details?InfodisNumber=6942441&amp;DomainCode=PHILIPSR1", "6942441")</f>
        <v>6942441</v>
      </c>
      <c r="B297" s="5" t="s">
        <v>1394</v>
      </c>
      <c r="C297" s="5" t="s">
        <v>459</v>
      </c>
      <c r="D297" s="5" t="s">
        <v>618</v>
      </c>
      <c r="E297" s="5" t="s">
        <v>242</v>
      </c>
      <c r="F297" s="5" t="s">
        <v>1160</v>
      </c>
      <c r="G297" s="5" t="s">
        <v>619</v>
      </c>
      <c r="H297" s="5" t="s">
        <v>79</v>
      </c>
      <c r="I297" s="5" t="s">
        <v>122</v>
      </c>
      <c r="J297" s="5" t="s">
        <v>917</v>
      </c>
      <c r="K297" s="5" t="s">
        <v>918</v>
      </c>
      <c r="L297" s="5" t="s">
        <v>881</v>
      </c>
      <c r="M297" s="5" t="s">
        <v>60</v>
      </c>
      <c r="N297" s="5"/>
      <c r="O297" s="5"/>
      <c r="P297" s="5" t="s">
        <v>623</v>
      </c>
      <c r="Q297" s="5"/>
      <c r="R297" s="5" t="s">
        <v>888</v>
      </c>
      <c r="S297" s="6">
        <v>44137</v>
      </c>
      <c r="T297" s="6">
        <v>44177</v>
      </c>
      <c r="U297" s="5"/>
      <c r="V297" s="6">
        <v>44179</v>
      </c>
      <c r="W297" s="5"/>
      <c r="X297" s="5"/>
      <c r="Y297" s="5" t="s">
        <v>65</v>
      </c>
      <c r="Z297" s="5" t="s">
        <v>65</v>
      </c>
      <c r="AA297" s="5" t="s">
        <v>65</v>
      </c>
      <c r="AB297" s="5" t="s">
        <v>67</v>
      </c>
      <c r="AC297" s="5" t="s">
        <v>67</v>
      </c>
      <c r="AD297" s="5" t="s">
        <v>67</v>
      </c>
      <c r="AE297" s="5" t="s">
        <v>69</v>
      </c>
      <c r="AF297" s="5" t="s">
        <v>70</v>
      </c>
      <c r="AG297" s="5" t="s">
        <v>71</v>
      </c>
      <c r="AH297" s="5" t="s">
        <v>72</v>
      </c>
      <c r="AI297" s="5" t="s">
        <v>252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4000</v>
      </c>
      <c r="AP297" s="5">
        <v>64</v>
      </c>
      <c r="AQ297" s="5" t="s">
        <v>713</v>
      </c>
      <c r="AR297" s="5" t="s">
        <v>1104</v>
      </c>
      <c r="AS297" s="5" t="s">
        <v>713</v>
      </c>
      <c r="AT297" s="6">
        <v>44123</v>
      </c>
      <c r="AU297" s="5" t="s">
        <v>1291</v>
      </c>
      <c r="AV297" s="5">
        <v>39</v>
      </c>
      <c r="AW297" s="5" t="s">
        <v>1292</v>
      </c>
    </row>
    <row r="298" spans="1:49" x14ac:dyDescent="0.55000000000000004">
      <c r="A298" s="5" t="str">
        <f>HYPERLINK("https://www.infodis.net/philips/net/Shipment/Details?InfodisNumber=6942440&amp;DomainCode=PHILIPSR1", "6942440")</f>
        <v>6942440</v>
      </c>
      <c r="B298" s="5" t="s">
        <v>1395</v>
      </c>
      <c r="C298" s="5" t="s">
        <v>459</v>
      </c>
      <c r="D298" s="5" t="s">
        <v>618</v>
      </c>
      <c r="E298" s="5" t="s">
        <v>242</v>
      </c>
      <c r="F298" s="5" t="s">
        <v>1160</v>
      </c>
      <c r="G298" s="5" t="s">
        <v>619</v>
      </c>
      <c r="H298" s="5" t="s">
        <v>79</v>
      </c>
      <c r="I298" s="5" t="s">
        <v>122</v>
      </c>
      <c r="J298" s="5" t="s">
        <v>917</v>
      </c>
      <c r="K298" s="5" t="s">
        <v>1161</v>
      </c>
      <c r="L298" s="5" t="s">
        <v>881</v>
      </c>
      <c r="M298" s="5" t="s">
        <v>60</v>
      </c>
      <c r="N298" s="5" t="s">
        <v>1396</v>
      </c>
      <c r="O298" s="5" t="s">
        <v>1397</v>
      </c>
      <c r="P298" s="5" t="s">
        <v>623</v>
      </c>
      <c r="Q298" s="5"/>
      <c r="R298" s="5" t="s">
        <v>888</v>
      </c>
      <c r="S298" s="6">
        <v>44137</v>
      </c>
      <c r="T298" s="6">
        <v>44163</v>
      </c>
      <c r="U298" s="5"/>
      <c r="V298" s="6">
        <v>44165</v>
      </c>
      <c r="W298" s="5"/>
      <c r="X298" s="5"/>
      <c r="Y298" s="5" t="s">
        <v>65</v>
      </c>
      <c r="Z298" s="5" t="s">
        <v>65</v>
      </c>
      <c r="AA298" s="5" t="s">
        <v>65</v>
      </c>
      <c r="AB298" s="5" t="s">
        <v>67</v>
      </c>
      <c r="AC298" s="5" t="s">
        <v>67</v>
      </c>
      <c r="AD298" s="5" t="s">
        <v>67</v>
      </c>
      <c r="AE298" s="5" t="s">
        <v>69</v>
      </c>
      <c r="AF298" s="5" t="s">
        <v>70</v>
      </c>
      <c r="AG298" s="5" t="s">
        <v>71</v>
      </c>
      <c r="AH298" s="5" t="s">
        <v>72</v>
      </c>
      <c r="AI298" s="5" t="s">
        <v>252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4531.6170000000002</v>
      </c>
      <c r="AP298" s="5">
        <v>4185.2559999999994</v>
      </c>
      <c r="AQ298" s="5" t="s">
        <v>713</v>
      </c>
      <c r="AR298" s="5" t="s">
        <v>1104</v>
      </c>
      <c r="AS298" s="5" t="s">
        <v>713</v>
      </c>
      <c r="AT298" s="6">
        <v>44123</v>
      </c>
      <c r="AU298" s="5" t="s">
        <v>1291</v>
      </c>
      <c r="AV298" s="5">
        <v>39</v>
      </c>
      <c r="AW298" s="5" t="s">
        <v>1292</v>
      </c>
    </row>
    <row r="299" spans="1:49" x14ac:dyDescent="0.55000000000000004">
      <c r="A299" s="5" t="str">
        <f>HYPERLINK("https://www.infodis.net/philips/net/Shipment/Details?InfodisNumber=6901578&amp;DomainCode=PHILIPSR1", "6901578")</f>
        <v>6901578</v>
      </c>
      <c r="B299" s="5" t="s">
        <v>1398</v>
      </c>
      <c r="C299" s="5" t="s">
        <v>459</v>
      </c>
      <c r="D299" s="5" t="s">
        <v>618</v>
      </c>
      <c r="E299" s="5" t="s">
        <v>242</v>
      </c>
      <c r="F299" s="5" t="s">
        <v>1160</v>
      </c>
      <c r="G299" s="5" t="s">
        <v>619</v>
      </c>
      <c r="H299" s="5" t="s">
        <v>79</v>
      </c>
      <c r="I299" s="5" t="s">
        <v>122</v>
      </c>
      <c r="J299" s="5" t="s">
        <v>917</v>
      </c>
      <c r="K299" s="5" t="s">
        <v>918</v>
      </c>
      <c r="L299" s="5" t="s">
        <v>881</v>
      </c>
      <c r="M299" s="5" t="s">
        <v>60</v>
      </c>
      <c r="N299" s="5" t="s">
        <v>1399</v>
      </c>
      <c r="O299" s="5" t="s">
        <v>1400</v>
      </c>
      <c r="P299" s="5" t="s">
        <v>623</v>
      </c>
      <c r="Q299" s="5"/>
      <c r="R299" s="5" t="s">
        <v>888</v>
      </c>
      <c r="S299" s="6">
        <v>44120</v>
      </c>
      <c r="T299" s="6">
        <v>44128</v>
      </c>
      <c r="U299" s="6">
        <v>44124</v>
      </c>
      <c r="V299" s="6">
        <v>44130</v>
      </c>
      <c r="W299" s="6">
        <v>44131</v>
      </c>
      <c r="X299" s="5"/>
      <c r="Y299" s="5" t="s">
        <v>65</v>
      </c>
      <c r="Z299" s="5" t="s">
        <v>65</v>
      </c>
      <c r="AA299" s="5" t="s">
        <v>65</v>
      </c>
      <c r="AB299" s="5" t="s">
        <v>67</v>
      </c>
      <c r="AC299" s="5" t="s">
        <v>67</v>
      </c>
      <c r="AD299" s="5" t="s">
        <v>67</v>
      </c>
      <c r="AE299" s="5" t="s">
        <v>69</v>
      </c>
      <c r="AF299" s="5" t="s">
        <v>70</v>
      </c>
      <c r="AG299" s="5" t="s">
        <v>71</v>
      </c>
      <c r="AH299" s="5" t="s">
        <v>72</v>
      </c>
      <c r="AI299" s="5" t="s">
        <v>252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5987</v>
      </c>
      <c r="AP299" s="5">
        <v>61</v>
      </c>
      <c r="AQ299" s="5" t="s">
        <v>713</v>
      </c>
      <c r="AR299" s="5" t="s">
        <v>1104</v>
      </c>
      <c r="AS299" s="5" t="s">
        <v>713</v>
      </c>
      <c r="AT299" s="6">
        <v>44123</v>
      </c>
      <c r="AU299" s="5" t="s">
        <v>1291</v>
      </c>
      <c r="AV299" s="5">
        <v>39</v>
      </c>
      <c r="AW299" s="5" t="s">
        <v>1292</v>
      </c>
    </row>
    <row r="300" spans="1:49" x14ac:dyDescent="0.55000000000000004">
      <c r="A300" s="5" t="str">
        <f>HYPERLINK("https://www.infodis.net/philips/net/Shipment/Details?InfodisNumber=4546782&amp;DomainCode=DAP", "4546782")</f>
        <v>4546782</v>
      </c>
      <c r="B300" s="5" t="s">
        <v>1401</v>
      </c>
      <c r="C300" s="5" t="s">
        <v>165</v>
      </c>
      <c r="D300" s="5" t="s">
        <v>166</v>
      </c>
      <c r="E300" s="5" t="s">
        <v>167</v>
      </c>
      <c r="F300" s="5" t="s">
        <v>167</v>
      </c>
      <c r="G300" s="5" t="s">
        <v>168</v>
      </c>
      <c r="H300" s="5" t="s">
        <v>79</v>
      </c>
      <c r="I300" s="5" t="s">
        <v>169</v>
      </c>
      <c r="J300" s="5" t="s">
        <v>170</v>
      </c>
      <c r="K300" s="5" t="s">
        <v>171</v>
      </c>
      <c r="L300" s="5" t="s">
        <v>172</v>
      </c>
      <c r="M300" s="5" t="s">
        <v>84</v>
      </c>
      <c r="N300" s="5" t="s">
        <v>1402</v>
      </c>
      <c r="O300" s="5" t="s">
        <v>1403</v>
      </c>
      <c r="P300" s="5" t="s">
        <v>173</v>
      </c>
      <c r="Q300" s="5"/>
      <c r="R300" s="5" t="s">
        <v>174</v>
      </c>
      <c r="S300" s="6">
        <v>44135</v>
      </c>
      <c r="T300" s="6">
        <v>44139</v>
      </c>
      <c r="U300" s="6">
        <v>44141</v>
      </c>
      <c r="V300" s="6">
        <v>44144</v>
      </c>
      <c r="W300" s="5"/>
      <c r="X300" s="5"/>
      <c r="Y300" s="5" t="s">
        <v>175</v>
      </c>
      <c r="Z300" s="5" t="s">
        <v>175</v>
      </c>
      <c r="AA300" s="5" t="s">
        <v>175</v>
      </c>
      <c r="AB300" s="5" t="s">
        <v>67</v>
      </c>
      <c r="AC300" s="5" t="s">
        <v>67</v>
      </c>
      <c r="AD300" s="5" t="s">
        <v>67</v>
      </c>
      <c r="AE300" s="5" t="s">
        <v>162</v>
      </c>
      <c r="AF300" s="5" t="s">
        <v>70</v>
      </c>
      <c r="AG300" s="5" t="s">
        <v>71</v>
      </c>
      <c r="AH300" s="5" t="s">
        <v>72</v>
      </c>
      <c r="AI300" s="5" t="s">
        <v>73</v>
      </c>
      <c r="AJ300" s="5">
        <v>0</v>
      </c>
      <c r="AK300" s="5">
        <v>0</v>
      </c>
      <c r="AL300" s="5">
        <v>0</v>
      </c>
      <c r="AM300" s="5">
        <v>0</v>
      </c>
      <c r="AN300" s="5">
        <v>7</v>
      </c>
      <c r="AO300" s="5">
        <v>1687</v>
      </c>
      <c r="AP300" s="5">
        <v>9.3120000000000012</v>
      </c>
      <c r="AQ300" s="5" t="s">
        <v>713</v>
      </c>
      <c r="AR300" s="5" t="s">
        <v>1104</v>
      </c>
      <c r="AS300" s="5" t="s">
        <v>713</v>
      </c>
      <c r="AT300" s="6">
        <v>44141</v>
      </c>
      <c r="AU300" s="5" t="s">
        <v>1404</v>
      </c>
      <c r="AV300" s="5">
        <v>21</v>
      </c>
      <c r="AW300" s="5" t="s">
        <v>1405</v>
      </c>
    </row>
    <row r="301" spans="1:49" x14ac:dyDescent="0.55000000000000004">
      <c r="A301" s="5" t="str">
        <f>HYPERLINK("https://www.infodis.net/philips/net/Shipment/Details?InfodisNumber=6932200&amp;DomainCode=PHILIPSR1", "6932200")</f>
        <v>6932200</v>
      </c>
      <c r="B301" s="5" t="s">
        <v>1406</v>
      </c>
      <c r="C301" s="5" t="s">
        <v>459</v>
      </c>
      <c r="D301" s="5" t="s">
        <v>618</v>
      </c>
      <c r="E301" s="5" t="s">
        <v>459</v>
      </c>
      <c r="F301" s="5" t="s">
        <v>458</v>
      </c>
      <c r="G301" s="5" t="s">
        <v>619</v>
      </c>
      <c r="H301" s="5" t="s">
        <v>79</v>
      </c>
      <c r="I301" s="5" t="s">
        <v>122</v>
      </c>
      <c r="J301" s="5" t="s">
        <v>218</v>
      </c>
      <c r="K301" s="5" t="s">
        <v>620</v>
      </c>
      <c r="L301" s="5" t="s">
        <v>180</v>
      </c>
      <c r="M301" s="5" t="s">
        <v>84</v>
      </c>
      <c r="N301" s="5" t="s">
        <v>1407</v>
      </c>
      <c r="O301" s="5" t="s">
        <v>1408</v>
      </c>
      <c r="P301" s="5" t="s">
        <v>623</v>
      </c>
      <c r="Q301" s="5"/>
      <c r="R301" s="5" t="s">
        <v>613</v>
      </c>
      <c r="S301" s="6">
        <v>44132</v>
      </c>
      <c r="T301" s="6">
        <v>44152</v>
      </c>
      <c r="U301" s="5"/>
      <c r="V301" s="6">
        <v>44154</v>
      </c>
      <c r="W301" s="6">
        <v>44156</v>
      </c>
      <c r="X301" s="5"/>
      <c r="Y301" s="5" t="s">
        <v>65</v>
      </c>
      <c r="Z301" s="5" t="s">
        <v>65</v>
      </c>
      <c r="AA301" s="5" t="s">
        <v>65</v>
      </c>
      <c r="AB301" s="5" t="s">
        <v>67</v>
      </c>
      <c r="AC301" s="5" t="s">
        <v>67</v>
      </c>
      <c r="AD301" s="5" t="s">
        <v>67</v>
      </c>
      <c r="AE301" s="5" t="s">
        <v>69</v>
      </c>
      <c r="AF301" s="5" t="s">
        <v>70</v>
      </c>
      <c r="AG301" s="5" t="s">
        <v>71</v>
      </c>
      <c r="AH301" s="5" t="s">
        <v>72</v>
      </c>
      <c r="AI301" s="5" t="s">
        <v>252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5037</v>
      </c>
      <c r="AP301" s="5">
        <v>63</v>
      </c>
      <c r="AQ301" s="5" t="s">
        <v>713</v>
      </c>
      <c r="AR301" s="5" t="s">
        <v>1104</v>
      </c>
      <c r="AS301" s="5"/>
      <c r="AT301" s="5"/>
      <c r="AU301" s="5"/>
      <c r="AV301" s="5">
        <v>-1</v>
      </c>
      <c r="AW301" s="5" t="s">
        <v>1105</v>
      </c>
    </row>
    <row r="302" spans="1:49" x14ac:dyDescent="0.55000000000000004">
      <c r="A302" s="5" t="str">
        <f>HYPERLINK("https://www.infodis.net/philips/net/Shipment/Details?InfodisNumber=6932201&amp;DomainCode=PHILIPSR1", "6932201")</f>
        <v>6932201</v>
      </c>
      <c r="B302" s="5" t="s">
        <v>1409</v>
      </c>
      <c r="C302" s="5" t="s">
        <v>459</v>
      </c>
      <c r="D302" s="5" t="s">
        <v>618</v>
      </c>
      <c r="E302" s="5" t="s">
        <v>459</v>
      </c>
      <c r="F302" s="5" t="s">
        <v>458</v>
      </c>
      <c r="G302" s="5" t="s">
        <v>619</v>
      </c>
      <c r="H302" s="5" t="s">
        <v>79</v>
      </c>
      <c r="I302" s="5" t="s">
        <v>122</v>
      </c>
      <c r="J302" s="5" t="s">
        <v>218</v>
      </c>
      <c r="K302" s="5" t="s">
        <v>620</v>
      </c>
      <c r="L302" s="5" t="s">
        <v>180</v>
      </c>
      <c r="M302" s="5" t="s">
        <v>84</v>
      </c>
      <c r="N302" s="5" t="s">
        <v>1410</v>
      </c>
      <c r="O302" s="5" t="s">
        <v>1411</v>
      </c>
      <c r="P302" s="5" t="s">
        <v>623</v>
      </c>
      <c r="Q302" s="5"/>
      <c r="R302" s="5" t="s">
        <v>613</v>
      </c>
      <c r="S302" s="6">
        <v>44132</v>
      </c>
      <c r="T302" s="6">
        <v>44152</v>
      </c>
      <c r="U302" s="5"/>
      <c r="V302" s="6">
        <v>44154</v>
      </c>
      <c r="W302" s="6">
        <v>44156</v>
      </c>
      <c r="X302" s="5"/>
      <c r="Y302" s="5" t="s">
        <v>65</v>
      </c>
      <c r="Z302" s="5" t="s">
        <v>65</v>
      </c>
      <c r="AA302" s="5" t="s">
        <v>65</v>
      </c>
      <c r="AB302" s="5" t="s">
        <v>67</v>
      </c>
      <c r="AC302" s="5" t="s">
        <v>67</v>
      </c>
      <c r="AD302" s="5" t="s">
        <v>67</v>
      </c>
      <c r="AE302" s="5" t="s">
        <v>69</v>
      </c>
      <c r="AF302" s="5" t="s">
        <v>70</v>
      </c>
      <c r="AG302" s="5" t="s">
        <v>71</v>
      </c>
      <c r="AH302" s="5" t="s">
        <v>72</v>
      </c>
      <c r="AI302" s="5" t="s">
        <v>252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5278</v>
      </c>
      <c r="AP302" s="5">
        <v>63</v>
      </c>
      <c r="AQ302" s="5" t="s">
        <v>713</v>
      </c>
      <c r="AR302" s="5" t="s">
        <v>1104</v>
      </c>
      <c r="AS302" s="5"/>
      <c r="AT302" s="5"/>
      <c r="AU302" s="5"/>
      <c r="AV302" s="5">
        <v>-1</v>
      </c>
      <c r="AW302" s="5" t="s">
        <v>1105</v>
      </c>
    </row>
    <row r="303" spans="1:49" x14ac:dyDescent="0.55000000000000004">
      <c r="A303" s="5" t="str">
        <f>HYPERLINK("https://www.infodis.net/philips/net/Shipment/Details?InfodisNumber=4546483&amp;DomainCode=DAP", "4546483")</f>
        <v>4546483</v>
      </c>
      <c r="B303" s="5" t="s">
        <v>1412</v>
      </c>
      <c r="C303" s="5" t="s">
        <v>560</v>
      </c>
      <c r="D303" s="5" t="s">
        <v>561</v>
      </c>
      <c r="E303" s="5" t="s">
        <v>562</v>
      </c>
      <c r="F303" s="5" t="s">
        <v>1413</v>
      </c>
      <c r="G303" s="5" t="s">
        <v>54</v>
      </c>
      <c r="H303" s="5" t="s">
        <v>55</v>
      </c>
      <c r="I303" s="5" t="s">
        <v>495</v>
      </c>
      <c r="J303" s="5" t="s">
        <v>1201</v>
      </c>
      <c r="K303" s="5" t="s">
        <v>1414</v>
      </c>
      <c r="L303" s="5" t="s">
        <v>1203</v>
      </c>
      <c r="M303" s="5" t="s">
        <v>133</v>
      </c>
      <c r="N303" s="5" t="s">
        <v>1415</v>
      </c>
      <c r="O303" s="5" t="s">
        <v>1416</v>
      </c>
      <c r="P303" s="5" t="s">
        <v>63</v>
      </c>
      <c r="Q303" s="5"/>
      <c r="R303" s="5" t="s">
        <v>1201</v>
      </c>
      <c r="S303" s="6">
        <v>44134</v>
      </c>
      <c r="T303" s="6">
        <v>44137</v>
      </c>
      <c r="U303" s="5"/>
      <c r="V303" s="6">
        <v>44140</v>
      </c>
      <c r="W303" s="6">
        <v>44140</v>
      </c>
      <c r="X303" s="5"/>
      <c r="Y303" s="5" t="s">
        <v>65</v>
      </c>
      <c r="Z303" s="5" t="s">
        <v>65</v>
      </c>
      <c r="AA303" s="5" t="s">
        <v>66</v>
      </c>
      <c r="AB303" s="5" t="s">
        <v>67</v>
      </c>
      <c r="AC303" s="5" t="s">
        <v>67</v>
      </c>
      <c r="AD303" s="5" t="s">
        <v>68</v>
      </c>
      <c r="AE303" s="5" t="s">
        <v>162</v>
      </c>
      <c r="AF303" s="5" t="s">
        <v>70</v>
      </c>
      <c r="AG303" s="5" t="s">
        <v>71</v>
      </c>
      <c r="AH303" s="5" t="s">
        <v>72</v>
      </c>
      <c r="AI303" s="5" t="s">
        <v>73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740</v>
      </c>
      <c r="AP303" s="5">
        <v>5.32</v>
      </c>
      <c r="AQ303" s="5" t="s">
        <v>713</v>
      </c>
      <c r="AR303" s="5" t="s">
        <v>1104</v>
      </c>
      <c r="AS303" s="5" t="s">
        <v>713</v>
      </c>
      <c r="AT303" s="6">
        <v>44139</v>
      </c>
      <c r="AU303" s="5" t="s">
        <v>1417</v>
      </c>
      <c r="AV303" s="5">
        <v>23</v>
      </c>
      <c r="AW303" s="5" t="s">
        <v>1418</v>
      </c>
    </row>
    <row r="304" spans="1:49" x14ac:dyDescent="0.55000000000000004">
      <c r="A304" s="5" t="str">
        <f>HYPERLINK("https://www.infodis.net/philips/net/Shipment/Details?InfodisNumber=4546478&amp;DomainCode=DAP", "4546478")</f>
        <v>4546478</v>
      </c>
      <c r="B304" s="5" t="s">
        <v>1419</v>
      </c>
      <c r="C304" s="5" t="s">
        <v>560</v>
      </c>
      <c r="D304" s="5" t="s">
        <v>561</v>
      </c>
      <c r="E304" s="5" t="s">
        <v>562</v>
      </c>
      <c r="F304" s="5" t="s">
        <v>1413</v>
      </c>
      <c r="G304" s="5" t="s">
        <v>54</v>
      </c>
      <c r="H304" s="5" t="s">
        <v>55</v>
      </c>
      <c r="I304" s="5" t="s">
        <v>495</v>
      </c>
      <c r="J304" s="5" t="s">
        <v>1201</v>
      </c>
      <c r="K304" s="5" t="s">
        <v>1414</v>
      </c>
      <c r="L304" s="5" t="s">
        <v>1203</v>
      </c>
      <c r="M304" s="5" t="s">
        <v>133</v>
      </c>
      <c r="N304" s="5" t="s">
        <v>1420</v>
      </c>
      <c r="O304" s="5" t="s">
        <v>1421</v>
      </c>
      <c r="P304" s="5" t="s">
        <v>63</v>
      </c>
      <c r="Q304" s="5"/>
      <c r="R304" s="5" t="s">
        <v>1201</v>
      </c>
      <c r="S304" s="6">
        <v>44134</v>
      </c>
      <c r="T304" s="6">
        <v>44137</v>
      </c>
      <c r="U304" s="5"/>
      <c r="V304" s="6">
        <v>44140</v>
      </c>
      <c r="W304" s="6">
        <v>44140</v>
      </c>
      <c r="X304" s="5"/>
      <c r="Y304" s="5" t="s">
        <v>65</v>
      </c>
      <c r="Z304" s="5" t="s">
        <v>65</v>
      </c>
      <c r="AA304" s="5" t="s">
        <v>66</v>
      </c>
      <c r="AB304" s="5" t="s">
        <v>67</v>
      </c>
      <c r="AC304" s="5" t="s">
        <v>67</v>
      </c>
      <c r="AD304" s="5" t="s">
        <v>68</v>
      </c>
      <c r="AE304" s="5" t="s">
        <v>69</v>
      </c>
      <c r="AF304" s="5" t="s">
        <v>70</v>
      </c>
      <c r="AG304" s="5" t="s">
        <v>71</v>
      </c>
      <c r="AH304" s="5" t="s">
        <v>72</v>
      </c>
      <c r="AI304" s="5" t="s">
        <v>73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2151</v>
      </c>
      <c r="AP304" s="5">
        <v>18.683</v>
      </c>
      <c r="AQ304" s="5" t="s">
        <v>713</v>
      </c>
      <c r="AR304" s="5" t="s">
        <v>1104</v>
      </c>
      <c r="AS304" s="5" t="s">
        <v>713</v>
      </c>
      <c r="AT304" s="6">
        <v>44139</v>
      </c>
      <c r="AU304" s="5" t="s">
        <v>1417</v>
      </c>
      <c r="AV304" s="5">
        <v>23</v>
      </c>
      <c r="AW304" s="5" t="s">
        <v>1418</v>
      </c>
    </row>
    <row r="305" spans="1:49" x14ac:dyDescent="0.55000000000000004">
      <c r="A305" s="5" t="str">
        <f>HYPERLINK("https://www.infodis.net/philips/net/Shipment/Details?InfodisNumber=4546467&amp;DomainCode=DAP", "4546467")</f>
        <v>4546467</v>
      </c>
      <c r="B305" s="5" t="s">
        <v>1422</v>
      </c>
      <c r="C305" s="5" t="s">
        <v>560</v>
      </c>
      <c r="D305" s="5" t="s">
        <v>561</v>
      </c>
      <c r="E305" s="5" t="s">
        <v>562</v>
      </c>
      <c r="F305" s="5" t="s">
        <v>1413</v>
      </c>
      <c r="G305" s="5" t="s">
        <v>54</v>
      </c>
      <c r="H305" s="5" t="s">
        <v>55</v>
      </c>
      <c r="I305" s="5" t="s">
        <v>495</v>
      </c>
      <c r="J305" s="5" t="s">
        <v>1201</v>
      </c>
      <c r="K305" s="5" t="s">
        <v>1414</v>
      </c>
      <c r="L305" s="5" t="s">
        <v>1203</v>
      </c>
      <c r="M305" s="5" t="s">
        <v>133</v>
      </c>
      <c r="N305" s="5" t="s">
        <v>115</v>
      </c>
      <c r="O305" s="5" t="s">
        <v>1423</v>
      </c>
      <c r="P305" s="5" t="s">
        <v>63</v>
      </c>
      <c r="Q305" s="5"/>
      <c r="R305" s="5" t="s">
        <v>1201</v>
      </c>
      <c r="S305" s="6">
        <v>44134</v>
      </c>
      <c r="T305" s="6">
        <v>44136</v>
      </c>
      <c r="U305" s="5"/>
      <c r="V305" s="6">
        <v>44140</v>
      </c>
      <c r="W305" s="6">
        <v>44140</v>
      </c>
      <c r="X305" s="5"/>
      <c r="Y305" s="5" t="s">
        <v>65</v>
      </c>
      <c r="Z305" s="5" t="s">
        <v>65</v>
      </c>
      <c r="AA305" s="5" t="s">
        <v>66</v>
      </c>
      <c r="AB305" s="5" t="s">
        <v>67</v>
      </c>
      <c r="AC305" s="5" t="s">
        <v>67</v>
      </c>
      <c r="AD305" s="5" t="s">
        <v>68</v>
      </c>
      <c r="AE305" s="5" t="s">
        <v>1424</v>
      </c>
      <c r="AF305" s="5" t="s">
        <v>70</v>
      </c>
      <c r="AG305" s="5" t="s">
        <v>71</v>
      </c>
      <c r="AH305" s="5" t="s">
        <v>72</v>
      </c>
      <c r="AI305" s="5" t="s">
        <v>73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3833.6</v>
      </c>
      <c r="AP305" s="5">
        <v>22.129000000000001</v>
      </c>
      <c r="AQ305" s="5" t="s">
        <v>713</v>
      </c>
      <c r="AR305" s="5" t="s">
        <v>1104</v>
      </c>
      <c r="AS305" s="5" t="s">
        <v>713</v>
      </c>
      <c r="AT305" s="6">
        <v>44139</v>
      </c>
      <c r="AU305" s="5" t="s">
        <v>1417</v>
      </c>
      <c r="AV305" s="5">
        <v>23</v>
      </c>
      <c r="AW305" s="5" t="s">
        <v>1418</v>
      </c>
    </row>
    <row r="306" spans="1:49" x14ac:dyDescent="0.55000000000000004">
      <c r="A306" s="5" t="str">
        <f>HYPERLINK("https://www.infodis.net/philips/net/Shipment/Details?InfodisNumber=1529459&amp;DomainCode=PHILIPSM1", "1529459")</f>
        <v>1529459</v>
      </c>
      <c r="B306" s="5" t="s">
        <v>1425</v>
      </c>
      <c r="C306" s="5" t="s">
        <v>1426</v>
      </c>
      <c r="D306" s="5" t="s">
        <v>1427</v>
      </c>
      <c r="E306" s="5" t="s">
        <v>1428</v>
      </c>
      <c r="F306" s="5" t="s">
        <v>1429</v>
      </c>
      <c r="G306" s="5" t="s">
        <v>1430</v>
      </c>
      <c r="H306" s="5" t="s">
        <v>244</v>
      </c>
      <c r="I306" s="5"/>
      <c r="J306" s="5"/>
      <c r="K306" s="5" t="s">
        <v>1431</v>
      </c>
      <c r="L306" s="5" t="s">
        <v>180</v>
      </c>
      <c r="M306" s="5" t="s">
        <v>60</v>
      </c>
      <c r="N306" s="5"/>
      <c r="O306" s="5"/>
      <c r="P306" s="5" t="s">
        <v>1432</v>
      </c>
      <c r="Q306" s="5" t="s">
        <v>1433</v>
      </c>
      <c r="R306" s="5" t="s">
        <v>1434</v>
      </c>
      <c r="S306" s="6">
        <v>44110</v>
      </c>
      <c r="T306" s="6">
        <v>44116</v>
      </c>
      <c r="U306" s="5"/>
      <c r="V306" s="6">
        <v>44118</v>
      </c>
      <c r="W306" s="6">
        <v>44118</v>
      </c>
      <c r="X306" s="5"/>
      <c r="Y306" s="5" t="s">
        <v>604</v>
      </c>
      <c r="Z306" s="5" t="s">
        <v>604</v>
      </c>
      <c r="AA306" s="5" t="s">
        <v>604</v>
      </c>
      <c r="AB306" s="5" t="s">
        <v>67</v>
      </c>
      <c r="AC306" s="5" t="s">
        <v>67</v>
      </c>
      <c r="AD306" s="5" t="s">
        <v>67</v>
      </c>
      <c r="AE306" s="5" t="s">
        <v>162</v>
      </c>
      <c r="AF306" s="5" t="s">
        <v>70</v>
      </c>
      <c r="AG306" s="5" t="s">
        <v>71</v>
      </c>
      <c r="AH306" s="5" t="s">
        <v>72</v>
      </c>
      <c r="AI306" s="5" t="s">
        <v>605</v>
      </c>
      <c r="AJ306" s="5">
        <v>0</v>
      </c>
      <c r="AK306" s="5">
        <v>0</v>
      </c>
      <c r="AL306" s="5">
        <v>0</v>
      </c>
      <c r="AM306" s="5">
        <v>0</v>
      </c>
      <c r="AN306" s="5">
        <v>4</v>
      </c>
      <c r="AO306" s="5">
        <v>5000</v>
      </c>
      <c r="AP306" s="5">
        <v>50</v>
      </c>
      <c r="AQ306" s="5" t="s">
        <v>713</v>
      </c>
      <c r="AR306" s="5" t="s">
        <v>1104</v>
      </c>
      <c r="AS306" s="5"/>
      <c r="AT306" s="5"/>
      <c r="AU306" s="5"/>
      <c r="AV306" s="5">
        <v>-1</v>
      </c>
      <c r="AW306" s="5" t="s">
        <v>1435</v>
      </c>
    </row>
    <row r="307" spans="1:49" x14ac:dyDescent="0.55000000000000004">
      <c r="A307" s="5" t="str">
        <f>HYPERLINK("https://www.infodis.net/philips/net/Shipment/Details?InfodisNumber=1534047&amp;DomainCode=PHILIPSM1", "1534047")</f>
        <v>1534047</v>
      </c>
      <c r="B307" s="5" t="s">
        <v>1436</v>
      </c>
      <c r="C307" s="5" t="s">
        <v>1426</v>
      </c>
      <c r="D307" s="5" t="s">
        <v>1427</v>
      </c>
      <c r="E307" s="5" t="s">
        <v>1428</v>
      </c>
      <c r="F307" s="5" t="s">
        <v>1429</v>
      </c>
      <c r="G307" s="5" t="s">
        <v>1430</v>
      </c>
      <c r="H307" s="5" t="s">
        <v>244</v>
      </c>
      <c r="I307" s="5"/>
      <c r="J307" s="5"/>
      <c r="K307" s="5" t="s">
        <v>1431</v>
      </c>
      <c r="L307" s="5" t="s">
        <v>180</v>
      </c>
      <c r="M307" s="5" t="s">
        <v>60</v>
      </c>
      <c r="N307" s="5"/>
      <c r="O307" s="5"/>
      <c r="P307" s="5" t="s">
        <v>1432</v>
      </c>
      <c r="Q307" s="5"/>
      <c r="R307" s="5" t="s">
        <v>1434</v>
      </c>
      <c r="S307" s="6">
        <v>44112</v>
      </c>
      <c r="T307" s="6">
        <v>44119</v>
      </c>
      <c r="U307" s="5"/>
      <c r="V307" s="5"/>
      <c r="W307" s="5"/>
      <c r="X307" s="5"/>
      <c r="Y307" s="5" t="s">
        <v>604</v>
      </c>
      <c r="Z307" s="5" t="s">
        <v>604</v>
      </c>
      <c r="AA307" s="5" t="s">
        <v>604</v>
      </c>
      <c r="AB307" s="5" t="s">
        <v>67</v>
      </c>
      <c r="AC307" s="5" t="s">
        <v>67</v>
      </c>
      <c r="AD307" s="5" t="s">
        <v>67</v>
      </c>
      <c r="AE307" s="5" t="s">
        <v>162</v>
      </c>
      <c r="AF307" s="5" t="s">
        <v>70</v>
      </c>
      <c r="AG307" s="5" t="s">
        <v>71</v>
      </c>
      <c r="AH307" s="5" t="s">
        <v>72</v>
      </c>
      <c r="AI307" s="5" t="s">
        <v>605</v>
      </c>
      <c r="AJ307" s="5">
        <v>0</v>
      </c>
      <c r="AK307" s="5">
        <v>0</v>
      </c>
      <c r="AL307" s="5">
        <v>0</v>
      </c>
      <c r="AM307" s="5">
        <v>0</v>
      </c>
      <c r="AN307" s="5">
        <v>10</v>
      </c>
      <c r="AO307" s="5">
        <v>2000</v>
      </c>
      <c r="AP307" s="5">
        <v>25</v>
      </c>
      <c r="AQ307" s="5" t="s">
        <v>713</v>
      </c>
      <c r="AR307" s="5" t="s">
        <v>1104</v>
      </c>
      <c r="AS307" s="5"/>
      <c r="AT307" s="5"/>
      <c r="AU307" s="5"/>
      <c r="AV307" s="5">
        <v>-1</v>
      </c>
      <c r="AW307" s="5" t="s">
        <v>1435</v>
      </c>
    </row>
    <row r="308" spans="1:49" x14ac:dyDescent="0.55000000000000004">
      <c r="A308" s="5" t="str">
        <f>HYPERLINK("https://www.infodis.net/philips/net/Shipment/Details?InfodisNumber=4546466&amp;DomainCode=DAP", "4546466")</f>
        <v>4546466</v>
      </c>
      <c r="B308" s="5" t="s">
        <v>1437</v>
      </c>
      <c r="C308" s="5" t="s">
        <v>560</v>
      </c>
      <c r="D308" s="5" t="s">
        <v>561</v>
      </c>
      <c r="E308" s="5" t="s">
        <v>562</v>
      </c>
      <c r="F308" s="5" t="s">
        <v>1413</v>
      </c>
      <c r="G308" s="5" t="s">
        <v>54</v>
      </c>
      <c r="H308" s="5" t="s">
        <v>55</v>
      </c>
      <c r="I308" s="5" t="s">
        <v>495</v>
      </c>
      <c r="J308" s="5" t="s">
        <v>1201</v>
      </c>
      <c r="K308" s="5" t="s">
        <v>1414</v>
      </c>
      <c r="L308" s="5" t="s">
        <v>1203</v>
      </c>
      <c r="M308" s="5" t="s">
        <v>133</v>
      </c>
      <c r="N308" s="5" t="s">
        <v>1438</v>
      </c>
      <c r="O308" s="5" t="s">
        <v>1439</v>
      </c>
      <c r="P308" s="5" t="s">
        <v>63</v>
      </c>
      <c r="Q308" s="5"/>
      <c r="R308" s="5" t="s">
        <v>1201</v>
      </c>
      <c r="S308" s="6">
        <v>44134</v>
      </c>
      <c r="T308" s="6">
        <v>44143</v>
      </c>
      <c r="U308" s="5"/>
      <c r="V308" s="6">
        <v>44140</v>
      </c>
      <c r="W308" s="6">
        <v>44140</v>
      </c>
      <c r="X308" s="5"/>
      <c r="Y308" s="5" t="s">
        <v>65</v>
      </c>
      <c r="Z308" s="5" t="s">
        <v>65</v>
      </c>
      <c r="AA308" s="5" t="s">
        <v>66</v>
      </c>
      <c r="AB308" s="5" t="s">
        <v>67</v>
      </c>
      <c r="AC308" s="5" t="s">
        <v>67</v>
      </c>
      <c r="AD308" s="5" t="s">
        <v>68</v>
      </c>
      <c r="AE308" s="5" t="s">
        <v>69</v>
      </c>
      <c r="AF308" s="5" t="s">
        <v>70</v>
      </c>
      <c r="AG308" s="5" t="s">
        <v>71</v>
      </c>
      <c r="AH308" s="5" t="s">
        <v>72</v>
      </c>
      <c r="AI308" s="5" t="s">
        <v>73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5108</v>
      </c>
      <c r="AP308" s="5">
        <v>24</v>
      </c>
      <c r="AQ308" s="5" t="s">
        <v>713</v>
      </c>
      <c r="AR308" s="5" t="s">
        <v>1104</v>
      </c>
      <c r="AS308" s="5" t="s">
        <v>713</v>
      </c>
      <c r="AT308" s="6">
        <v>44139</v>
      </c>
      <c r="AU308" s="5" t="s">
        <v>1417</v>
      </c>
      <c r="AV308" s="5">
        <v>23</v>
      </c>
      <c r="AW308" s="5" t="s">
        <v>1418</v>
      </c>
    </row>
    <row r="309" spans="1:49" x14ac:dyDescent="0.55000000000000004">
      <c r="A309" s="5" t="str">
        <f>HYPERLINK("https://www.infodis.net/philips/net/Shipment/Details?InfodisNumber=6932199&amp;DomainCode=PHILIPSR1", "6932199")</f>
        <v>6932199</v>
      </c>
      <c r="B309" s="5" t="s">
        <v>1440</v>
      </c>
      <c r="C309" s="5" t="s">
        <v>459</v>
      </c>
      <c r="D309" s="5" t="s">
        <v>618</v>
      </c>
      <c r="E309" s="5" t="s">
        <v>459</v>
      </c>
      <c r="F309" s="5" t="s">
        <v>458</v>
      </c>
      <c r="G309" s="5" t="s">
        <v>619</v>
      </c>
      <c r="H309" s="5" t="s">
        <v>79</v>
      </c>
      <c r="I309" s="5" t="s">
        <v>122</v>
      </c>
      <c r="J309" s="5" t="s">
        <v>218</v>
      </c>
      <c r="K309" s="5" t="s">
        <v>620</v>
      </c>
      <c r="L309" s="5" t="s">
        <v>180</v>
      </c>
      <c r="M309" s="5" t="s">
        <v>84</v>
      </c>
      <c r="N309" s="5" t="s">
        <v>1441</v>
      </c>
      <c r="O309" s="5" t="s">
        <v>1442</v>
      </c>
      <c r="P309" s="5" t="s">
        <v>623</v>
      </c>
      <c r="Q309" s="5"/>
      <c r="R309" s="5" t="s">
        <v>613</v>
      </c>
      <c r="S309" s="6">
        <v>44132</v>
      </c>
      <c r="T309" s="6">
        <v>44152</v>
      </c>
      <c r="U309" s="5"/>
      <c r="V309" s="6">
        <v>44154</v>
      </c>
      <c r="W309" s="6">
        <v>44156</v>
      </c>
      <c r="X309" s="5"/>
      <c r="Y309" s="5" t="s">
        <v>65</v>
      </c>
      <c r="Z309" s="5" t="s">
        <v>65</v>
      </c>
      <c r="AA309" s="5" t="s">
        <v>65</v>
      </c>
      <c r="AB309" s="5" t="s">
        <v>67</v>
      </c>
      <c r="AC309" s="5" t="s">
        <v>67</v>
      </c>
      <c r="AD309" s="5" t="s">
        <v>67</v>
      </c>
      <c r="AE309" s="5" t="s">
        <v>69</v>
      </c>
      <c r="AF309" s="5" t="s">
        <v>70</v>
      </c>
      <c r="AG309" s="5" t="s">
        <v>71</v>
      </c>
      <c r="AH309" s="5" t="s">
        <v>72</v>
      </c>
      <c r="AI309" s="5" t="s">
        <v>252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27454.013999999999</v>
      </c>
      <c r="AP309" s="5">
        <v>13571.616</v>
      </c>
      <c r="AQ309" s="5" t="s">
        <v>713</v>
      </c>
      <c r="AR309" s="5" t="s">
        <v>1104</v>
      </c>
      <c r="AS309" s="5"/>
      <c r="AT309" s="5"/>
      <c r="AU309" s="5"/>
      <c r="AV309" s="5">
        <v>-1</v>
      </c>
      <c r="AW309" s="5" t="s">
        <v>1105</v>
      </c>
    </row>
    <row r="310" spans="1:49" x14ac:dyDescent="0.55000000000000004">
      <c r="A310" s="5" t="str">
        <f>HYPERLINK("https://www.infodis.net/philips/net/Shipment/Details?InfodisNumber=5586725&amp;DomainCode=PHILIPSR1", "5586725")</f>
        <v>5586725</v>
      </c>
      <c r="B310" s="5" t="s">
        <v>1443</v>
      </c>
      <c r="C310" s="5" t="s">
        <v>607</v>
      </c>
      <c r="D310" s="5" t="s">
        <v>608</v>
      </c>
      <c r="E310" s="5" t="s">
        <v>458</v>
      </c>
      <c r="F310" s="5" t="s">
        <v>1444</v>
      </c>
      <c r="G310" s="5" t="s">
        <v>610</v>
      </c>
      <c r="H310" s="5" t="s">
        <v>180</v>
      </c>
      <c r="I310" s="5" t="s">
        <v>652</v>
      </c>
      <c r="J310" s="5" t="s">
        <v>1036</v>
      </c>
      <c r="K310" s="5" t="s">
        <v>1445</v>
      </c>
      <c r="L310" s="5" t="s">
        <v>132</v>
      </c>
      <c r="M310" s="5" t="s">
        <v>60</v>
      </c>
      <c r="N310" s="5" t="s">
        <v>1446</v>
      </c>
      <c r="O310" s="5"/>
      <c r="P310" s="5" t="s">
        <v>613</v>
      </c>
      <c r="Q310" s="5"/>
      <c r="R310" s="5" t="s">
        <v>1447</v>
      </c>
      <c r="S310" s="6">
        <v>43645</v>
      </c>
      <c r="T310" s="6">
        <v>43645</v>
      </c>
      <c r="U310" s="6">
        <v>43657</v>
      </c>
      <c r="V310" s="6">
        <v>43677</v>
      </c>
      <c r="W310" s="6">
        <v>43677</v>
      </c>
      <c r="X310" s="6">
        <v>43724</v>
      </c>
      <c r="Y310" s="5" t="s">
        <v>649</v>
      </c>
      <c r="Z310" s="5" t="s">
        <v>649</v>
      </c>
      <c r="AA310" s="5" t="s">
        <v>66</v>
      </c>
      <c r="AB310" s="5" t="s">
        <v>67</v>
      </c>
      <c r="AC310" s="5" t="s">
        <v>67</v>
      </c>
      <c r="AD310" s="5" t="s">
        <v>68</v>
      </c>
      <c r="AE310" s="5" t="s">
        <v>90</v>
      </c>
      <c r="AF310" s="5" t="s">
        <v>70</v>
      </c>
      <c r="AG310" s="5" t="s">
        <v>71</v>
      </c>
      <c r="AH310" s="5" t="s">
        <v>72</v>
      </c>
      <c r="AI310" s="5" t="s">
        <v>252</v>
      </c>
      <c r="AJ310" s="5">
        <v>0</v>
      </c>
      <c r="AK310" s="5">
        <v>0</v>
      </c>
      <c r="AL310" s="5">
        <v>0</v>
      </c>
      <c r="AM310" s="5">
        <v>0</v>
      </c>
      <c r="AN310" s="5">
        <v>10</v>
      </c>
      <c r="AO310" s="5">
        <v>2436.2399999999998</v>
      </c>
      <c r="AP310" s="5">
        <v>18.928000000000001</v>
      </c>
      <c r="AQ310" s="5" t="s">
        <v>713</v>
      </c>
      <c r="AR310" s="5" t="s">
        <v>1104</v>
      </c>
      <c r="AS310" s="5" t="s">
        <v>713</v>
      </c>
      <c r="AT310" s="6">
        <v>43790</v>
      </c>
      <c r="AU310" s="5" t="s">
        <v>1173</v>
      </c>
      <c r="AV310" s="5">
        <v>372</v>
      </c>
      <c r="AW310" s="5" t="s">
        <v>1448</v>
      </c>
    </row>
    <row r="311" spans="1:49" x14ac:dyDescent="0.55000000000000004">
      <c r="A311" s="5" t="str">
        <f>HYPERLINK("https://www.infodis.net/philips/net/Shipment/Details?InfodisNumber=6175010&amp;DomainCode=PHILIPSR1", "6175010")</f>
        <v>6175010</v>
      </c>
      <c r="B311" s="5" t="s">
        <v>1449</v>
      </c>
      <c r="C311" s="5" t="s">
        <v>893</v>
      </c>
      <c r="D311" s="5" t="s">
        <v>894</v>
      </c>
      <c r="E311" s="5" t="s">
        <v>242</v>
      </c>
      <c r="F311" s="5" t="s">
        <v>1450</v>
      </c>
      <c r="G311" s="5" t="s">
        <v>895</v>
      </c>
      <c r="H311" s="5" t="s">
        <v>180</v>
      </c>
      <c r="I311" s="5" t="s">
        <v>1451</v>
      </c>
      <c r="J311" s="5" t="s">
        <v>268</v>
      </c>
      <c r="K311" s="5" t="s">
        <v>1452</v>
      </c>
      <c r="L311" s="5" t="s">
        <v>267</v>
      </c>
      <c r="M311" s="5" t="s">
        <v>133</v>
      </c>
      <c r="N311" s="5"/>
      <c r="O311" s="5" t="s">
        <v>1453</v>
      </c>
      <c r="P311" s="5" t="s">
        <v>898</v>
      </c>
      <c r="Q311" s="5"/>
      <c r="R311" s="5" t="s">
        <v>268</v>
      </c>
      <c r="S311" s="6">
        <v>43857</v>
      </c>
      <c r="T311" s="6">
        <v>43858</v>
      </c>
      <c r="U311" s="6">
        <v>43858</v>
      </c>
      <c r="V311" s="6">
        <v>43893</v>
      </c>
      <c r="W311" s="6">
        <v>43890</v>
      </c>
      <c r="X311" s="5"/>
      <c r="Y311" s="5" t="s">
        <v>649</v>
      </c>
      <c r="Z311" s="5" t="s">
        <v>649</v>
      </c>
      <c r="AA311" s="5" t="s">
        <v>66</v>
      </c>
      <c r="AB311" s="5" t="s">
        <v>67</v>
      </c>
      <c r="AC311" s="5" t="s">
        <v>67</v>
      </c>
      <c r="AD311" s="5" t="s">
        <v>68</v>
      </c>
      <c r="AE311" s="5" t="s">
        <v>69</v>
      </c>
      <c r="AF311" s="5" t="s">
        <v>70</v>
      </c>
      <c r="AG311" s="5" t="s">
        <v>71</v>
      </c>
      <c r="AH311" s="5" t="s">
        <v>72</v>
      </c>
      <c r="AI311" s="5" t="s">
        <v>252</v>
      </c>
      <c r="AJ311" s="5">
        <v>0</v>
      </c>
      <c r="AK311" s="5">
        <v>0</v>
      </c>
      <c r="AL311" s="5">
        <v>0</v>
      </c>
      <c r="AM311" s="5">
        <v>0</v>
      </c>
      <c r="AN311" s="5">
        <v>11</v>
      </c>
      <c r="AO311" s="5">
        <v>1406.14</v>
      </c>
      <c r="AP311" s="5">
        <v>25.481000000000002</v>
      </c>
      <c r="AQ311" s="5" t="s">
        <v>713</v>
      </c>
      <c r="AR311" s="5" t="s">
        <v>1104</v>
      </c>
      <c r="AS311" s="5"/>
      <c r="AT311" s="5"/>
      <c r="AU311" s="5"/>
      <c r="AV311" s="5">
        <v>-1</v>
      </c>
      <c r="AW311" s="5" t="s">
        <v>1269</v>
      </c>
    </row>
    <row r="312" spans="1:49" x14ac:dyDescent="0.55000000000000004">
      <c r="A312" s="5" t="str">
        <f>HYPERLINK("https://www.infodis.net/philips/net/Shipment/Details?InfodisNumber=5585967&amp;DomainCode=PHILIPSR1", "5585967")</f>
        <v>5585967</v>
      </c>
      <c r="B312" s="5" t="s">
        <v>1454</v>
      </c>
      <c r="C312" s="5" t="s">
        <v>607</v>
      </c>
      <c r="D312" s="5" t="s">
        <v>608</v>
      </c>
      <c r="E312" s="5" t="s">
        <v>458</v>
      </c>
      <c r="F312" s="5" t="s">
        <v>1455</v>
      </c>
      <c r="G312" s="5" t="s">
        <v>610</v>
      </c>
      <c r="H312" s="5" t="s">
        <v>180</v>
      </c>
      <c r="I312" s="5" t="s">
        <v>652</v>
      </c>
      <c r="J312" s="5" t="s">
        <v>1036</v>
      </c>
      <c r="K312" s="5" t="s">
        <v>1037</v>
      </c>
      <c r="L312" s="5" t="s">
        <v>132</v>
      </c>
      <c r="M312" s="5" t="s">
        <v>60</v>
      </c>
      <c r="N312" s="5" t="s">
        <v>1456</v>
      </c>
      <c r="O312" s="5"/>
      <c r="P312" s="5" t="s">
        <v>613</v>
      </c>
      <c r="Q312" s="5"/>
      <c r="R312" s="5" t="s">
        <v>1457</v>
      </c>
      <c r="S312" s="6">
        <v>43645</v>
      </c>
      <c r="T312" s="6">
        <v>43645</v>
      </c>
      <c r="U312" s="6">
        <v>43649</v>
      </c>
      <c r="V312" s="6">
        <v>43651</v>
      </c>
      <c r="W312" s="6">
        <v>43662</v>
      </c>
      <c r="X312" s="6">
        <v>43707</v>
      </c>
      <c r="Y312" s="5" t="s">
        <v>649</v>
      </c>
      <c r="Z312" s="5" t="s">
        <v>649</v>
      </c>
      <c r="AA312" s="5" t="s">
        <v>649</v>
      </c>
      <c r="AB312" s="5" t="s">
        <v>67</v>
      </c>
      <c r="AC312" s="5" t="s">
        <v>67</v>
      </c>
      <c r="AD312" s="5" t="s">
        <v>67</v>
      </c>
      <c r="AE312" s="5" t="s">
        <v>162</v>
      </c>
      <c r="AF312" s="5" t="s">
        <v>70</v>
      </c>
      <c r="AG312" s="5" t="s">
        <v>71</v>
      </c>
      <c r="AH312" s="5" t="s">
        <v>72</v>
      </c>
      <c r="AI312" s="5" t="s">
        <v>252</v>
      </c>
      <c r="AJ312" s="5">
        <v>0</v>
      </c>
      <c r="AK312" s="5">
        <v>0</v>
      </c>
      <c r="AL312" s="5">
        <v>0</v>
      </c>
      <c r="AM312" s="5">
        <v>0</v>
      </c>
      <c r="AN312" s="5">
        <v>10</v>
      </c>
      <c r="AO312" s="5">
        <v>2408.58</v>
      </c>
      <c r="AP312" s="5">
        <v>18.576000000000001</v>
      </c>
      <c r="AQ312" s="5" t="s">
        <v>713</v>
      </c>
      <c r="AR312" s="5" t="s">
        <v>1104</v>
      </c>
      <c r="AS312" s="5" t="s">
        <v>713</v>
      </c>
      <c r="AT312" s="6">
        <v>43790</v>
      </c>
      <c r="AU312" s="5" t="s">
        <v>1173</v>
      </c>
      <c r="AV312" s="5">
        <v>372</v>
      </c>
      <c r="AW312" s="5" t="s">
        <v>1174</v>
      </c>
    </row>
    <row r="313" spans="1:49" x14ac:dyDescent="0.55000000000000004">
      <c r="A313" s="5" t="str">
        <f>HYPERLINK("https://www.infodis.net/philips/net/Shipment/Details?InfodisNumber=5998312&amp;DomainCode=PHILIPSR1", "5998312")</f>
        <v>5998312</v>
      </c>
      <c r="B313" s="5" t="s">
        <v>1458</v>
      </c>
      <c r="C313" s="5" t="s">
        <v>877</v>
      </c>
      <c r="D313" s="5" t="s">
        <v>878</v>
      </c>
      <c r="E313" s="5" t="s">
        <v>877</v>
      </c>
      <c r="F313" s="5" t="s">
        <v>1459</v>
      </c>
      <c r="G313" s="5" t="s">
        <v>880</v>
      </c>
      <c r="H313" s="5" t="s">
        <v>881</v>
      </c>
      <c r="I313" s="5" t="s">
        <v>917</v>
      </c>
      <c r="J313" s="5" t="s">
        <v>142</v>
      </c>
      <c r="K313" s="5" t="s">
        <v>143</v>
      </c>
      <c r="L313" s="5" t="s">
        <v>83</v>
      </c>
      <c r="M313" s="5" t="s">
        <v>60</v>
      </c>
      <c r="N313" s="5" t="s">
        <v>1460</v>
      </c>
      <c r="O313" s="5"/>
      <c r="P313" s="5" t="s">
        <v>888</v>
      </c>
      <c r="Q313" s="5"/>
      <c r="R313" s="5" t="s">
        <v>1461</v>
      </c>
      <c r="S313" s="6">
        <v>43791</v>
      </c>
      <c r="T313" s="6">
        <v>43791</v>
      </c>
      <c r="U313" s="6">
        <v>43791</v>
      </c>
      <c r="V313" s="6">
        <v>43796</v>
      </c>
      <c r="W313" s="6">
        <v>43794</v>
      </c>
      <c r="X313" s="6">
        <v>43825</v>
      </c>
      <c r="Y313" s="5" t="s">
        <v>649</v>
      </c>
      <c r="Z313" s="5" t="s">
        <v>649</v>
      </c>
      <c r="AA313" s="5" t="s">
        <v>649</v>
      </c>
      <c r="AB313" s="5" t="s">
        <v>67</v>
      </c>
      <c r="AC313" s="5" t="s">
        <v>67</v>
      </c>
      <c r="AD313" s="5" t="s">
        <v>67</v>
      </c>
      <c r="AE313" s="5" t="s">
        <v>162</v>
      </c>
      <c r="AF313" s="5" t="s">
        <v>70</v>
      </c>
      <c r="AG313" s="5" t="s">
        <v>71</v>
      </c>
      <c r="AH313" s="5" t="s">
        <v>72</v>
      </c>
      <c r="AI313" s="5" t="s">
        <v>252</v>
      </c>
      <c r="AJ313" s="5">
        <v>0</v>
      </c>
      <c r="AK313" s="5">
        <v>0</v>
      </c>
      <c r="AL313" s="5">
        <v>0</v>
      </c>
      <c r="AM313" s="5">
        <v>0</v>
      </c>
      <c r="AN313" s="5">
        <v>16</v>
      </c>
      <c r="AO313" s="5">
        <v>6625</v>
      </c>
      <c r="AP313" s="5">
        <v>24.07</v>
      </c>
      <c r="AQ313" s="5" t="s">
        <v>713</v>
      </c>
      <c r="AR313" s="5" t="s">
        <v>1104</v>
      </c>
      <c r="AS313" s="5"/>
      <c r="AT313" s="5"/>
      <c r="AU313" s="5"/>
      <c r="AV313" s="5">
        <v>-1</v>
      </c>
      <c r="AW313" s="5" t="s">
        <v>1462</v>
      </c>
    </row>
    <row r="314" spans="1:49" x14ac:dyDescent="0.55000000000000004">
      <c r="A314" s="5" t="str">
        <f>HYPERLINK("https://www.infodis.net/philips/net/Shipment/Details?InfodisNumber=6002522&amp;DomainCode=PHILIPSR1", "6002522")</f>
        <v>6002522</v>
      </c>
      <c r="B314" s="5" t="s">
        <v>1463</v>
      </c>
      <c r="C314" s="5" t="s">
        <v>607</v>
      </c>
      <c r="D314" s="5" t="s">
        <v>608</v>
      </c>
      <c r="E314" s="5" t="s">
        <v>458</v>
      </c>
      <c r="F314" s="5" t="s">
        <v>1464</v>
      </c>
      <c r="G314" s="5" t="s">
        <v>610</v>
      </c>
      <c r="H314" s="5" t="s">
        <v>180</v>
      </c>
      <c r="I314" s="5" t="s">
        <v>652</v>
      </c>
      <c r="J314" s="5" t="s">
        <v>1071</v>
      </c>
      <c r="K314" s="5" t="s">
        <v>1465</v>
      </c>
      <c r="L314" s="5" t="s">
        <v>59</v>
      </c>
      <c r="M314" s="5" t="s">
        <v>60</v>
      </c>
      <c r="N314" s="5"/>
      <c r="O314" s="5"/>
      <c r="P314" s="5" t="s">
        <v>613</v>
      </c>
      <c r="Q314" s="5"/>
      <c r="R314" s="5" t="s">
        <v>1466</v>
      </c>
      <c r="S314" s="6">
        <v>43794</v>
      </c>
      <c r="T314" s="6">
        <v>43794</v>
      </c>
      <c r="U314" s="6">
        <v>43801</v>
      </c>
      <c r="V314" s="6">
        <v>43817</v>
      </c>
      <c r="W314" s="6">
        <v>43817</v>
      </c>
      <c r="X314" s="6">
        <v>43838</v>
      </c>
      <c r="Y314" s="5" t="s">
        <v>649</v>
      </c>
      <c r="Z314" s="5" t="s">
        <v>649</v>
      </c>
      <c r="AA314" s="5" t="s">
        <v>649</v>
      </c>
      <c r="AB314" s="5" t="s">
        <v>67</v>
      </c>
      <c r="AC314" s="5" t="s">
        <v>67</v>
      </c>
      <c r="AD314" s="5" t="s">
        <v>67</v>
      </c>
      <c r="AE314" s="5" t="s">
        <v>162</v>
      </c>
      <c r="AF314" s="5" t="s">
        <v>70</v>
      </c>
      <c r="AG314" s="5" t="s">
        <v>71</v>
      </c>
      <c r="AH314" s="5" t="s">
        <v>72</v>
      </c>
      <c r="AI314" s="5" t="s">
        <v>252</v>
      </c>
      <c r="AJ314" s="5">
        <v>0</v>
      </c>
      <c r="AK314" s="5">
        <v>0</v>
      </c>
      <c r="AL314" s="5">
        <v>0</v>
      </c>
      <c r="AM314" s="5">
        <v>0</v>
      </c>
      <c r="AN314" s="5">
        <v>150</v>
      </c>
      <c r="AO314" s="5">
        <v>2527.643</v>
      </c>
      <c r="AP314" s="5">
        <v>18.73</v>
      </c>
      <c r="AQ314" s="5" t="s">
        <v>713</v>
      </c>
      <c r="AR314" s="5" t="s">
        <v>1104</v>
      </c>
      <c r="AS314" s="5" t="s">
        <v>713</v>
      </c>
      <c r="AT314" s="6">
        <v>43798</v>
      </c>
      <c r="AU314" s="5" t="s">
        <v>1467</v>
      </c>
      <c r="AV314" s="5">
        <v>364</v>
      </c>
      <c r="AW314" s="5" t="s">
        <v>1468</v>
      </c>
    </row>
    <row r="315" spans="1:49" x14ac:dyDescent="0.55000000000000004">
      <c r="A315" s="5" t="str">
        <f>HYPERLINK("https://www.infodis.net/philips/net/Shipment/Details?InfodisNumber=4113647&amp;DomainCode=DAP", "4113647")</f>
        <v>4113647</v>
      </c>
      <c r="B315" s="5" t="s">
        <v>1469</v>
      </c>
      <c r="C315" s="5" t="s">
        <v>1470</v>
      </c>
      <c r="D315" s="5" t="s">
        <v>1471</v>
      </c>
      <c r="E315" s="5" t="s">
        <v>94</v>
      </c>
      <c r="F315" s="5" t="s">
        <v>1472</v>
      </c>
      <c r="G315" s="5" t="s">
        <v>1473</v>
      </c>
      <c r="H315" s="5" t="s">
        <v>79</v>
      </c>
      <c r="I315" s="5" t="s">
        <v>97</v>
      </c>
      <c r="J315" s="5" t="s">
        <v>1474</v>
      </c>
      <c r="K315" s="5" t="s">
        <v>1475</v>
      </c>
      <c r="L315" s="5" t="s">
        <v>1203</v>
      </c>
      <c r="M315" s="5" t="s">
        <v>261</v>
      </c>
      <c r="N315" s="5" t="s">
        <v>1476</v>
      </c>
      <c r="O315" s="5"/>
      <c r="P315" s="5" t="s">
        <v>1477</v>
      </c>
      <c r="Q315" s="5"/>
      <c r="R315" s="5"/>
      <c r="S315" s="6">
        <v>43564</v>
      </c>
      <c r="T315" s="6">
        <v>43567</v>
      </c>
      <c r="U315" s="6">
        <v>43567</v>
      </c>
      <c r="V315" s="6">
        <v>43572</v>
      </c>
      <c r="W315" s="6">
        <v>43572</v>
      </c>
      <c r="X315" s="5"/>
      <c r="Y315" s="5" t="s">
        <v>89</v>
      </c>
      <c r="Z315" s="5" t="s">
        <v>66</v>
      </c>
      <c r="AA315" s="5" t="s">
        <v>66</v>
      </c>
      <c r="AB315" s="5" t="s">
        <v>67</v>
      </c>
      <c r="AC315" s="5" t="s">
        <v>67</v>
      </c>
      <c r="AD315" s="5" t="s">
        <v>68</v>
      </c>
      <c r="AE315" s="5" t="s">
        <v>162</v>
      </c>
      <c r="AF315" s="5" t="s">
        <v>70</v>
      </c>
      <c r="AG315" s="5" t="s">
        <v>71</v>
      </c>
      <c r="AH315" s="5" t="s">
        <v>72</v>
      </c>
      <c r="AI315" s="5" t="s">
        <v>73</v>
      </c>
      <c r="AJ315" s="5">
        <v>0</v>
      </c>
      <c r="AK315" s="5">
        <v>0</v>
      </c>
      <c r="AL315" s="5">
        <v>0</v>
      </c>
      <c r="AM315" s="5">
        <v>0</v>
      </c>
      <c r="AN315" s="5">
        <v>7</v>
      </c>
      <c r="AO315" s="5">
        <v>1860.53</v>
      </c>
      <c r="AP315" s="5">
        <v>14.364000000000001</v>
      </c>
      <c r="AQ315" s="5" t="s">
        <v>713</v>
      </c>
      <c r="AR315" s="5" t="s">
        <v>1104</v>
      </c>
      <c r="AS315" s="5"/>
      <c r="AT315" s="5"/>
      <c r="AU315" s="5"/>
      <c r="AV315" s="5">
        <v>-1</v>
      </c>
      <c r="AW315" s="5" t="s">
        <v>1478</v>
      </c>
    </row>
    <row r="316" spans="1:49" x14ac:dyDescent="0.55000000000000004">
      <c r="A316" s="5" t="str">
        <f>HYPERLINK("https://www.infodis.net/philips/net/Shipment/Details?InfodisNumber=4440987&amp;DomainCode=DAP", "4440987")</f>
        <v>4440987</v>
      </c>
      <c r="B316" s="5" t="s">
        <v>1479</v>
      </c>
      <c r="C316" s="5" t="s">
        <v>1193</v>
      </c>
      <c r="D316" s="5" t="s">
        <v>1194</v>
      </c>
      <c r="E316" s="5" t="s">
        <v>1193</v>
      </c>
      <c r="F316" s="5" t="s">
        <v>77</v>
      </c>
      <c r="G316" s="5" t="s">
        <v>945</v>
      </c>
      <c r="H316" s="5" t="s">
        <v>938</v>
      </c>
      <c r="I316" s="5" t="s">
        <v>293</v>
      </c>
      <c r="J316" s="5" t="s">
        <v>81</v>
      </c>
      <c r="K316" s="5" t="s">
        <v>82</v>
      </c>
      <c r="L316" s="5" t="s">
        <v>83</v>
      </c>
      <c r="M316" s="5" t="s">
        <v>84</v>
      </c>
      <c r="N316" s="5" t="s">
        <v>1480</v>
      </c>
      <c r="O316" s="5"/>
      <c r="P316" s="5" t="s">
        <v>1196</v>
      </c>
      <c r="Q316" s="5"/>
      <c r="R316" s="5" t="s">
        <v>87</v>
      </c>
      <c r="S316" s="6">
        <v>43966</v>
      </c>
      <c r="T316" s="6">
        <v>43980</v>
      </c>
      <c r="U316" s="5"/>
      <c r="V316" s="6">
        <v>43985</v>
      </c>
      <c r="W316" s="6">
        <v>43980</v>
      </c>
      <c r="X316" s="5"/>
      <c r="Y316" s="5" t="s">
        <v>66</v>
      </c>
      <c r="Z316" s="5" t="s">
        <v>238</v>
      </c>
      <c r="AA316" s="5" t="s">
        <v>1481</v>
      </c>
      <c r="AB316" s="5" t="s">
        <v>68</v>
      </c>
      <c r="AC316" s="5" t="s">
        <v>67</v>
      </c>
      <c r="AD316" s="5" t="s">
        <v>67</v>
      </c>
      <c r="AE316" s="5" t="s">
        <v>162</v>
      </c>
      <c r="AF316" s="5" t="s">
        <v>70</v>
      </c>
      <c r="AG316" s="5" t="s">
        <v>71</v>
      </c>
      <c r="AH316" s="5" t="s">
        <v>72</v>
      </c>
      <c r="AI316" s="5" t="s">
        <v>73</v>
      </c>
      <c r="AJ316" s="5">
        <v>0</v>
      </c>
      <c r="AK316" s="5">
        <v>0</v>
      </c>
      <c r="AL316" s="5">
        <v>0</v>
      </c>
      <c r="AM316" s="5">
        <v>0</v>
      </c>
      <c r="AN316" s="5">
        <v>20</v>
      </c>
      <c r="AO316" s="5">
        <v>9560</v>
      </c>
      <c r="AP316" s="5">
        <v>15.96</v>
      </c>
      <c r="AQ316" s="5" t="s">
        <v>713</v>
      </c>
      <c r="AR316" s="5" t="s">
        <v>1104</v>
      </c>
      <c r="AS316" s="5"/>
      <c r="AT316" s="5"/>
      <c r="AU316" s="5"/>
      <c r="AV316" s="5">
        <v>-1</v>
      </c>
      <c r="AW316" s="5" t="s">
        <v>1482</v>
      </c>
    </row>
    <row r="317" spans="1:49" x14ac:dyDescent="0.55000000000000004">
      <c r="A317" s="5" t="str">
        <f>HYPERLINK("https://www.infodis.net/philips/net/Shipment/Details?InfodisNumber=4440802&amp;DomainCode=DAP", "4440802")</f>
        <v>4440802</v>
      </c>
      <c r="B317" s="5" t="s">
        <v>1483</v>
      </c>
      <c r="C317" s="5" t="s">
        <v>1150</v>
      </c>
      <c r="D317" s="5" t="s">
        <v>1151</v>
      </c>
      <c r="E317" s="5" t="s">
        <v>1150</v>
      </c>
      <c r="F317" s="5" t="s">
        <v>256</v>
      </c>
      <c r="G317" s="5" t="s">
        <v>1152</v>
      </c>
      <c r="H317" s="5" t="s">
        <v>79</v>
      </c>
      <c r="I317" s="5" t="s">
        <v>587</v>
      </c>
      <c r="J317" s="5" t="s">
        <v>258</v>
      </c>
      <c r="K317" s="5" t="s">
        <v>259</v>
      </c>
      <c r="L317" s="5" t="s">
        <v>260</v>
      </c>
      <c r="M317" s="5" t="s">
        <v>261</v>
      </c>
      <c r="N317" s="5"/>
      <c r="O317" s="5"/>
      <c r="P317" s="5" t="s">
        <v>1153</v>
      </c>
      <c r="Q317" s="5" t="s">
        <v>1484</v>
      </c>
      <c r="R317" s="5" t="s">
        <v>262</v>
      </c>
      <c r="S317" s="6">
        <v>43966</v>
      </c>
      <c r="T317" s="6">
        <v>43969</v>
      </c>
      <c r="U317" s="5"/>
      <c r="V317" s="6">
        <v>43974</v>
      </c>
      <c r="W317" s="6">
        <v>43970</v>
      </c>
      <c r="X317" s="6">
        <v>44025</v>
      </c>
      <c r="Y317" s="5" t="s">
        <v>857</v>
      </c>
      <c r="Z317" s="5" t="s">
        <v>857</v>
      </c>
      <c r="AA317" s="5" t="s">
        <v>857</v>
      </c>
      <c r="AB317" s="5" t="s">
        <v>67</v>
      </c>
      <c r="AC317" s="5" t="s">
        <v>67</v>
      </c>
      <c r="AD317" s="5" t="s">
        <v>67</v>
      </c>
      <c r="AE317" s="5" t="s">
        <v>162</v>
      </c>
      <c r="AF317" s="5" t="s">
        <v>70</v>
      </c>
      <c r="AG317" s="5" t="s">
        <v>71</v>
      </c>
      <c r="AH317" s="5" t="s">
        <v>72</v>
      </c>
      <c r="AI317" s="5" t="s">
        <v>73</v>
      </c>
      <c r="AJ317" s="5">
        <v>0</v>
      </c>
      <c r="AK317" s="5">
        <v>0</v>
      </c>
      <c r="AL317" s="5">
        <v>0</v>
      </c>
      <c r="AM317" s="5">
        <v>0</v>
      </c>
      <c r="AN317" s="5">
        <v>3</v>
      </c>
      <c r="AO317" s="5">
        <v>369.69</v>
      </c>
      <c r="AP317" s="5">
        <v>5.33</v>
      </c>
      <c r="AQ317" s="5" t="s">
        <v>713</v>
      </c>
      <c r="AR317" s="5" t="s">
        <v>1104</v>
      </c>
      <c r="AS317" s="5"/>
      <c r="AT317" s="5"/>
      <c r="AU317" s="5"/>
      <c r="AV317" s="5">
        <v>-1</v>
      </c>
      <c r="AW317" s="5" t="s">
        <v>1110</v>
      </c>
    </row>
    <row r="318" spans="1:49" x14ac:dyDescent="0.55000000000000004">
      <c r="A318" s="5" t="str">
        <f>HYPERLINK("https://www.infodis.net/philips/net/Shipment/Details?InfodisNumber=4342916&amp;DomainCode=DAP", "4342916")</f>
        <v>4342916</v>
      </c>
      <c r="B318" s="5" t="s">
        <v>1485</v>
      </c>
      <c r="C318" s="5" t="s">
        <v>1486</v>
      </c>
      <c r="D318" s="5" t="s">
        <v>1487</v>
      </c>
      <c r="E318" s="5" t="s">
        <v>458</v>
      </c>
      <c r="F318" s="5" t="s">
        <v>915</v>
      </c>
      <c r="G318" s="5" t="s">
        <v>1488</v>
      </c>
      <c r="H318" s="5" t="s">
        <v>79</v>
      </c>
      <c r="I318" s="5" t="s">
        <v>282</v>
      </c>
      <c r="J318" s="5" t="s">
        <v>917</v>
      </c>
      <c r="K318" s="5" t="s">
        <v>918</v>
      </c>
      <c r="L318" s="5" t="s">
        <v>881</v>
      </c>
      <c r="M318" s="5" t="s">
        <v>1489</v>
      </c>
      <c r="N318" s="5" t="s">
        <v>1490</v>
      </c>
      <c r="O318" s="5" t="s">
        <v>1491</v>
      </c>
      <c r="P318" s="5" t="s">
        <v>1492</v>
      </c>
      <c r="Q318" s="5"/>
      <c r="R318" s="5" t="s">
        <v>888</v>
      </c>
      <c r="S318" s="6">
        <v>43788</v>
      </c>
      <c r="T318" s="6">
        <v>44161</v>
      </c>
      <c r="U318" s="6">
        <v>43823</v>
      </c>
      <c r="V318" s="6">
        <v>44166</v>
      </c>
      <c r="W318" s="6">
        <v>43830</v>
      </c>
      <c r="X318" s="5"/>
      <c r="Y318" s="5" t="s">
        <v>1182</v>
      </c>
      <c r="Z318" s="5" t="s">
        <v>1182</v>
      </c>
      <c r="AA318" s="5" t="s">
        <v>1182</v>
      </c>
      <c r="AB318" s="5" t="s">
        <v>67</v>
      </c>
      <c r="AC318" s="5" t="s">
        <v>67</v>
      </c>
      <c r="AD318" s="5" t="s">
        <v>67</v>
      </c>
      <c r="AE318" s="5" t="s">
        <v>90</v>
      </c>
      <c r="AF318" s="5" t="s">
        <v>70</v>
      </c>
      <c r="AG318" s="5" t="s">
        <v>71</v>
      </c>
      <c r="AH318" s="5" t="s">
        <v>72</v>
      </c>
      <c r="AI318" s="5" t="s">
        <v>73</v>
      </c>
      <c r="AJ318" s="5">
        <v>0</v>
      </c>
      <c r="AK318" s="5">
        <v>0</v>
      </c>
      <c r="AL318" s="5">
        <v>0</v>
      </c>
      <c r="AM318" s="5">
        <v>0</v>
      </c>
      <c r="AN318" s="5">
        <v>20</v>
      </c>
      <c r="AO318" s="5">
        <v>2797.06</v>
      </c>
      <c r="AP318" s="5">
        <v>45.228999999999999</v>
      </c>
      <c r="AQ318" s="5" t="s">
        <v>713</v>
      </c>
      <c r="AR318" s="5" t="s">
        <v>1104</v>
      </c>
      <c r="AS318" s="5"/>
      <c r="AT318" s="6">
        <v>43846</v>
      </c>
      <c r="AU318" s="5"/>
      <c r="AV318" s="5">
        <v>316</v>
      </c>
      <c r="AW318" s="5" t="s">
        <v>1493</v>
      </c>
    </row>
    <row r="319" spans="1:49" x14ac:dyDescent="0.55000000000000004">
      <c r="A319" s="5" t="str">
        <f>HYPERLINK("https://www.infodis.net/philips/net/Shipment/Details?InfodisNumber=6311232&amp;DomainCode=PHILIPSR1", "6311232")</f>
        <v>6311232</v>
      </c>
      <c r="B319" s="5" t="s">
        <v>1494</v>
      </c>
      <c r="C319" s="5" t="s">
        <v>607</v>
      </c>
      <c r="D319" s="5" t="s">
        <v>608</v>
      </c>
      <c r="E319" s="5" t="s">
        <v>458</v>
      </c>
      <c r="F319" s="5" t="s">
        <v>1495</v>
      </c>
      <c r="G319" s="5" t="s">
        <v>610</v>
      </c>
      <c r="H319" s="5" t="s">
        <v>180</v>
      </c>
      <c r="I319" s="5" t="s">
        <v>652</v>
      </c>
      <c r="J319" s="5" t="s">
        <v>1201</v>
      </c>
      <c r="K319" s="5" t="s">
        <v>1414</v>
      </c>
      <c r="L319" s="5" t="s">
        <v>1203</v>
      </c>
      <c r="M319" s="5" t="s">
        <v>60</v>
      </c>
      <c r="N319" s="5" t="s">
        <v>1496</v>
      </c>
      <c r="O319" s="5"/>
      <c r="P319" s="5" t="s">
        <v>613</v>
      </c>
      <c r="Q319" s="5"/>
      <c r="R319" s="5" t="s">
        <v>1497</v>
      </c>
      <c r="S319" s="6">
        <v>43901</v>
      </c>
      <c r="T319" s="6">
        <v>43921</v>
      </c>
      <c r="U319" s="6">
        <v>43921</v>
      </c>
      <c r="V319" s="6">
        <v>43943</v>
      </c>
      <c r="W319" s="6">
        <v>43942</v>
      </c>
      <c r="X319" s="6">
        <v>43970</v>
      </c>
      <c r="Y319" s="5" t="s">
        <v>649</v>
      </c>
      <c r="Z319" s="5" t="s">
        <v>649</v>
      </c>
      <c r="AA319" s="5" t="s">
        <v>649</v>
      </c>
      <c r="AB319" s="5" t="s">
        <v>67</v>
      </c>
      <c r="AC319" s="5" t="s">
        <v>67</v>
      </c>
      <c r="AD319" s="5" t="s">
        <v>67</v>
      </c>
      <c r="AE319" s="5" t="s">
        <v>69</v>
      </c>
      <c r="AF319" s="5" t="s">
        <v>70</v>
      </c>
      <c r="AG319" s="5" t="s">
        <v>71</v>
      </c>
      <c r="AH319" s="5" t="s">
        <v>72</v>
      </c>
      <c r="AI319" s="5" t="s">
        <v>252</v>
      </c>
      <c r="AJ319" s="5">
        <v>0</v>
      </c>
      <c r="AK319" s="5">
        <v>0</v>
      </c>
      <c r="AL319" s="5">
        <v>0</v>
      </c>
      <c r="AM319" s="5">
        <v>0</v>
      </c>
      <c r="AN319" s="5">
        <v>12</v>
      </c>
      <c r="AO319" s="5">
        <v>1762.21</v>
      </c>
      <c r="AP319" s="5">
        <v>12.926</v>
      </c>
      <c r="AQ319" s="5" t="s">
        <v>713</v>
      </c>
      <c r="AR319" s="5" t="s">
        <v>1104</v>
      </c>
      <c r="AS319" s="5"/>
      <c r="AT319" s="5"/>
      <c r="AU319" s="5"/>
      <c r="AV319" s="5">
        <v>-1</v>
      </c>
      <c r="AW319" s="5" t="s">
        <v>1498</v>
      </c>
    </row>
    <row r="320" spans="1:49" x14ac:dyDescent="0.55000000000000004">
      <c r="A320" s="5" t="str">
        <f>HYPERLINK("https://www.infodis.net/philips/net/Shipment/Details?InfodisNumber=5574176&amp;DomainCode=PHILIPSR1", "5574176")</f>
        <v>5574176</v>
      </c>
      <c r="B320" s="5" t="s">
        <v>1499</v>
      </c>
      <c r="C320" s="5" t="s">
        <v>607</v>
      </c>
      <c r="D320" s="5" t="s">
        <v>608</v>
      </c>
      <c r="E320" s="5" t="s">
        <v>458</v>
      </c>
      <c r="F320" s="5" t="s">
        <v>1500</v>
      </c>
      <c r="G320" s="5" t="s">
        <v>610</v>
      </c>
      <c r="H320" s="5" t="s">
        <v>180</v>
      </c>
      <c r="I320" s="5" t="s">
        <v>194</v>
      </c>
      <c r="J320" s="5" t="s">
        <v>130</v>
      </c>
      <c r="K320" s="5" t="s">
        <v>1501</v>
      </c>
      <c r="L320" s="5" t="s">
        <v>132</v>
      </c>
      <c r="M320" s="5" t="s">
        <v>60</v>
      </c>
      <c r="N320" s="5" t="s">
        <v>1502</v>
      </c>
      <c r="O320" s="5"/>
      <c r="P320" s="5" t="s">
        <v>613</v>
      </c>
      <c r="Q320" s="5"/>
      <c r="R320" s="5" t="s">
        <v>1503</v>
      </c>
      <c r="S320" s="6">
        <v>43641</v>
      </c>
      <c r="T320" s="6">
        <v>43641</v>
      </c>
      <c r="U320" s="6">
        <v>43644</v>
      </c>
      <c r="V320" s="6">
        <v>43646</v>
      </c>
      <c r="W320" s="6">
        <v>43673</v>
      </c>
      <c r="X320" s="5"/>
      <c r="Y320" s="5" t="s">
        <v>649</v>
      </c>
      <c r="Z320" s="5" t="s">
        <v>649</v>
      </c>
      <c r="AA320" s="5" t="s">
        <v>649</v>
      </c>
      <c r="AB320" s="5" t="s">
        <v>67</v>
      </c>
      <c r="AC320" s="5" t="s">
        <v>67</v>
      </c>
      <c r="AD320" s="5" t="s">
        <v>67</v>
      </c>
      <c r="AE320" s="5" t="s">
        <v>162</v>
      </c>
      <c r="AF320" s="5" t="s">
        <v>70</v>
      </c>
      <c r="AG320" s="5" t="s">
        <v>71</v>
      </c>
      <c r="AH320" s="5" t="s">
        <v>72</v>
      </c>
      <c r="AI320" s="5" t="s">
        <v>252</v>
      </c>
      <c r="AJ320" s="5">
        <v>0</v>
      </c>
      <c r="AK320" s="5">
        <v>0</v>
      </c>
      <c r="AL320" s="5">
        <v>0</v>
      </c>
      <c r="AM320" s="5">
        <v>0</v>
      </c>
      <c r="AN320" s="5">
        <v>10</v>
      </c>
      <c r="AO320" s="5">
        <v>2117.8200000000002</v>
      </c>
      <c r="AP320" s="5">
        <v>15.832000000000001</v>
      </c>
      <c r="AQ320" s="5" t="s">
        <v>713</v>
      </c>
      <c r="AR320" s="5" t="s">
        <v>1104</v>
      </c>
      <c r="AS320" s="5" t="s">
        <v>713</v>
      </c>
      <c r="AT320" s="6">
        <v>43790</v>
      </c>
      <c r="AU320" s="5" t="s">
        <v>1173</v>
      </c>
      <c r="AV320" s="5">
        <v>372</v>
      </c>
      <c r="AW320" s="5" t="s">
        <v>1448</v>
      </c>
    </row>
    <row r="321" spans="1:49" x14ac:dyDescent="0.55000000000000004">
      <c r="A321" s="5" t="str">
        <f>HYPERLINK("https://www.infodis.net/philips/net/Shipment/Details?InfodisNumber=4400897&amp;DomainCode=DAP", "4400897")</f>
        <v>4400897</v>
      </c>
      <c r="B321" s="5" t="s">
        <v>1504</v>
      </c>
      <c r="C321" s="5" t="s">
        <v>1107</v>
      </c>
      <c r="D321" s="5" t="s">
        <v>1108</v>
      </c>
      <c r="E321" s="5" t="s">
        <v>1107</v>
      </c>
      <c r="F321" s="5" t="s">
        <v>1109</v>
      </c>
      <c r="G321" s="5" t="s">
        <v>855</v>
      </c>
      <c r="H321" s="5" t="s">
        <v>267</v>
      </c>
      <c r="I321" s="5" t="s">
        <v>268</v>
      </c>
      <c r="J321" s="5" t="s">
        <v>382</v>
      </c>
      <c r="K321" s="5" t="s">
        <v>383</v>
      </c>
      <c r="L321" s="5" t="s">
        <v>384</v>
      </c>
      <c r="M321" s="5" t="s">
        <v>261</v>
      </c>
      <c r="N321" s="5"/>
      <c r="O321" s="5"/>
      <c r="P321" s="5"/>
      <c r="Q321" s="5"/>
      <c r="R321" s="5" t="s">
        <v>389</v>
      </c>
      <c r="S321" s="6">
        <v>43887</v>
      </c>
      <c r="T321" s="6">
        <v>43889</v>
      </c>
      <c r="U321" s="5"/>
      <c r="V321" s="6">
        <v>43894</v>
      </c>
      <c r="W321" s="6">
        <v>43894</v>
      </c>
      <c r="X321" s="5"/>
      <c r="Y321" s="5" t="s">
        <v>66</v>
      </c>
      <c r="Z321" s="5" t="s">
        <v>138</v>
      </c>
      <c r="AA321" s="5" t="s">
        <v>66</v>
      </c>
      <c r="AB321" s="5" t="s">
        <v>68</v>
      </c>
      <c r="AC321" s="5" t="s">
        <v>67</v>
      </c>
      <c r="AD321" s="5" t="s">
        <v>68</v>
      </c>
      <c r="AE321" s="5" t="s">
        <v>162</v>
      </c>
      <c r="AF321" s="5" t="s">
        <v>70</v>
      </c>
      <c r="AG321" s="5" t="s">
        <v>71</v>
      </c>
      <c r="AH321" s="5" t="s">
        <v>72</v>
      </c>
      <c r="AI321" s="5" t="s">
        <v>73</v>
      </c>
      <c r="AJ321" s="5">
        <v>0</v>
      </c>
      <c r="AK321" s="5">
        <v>0</v>
      </c>
      <c r="AL321" s="5">
        <v>0</v>
      </c>
      <c r="AM321" s="5">
        <v>0</v>
      </c>
      <c r="AN321" s="5">
        <v>47680</v>
      </c>
      <c r="AO321" s="5">
        <v>2042</v>
      </c>
      <c r="AP321" s="5">
        <v>11.808</v>
      </c>
      <c r="AQ321" s="5" t="s">
        <v>713</v>
      </c>
      <c r="AR321" s="5" t="s">
        <v>1104</v>
      </c>
      <c r="AS321" s="5"/>
      <c r="AT321" s="5"/>
      <c r="AU321" s="5"/>
      <c r="AV321" s="5">
        <v>-1</v>
      </c>
      <c r="AW321" s="5" t="s">
        <v>1505</v>
      </c>
    </row>
    <row r="322" spans="1:49" x14ac:dyDescent="0.55000000000000004">
      <c r="A322" s="5" t="str">
        <f>HYPERLINK("https://www.infodis.net/philips/net/Shipment/Details?InfodisNumber=6308283&amp;DomainCode=PHILIPSR1", "6308283")</f>
        <v>6308283</v>
      </c>
      <c r="B322" s="5" t="s">
        <v>1506</v>
      </c>
      <c r="C322" s="5" t="s">
        <v>1065</v>
      </c>
      <c r="D322" s="5" t="s">
        <v>1066</v>
      </c>
      <c r="E322" s="5" t="s">
        <v>1067</v>
      </c>
      <c r="F322" s="5" t="s">
        <v>1507</v>
      </c>
      <c r="G322" s="5" t="s">
        <v>1508</v>
      </c>
      <c r="H322" s="5" t="s">
        <v>180</v>
      </c>
      <c r="I322" s="5" t="s">
        <v>1070</v>
      </c>
      <c r="J322" s="5" t="s">
        <v>1036</v>
      </c>
      <c r="K322" s="5" t="s">
        <v>1509</v>
      </c>
      <c r="L322" s="5" t="s">
        <v>132</v>
      </c>
      <c r="M322" s="5" t="s">
        <v>60</v>
      </c>
      <c r="N322" s="5"/>
      <c r="O322" s="5"/>
      <c r="P322" s="5" t="s">
        <v>1510</v>
      </c>
      <c r="Q322" s="5"/>
      <c r="R322" s="5" t="s">
        <v>1511</v>
      </c>
      <c r="S322" s="6">
        <v>43900</v>
      </c>
      <c r="T322" s="6">
        <v>43931</v>
      </c>
      <c r="U322" s="6">
        <v>43930</v>
      </c>
      <c r="V322" s="6">
        <v>43940</v>
      </c>
      <c r="W322" s="6">
        <v>43942</v>
      </c>
      <c r="X322" s="6">
        <v>43990</v>
      </c>
      <c r="Y322" s="5" t="s">
        <v>649</v>
      </c>
      <c r="Z322" s="5" t="s">
        <v>649</v>
      </c>
      <c r="AA322" s="5" t="s">
        <v>649</v>
      </c>
      <c r="AB322" s="5" t="s">
        <v>67</v>
      </c>
      <c r="AC322" s="5" t="s">
        <v>67</v>
      </c>
      <c r="AD322" s="5" t="s">
        <v>67</v>
      </c>
      <c r="AE322" s="5" t="s">
        <v>69</v>
      </c>
      <c r="AF322" s="5" t="s">
        <v>70</v>
      </c>
      <c r="AG322" s="5" t="s">
        <v>71</v>
      </c>
      <c r="AH322" s="5" t="s">
        <v>72</v>
      </c>
      <c r="AI322" s="5" t="s">
        <v>252</v>
      </c>
      <c r="AJ322" s="5">
        <v>0</v>
      </c>
      <c r="AK322" s="5">
        <v>0</v>
      </c>
      <c r="AL322" s="5">
        <v>0</v>
      </c>
      <c r="AM322" s="5">
        <v>0</v>
      </c>
      <c r="AN322" s="5">
        <v>22</v>
      </c>
      <c r="AO322" s="5">
        <v>6354.5569999999998</v>
      </c>
      <c r="AP322" s="5">
        <v>48.476999999999997</v>
      </c>
      <c r="AQ322" s="5" t="s">
        <v>713</v>
      </c>
      <c r="AR322" s="5" t="s">
        <v>1104</v>
      </c>
      <c r="AS322" s="5"/>
      <c r="AT322" s="5"/>
      <c r="AU322" s="5"/>
      <c r="AV322" s="5">
        <v>-1</v>
      </c>
      <c r="AW322" s="5" t="s">
        <v>1498</v>
      </c>
    </row>
    <row r="323" spans="1:49" x14ac:dyDescent="0.55000000000000004">
      <c r="A323" s="5" t="str">
        <f>HYPERLINK("https://www.infodis.net/philips/net/Shipment/Details?InfodisNumber=4439277&amp;DomainCode=DAP", "4439277")</f>
        <v>4439277</v>
      </c>
      <c r="B323" s="5" t="s">
        <v>1512</v>
      </c>
      <c r="C323" s="5" t="s">
        <v>1193</v>
      </c>
      <c r="D323" s="5" t="s">
        <v>1194</v>
      </c>
      <c r="E323" s="5" t="s">
        <v>1193</v>
      </c>
      <c r="F323" s="5" t="s">
        <v>77</v>
      </c>
      <c r="G323" s="5" t="s">
        <v>945</v>
      </c>
      <c r="H323" s="5" t="s">
        <v>938</v>
      </c>
      <c r="I323" s="5" t="s">
        <v>293</v>
      </c>
      <c r="J323" s="5" t="s">
        <v>81</v>
      </c>
      <c r="K323" s="5" t="s">
        <v>82</v>
      </c>
      <c r="L323" s="5" t="s">
        <v>83</v>
      </c>
      <c r="M323" s="5" t="s">
        <v>60</v>
      </c>
      <c r="N323" s="5" t="s">
        <v>1513</v>
      </c>
      <c r="O323" s="5"/>
      <c r="P323" s="5" t="s">
        <v>1196</v>
      </c>
      <c r="Q323" s="5"/>
      <c r="R323" s="5" t="s">
        <v>87</v>
      </c>
      <c r="S323" s="6">
        <v>43964</v>
      </c>
      <c r="T323" s="6">
        <v>43987</v>
      </c>
      <c r="U323" s="5"/>
      <c r="V323" s="6">
        <v>43992</v>
      </c>
      <c r="W323" s="5"/>
      <c r="X323" s="6">
        <v>44044</v>
      </c>
      <c r="Y323" s="5" t="s">
        <v>66</v>
      </c>
      <c r="Z323" s="5" t="s">
        <v>66</v>
      </c>
      <c r="AA323" s="5" t="s">
        <v>66</v>
      </c>
      <c r="AB323" s="5" t="s">
        <v>68</v>
      </c>
      <c r="AC323" s="5" t="s">
        <v>67</v>
      </c>
      <c r="AD323" s="5" t="s">
        <v>67</v>
      </c>
      <c r="AE323" s="5" t="s">
        <v>162</v>
      </c>
      <c r="AF323" s="5" t="s">
        <v>70</v>
      </c>
      <c r="AG323" s="5" t="s">
        <v>71</v>
      </c>
      <c r="AH323" s="5" t="s">
        <v>72</v>
      </c>
      <c r="AI323" s="5" t="s">
        <v>73</v>
      </c>
      <c r="AJ323" s="5">
        <v>0</v>
      </c>
      <c r="AK323" s="5">
        <v>0</v>
      </c>
      <c r="AL323" s="5">
        <v>0</v>
      </c>
      <c r="AM323" s="5">
        <v>0</v>
      </c>
      <c r="AN323" s="5">
        <v>20</v>
      </c>
      <c r="AO323" s="5">
        <v>9560</v>
      </c>
      <c r="AP323" s="5">
        <v>15.96</v>
      </c>
      <c r="AQ323" s="5" t="s">
        <v>713</v>
      </c>
      <c r="AR323" s="5" t="s">
        <v>1104</v>
      </c>
      <c r="AS323" s="5" t="s">
        <v>713</v>
      </c>
      <c r="AT323" s="6">
        <v>43965</v>
      </c>
      <c r="AU323" s="5" t="s">
        <v>1514</v>
      </c>
      <c r="AV323" s="5">
        <v>197</v>
      </c>
      <c r="AW323" s="5" t="s">
        <v>1515</v>
      </c>
    </row>
    <row r="324" spans="1:49" x14ac:dyDescent="0.55000000000000004">
      <c r="A324" s="5" t="str">
        <f>HYPERLINK("https://www.infodis.net/philips/net/Shipment/Details?InfodisNumber=4504887&amp;DomainCode=DAP", "4504887")</f>
        <v>4504887</v>
      </c>
      <c r="B324" s="5" t="s">
        <v>1516</v>
      </c>
      <c r="C324" s="5" t="s">
        <v>278</v>
      </c>
      <c r="D324" s="5" t="s">
        <v>279</v>
      </c>
      <c r="E324" s="5" t="s">
        <v>278</v>
      </c>
      <c r="F324" s="5" t="s">
        <v>256</v>
      </c>
      <c r="G324" s="5" t="s">
        <v>281</v>
      </c>
      <c r="H324" s="5" t="s">
        <v>79</v>
      </c>
      <c r="I324" s="5" t="s">
        <v>282</v>
      </c>
      <c r="J324" s="5" t="s">
        <v>258</v>
      </c>
      <c r="K324" s="5" t="s">
        <v>259</v>
      </c>
      <c r="L324" s="5" t="s">
        <v>260</v>
      </c>
      <c r="M324" s="5" t="s">
        <v>261</v>
      </c>
      <c r="N324" s="5" t="s">
        <v>1517</v>
      </c>
      <c r="O324" s="5" t="s">
        <v>1518</v>
      </c>
      <c r="P324" s="5" t="s">
        <v>286</v>
      </c>
      <c r="Q324" s="5"/>
      <c r="R324" s="5" t="s">
        <v>262</v>
      </c>
      <c r="S324" s="6">
        <v>44077</v>
      </c>
      <c r="T324" s="6">
        <v>44077</v>
      </c>
      <c r="U324" s="5"/>
      <c r="V324" s="6">
        <v>44082</v>
      </c>
      <c r="W324" s="6">
        <v>44084</v>
      </c>
      <c r="X324" s="6">
        <v>44134</v>
      </c>
      <c r="Y324" s="5" t="s">
        <v>66</v>
      </c>
      <c r="Z324" s="5" t="s">
        <v>65</v>
      </c>
      <c r="AA324" s="5" t="s">
        <v>65</v>
      </c>
      <c r="AB324" s="5" t="s">
        <v>68</v>
      </c>
      <c r="AC324" s="5" t="s">
        <v>67</v>
      </c>
      <c r="AD324" s="5" t="s">
        <v>67</v>
      </c>
      <c r="AE324" s="5" t="s">
        <v>90</v>
      </c>
      <c r="AF324" s="5" t="s">
        <v>70</v>
      </c>
      <c r="AG324" s="5" t="s">
        <v>71</v>
      </c>
      <c r="AH324" s="5" t="s">
        <v>72</v>
      </c>
      <c r="AI324" s="5" t="s">
        <v>73</v>
      </c>
      <c r="AJ324" s="5">
        <v>0</v>
      </c>
      <c r="AK324" s="5">
        <v>0</v>
      </c>
      <c r="AL324" s="5">
        <v>0</v>
      </c>
      <c r="AM324" s="5">
        <v>0</v>
      </c>
      <c r="AN324" s="5">
        <v>40</v>
      </c>
      <c r="AO324" s="5">
        <v>6249.6</v>
      </c>
      <c r="AP324" s="5">
        <v>40</v>
      </c>
      <c r="AQ324" s="5" t="s">
        <v>713</v>
      </c>
      <c r="AR324" s="5" t="s">
        <v>1104</v>
      </c>
      <c r="AS324" s="5"/>
      <c r="AT324" s="5"/>
      <c r="AU324" s="5"/>
      <c r="AV324" s="5">
        <v>-1</v>
      </c>
      <c r="AW324" s="5" t="s">
        <v>1110</v>
      </c>
    </row>
    <row r="325" spans="1:49" x14ac:dyDescent="0.55000000000000004">
      <c r="A325" s="5" t="str">
        <f>HYPERLINK("https://www.infodis.net/philips/net/Shipment/Details?InfodisNumber=4438724&amp;DomainCode=DAP", "4438724")</f>
        <v>4438724</v>
      </c>
      <c r="B325" s="5" t="s">
        <v>1519</v>
      </c>
      <c r="C325" s="5" t="s">
        <v>1193</v>
      </c>
      <c r="D325" s="5" t="s">
        <v>1194</v>
      </c>
      <c r="E325" s="5" t="s">
        <v>1193</v>
      </c>
      <c r="F325" s="5" t="s">
        <v>77</v>
      </c>
      <c r="G325" s="5" t="s">
        <v>945</v>
      </c>
      <c r="H325" s="5" t="s">
        <v>938</v>
      </c>
      <c r="I325" s="5" t="s">
        <v>293</v>
      </c>
      <c r="J325" s="5" t="s">
        <v>81</v>
      </c>
      <c r="K325" s="5" t="s">
        <v>82</v>
      </c>
      <c r="L325" s="5" t="s">
        <v>83</v>
      </c>
      <c r="M325" s="5" t="s">
        <v>60</v>
      </c>
      <c r="N325" s="5" t="s">
        <v>1520</v>
      </c>
      <c r="O325" s="5"/>
      <c r="P325" s="5" t="s">
        <v>1196</v>
      </c>
      <c r="Q325" s="5"/>
      <c r="R325" s="5" t="s">
        <v>87</v>
      </c>
      <c r="S325" s="6">
        <v>43963</v>
      </c>
      <c r="T325" s="6">
        <v>43989</v>
      </c>
      <c r="U325" s="5"/>
      <c r="V325" s="6">
        <v>43994</v>
      </c>
      <c r="W325" s="5"/>
      <c r="X325" s="5"/>
      <c r="Y325" s="5" t="s">
        <v>66</v>
      </c>
      <c r="Z325" s="5" t="s">
        <v>66</v>
      </c>
      <c r="AA325" s="5" t="s">
        <v>66</v>
      </c>
      <c r="AB325" s="5" t="s">
        <v>68</v>
      </c>
      <c r="AC325" s="5" t="s">
        <v>67</v>
      </c>
      <c r="AD325" s="5" t="s">
        <v>67</v>
      </c>
      <c r="AE325" s="5" t="s">
        <v>90</v>
      </c>
      <c r="AF325" s="5" t="s">
        <v>70</v>
      </c>
      <c r="AG325" s="5" t="s">
        <v>71</v>
      </c>
      <c r="AH325" s="5" t="s">
        <v>72</v>
      </c>
      <c r="AI325" s="5" t="s">
        <v>73</v>
      </c>
      <c r="AJ325" s="5">
        <v>0</v>
      </c>
      <c r="AK325" s="5">
        <v>0</v>
      </c>
      <c r="AL325" s="5">
        <v>0</v>
      </c>
      <c r="AM325" s="5">
        <v>0</v>
      </c>
      <c r="AN325" s="5">
        <v>40</v>
      </c>
      <c r="AO325" s="5">
        <v>19120</v>
      </c>
      <c r="AP325" s="5">
        <v>31.92</v>
      </c>
      <c r="AQ325" s="5" t="s">
        <v>713</v>
      </c>
      <c r="AR325" s="5" t="s">
        <v>1104</v>
      </c>
      <c r="AS325" s="5" t="s">
        <v>713</v>
      </c>
      <c r="AT325" s="6">
        <v>43964</v>
      </c>
      <c r="AU325" s="5" t="s">
        <v>1521</v>
      </c>
      <c r="AV325" s="5">
        <v>198</v>
      </c>
      <c r="AW325" s="5" t="s">
        <v>1522</v>
      </c>
    </row>
    <row r="326" spans="1:49" x14ac:dyDescent="0.55000000000000004">
      <c r="A326" s="5" t="str">
        <f>HYPERLINK("https://www.infodis.net/philips/net/Shipment/Details?InfodisNumber=5842278&amp;DomainCode=PHILIPSR1", "5842278")</f>
        <v>5842278</v>
      </c>
      <c r="B326" s="5" t="s">
        <v>1523</v>
      </c>
      <c r="C326" s="5" t="s">
        <v>607</v>
      </c>
      <c r="D326" s="5" t="s">
        <v>608</v>
      </c>
      <c r="E326" s="5" t="s">
        <v>458</v>
      </c>
      <c r="F326" s="5" t="s">
        <v>1524</v>
      </c>
      <c r="G326" s="5" t="s">
        <v>610</v>
      </c>
      <c r="H326" s="5" t="s">
        <v>180</v>
      </c>
      <c r="I326" s="5" t="s">
        <v>194</v>
      </c>
      <c r="J326" s="5" t="s">
        <v>130</v>
      </c>
      <c r="K326" s="5" t="s">
        <v>1380</v>
      </c>
      <c r="L326" s="5" t="s">
        <v>132</v>
      </c>
      <c r="M326" s="5" t="s">
        <v>60</v>
      </c>
      <c r="N326" s="5"/>
      <c r="O326" s="5"/>
      <c r="P326" s="5" t="s">
        <v>613</v>
      </c>
      <c r="Q326" s="5"/>
      <c r="R326" s="5" t="s">
        <v>1525</v>
      </c>
      <c r="S326" s="6">
        <v>43739</v>
      </c>
      <c r="T326" s="6">
        <v>43738</v>
      </c>
      <c r="U326" s="6">
        <v>43748</v>
      </c>
      <c r="V326" s="6">
        <v>43761</v>
      </c>
      <c r="W326" s="6">
        <v>43755</v>
      </c>
      <c r="X326" s="6">
        <v>43809</v>
      </c>
      <c r="Y326" s="5" t="s">
        <v>649</v>
      </c>
      <c r="Z326" s="5" t="s">
        <v>649</v>
      </c>
      <c r="AA326" s="5" t="s">
        <v>649</v>
      </c>
      <c r="AB326" s="5" t="s">
        <v>67</v>
      </c>
      <c r="AC326" s="5" t="s">
        <v>67</v>
      </c>
      <c r="AD326" s="5" t="s">
        <v>67</v>
      </c>
      <c r="AE326" s="5" t="s">
        <v>90</v>
      </c>
      <c r="AF326" s="5" t="s">
        <v>70</v>
      </c>
      <c r="AG326" s="5" t="s">
        <v>71</v>
      </c>
      <c r="AH326" s="5" t="s">
        <v>72</v>
      </c>
      <c r="AI326" s="5" t="s">
        <v>252</v>
      </c>
      <c r="AJ326" s="5">
        <v>0</v>
      </c>
      <c r="AK326" s="5">
        <v>0</v>
      </c>
      <c r="AL326" s="5">
        <v>0</v>
      </c>
      <c r="AM326" s="5">
        <v>0</v>
      </c>
      <c r="AN326" s="5">
        <v>20</v>
      </c>
      <c r="AO326" s="5">
        <v>4816.0280000000002</v>
      </c>
      <c r="AP326" s="5">
        <v>37.503</v>
      </c>
      <c r="AQ326" s="5" t="s">
        <v>713</v>
      </c>
      <c r="AR326" s="5" t="s">
        <v>1104</v>
      </c>
      <c r="AS326" s="5" t="s">
        <v>713</v>
      </c>
      <c r="AT326" s="6">
        <v>43790</v>
      </c>
      <c r="AU326" s="5" t="s">
        <v>1173</v>
      </c>
      <c r="AV326" s="5">
        <v>372</v>
      </c>
      <c r="AW326" s="5" t="s">
        <v>1174</v>
      </c>
    </row>
    <row r="327" spans="1:49" x14ac:dyDescent="0.55000000000000004">
      <c r="A327" s="5" t="str">
        <f>HYPERLINK("https://www.infodis.net/philips/net/Shipment/Details?InfodisNumber=5842269&amp;DomainCode=PHILIPSR1", "5842269")</f>
        <v>5842269</v>
      </c>
      <c r="B327" s="5" t="s">
        <v>1526</v>
      </c>
      <c r="C327" s="5" t="s">
        <v>607</v>
      </c>
      <c r="D327" s="5" t="s">
        <v>608</v>
      </c>
      <c r="E327" s="5" t="s">
        <v>458</v>
      </c>
      <c r="F327" s="5" t="s">
        <v>1527</v>
      </c>
      <c r="G327" s="5" t="s">
        <v>610</v>
      </c>
      <c r="H327" s="5" t="s">
        <v>180</v>
      </c>
      <c r="I327" s="5" t="s">
        <v>194</v>
      </c>
      <c r="J327" s="5" t="s">
        <v>130</v>
      </c>
      <c r="K327" s="5" t="s">
        <v>1528</v>
      </c>
      <c r="L327" s="5" t="s">
        <v>132</v>
      </c>
      <c r="M327" s="5" t="s">
        <v>60</v>
      </c>
      <c r="N327" s="5"/>
      <c r="O327" s="5"/>
      <c r="P327" s="5" t="s">
        <v>613</v>
      </c>
      <c r="Q327" s="5"/>
      <c r="R327" s="5" t="s">
        <v>1529</v>
      </c>
      <c r="S327" s="6">
        <v>43739</v>
      </c>
      <c r="T327" s="6">
        <v>43738</v>
      </c>
      <c r="U327" s="6">
        <v>43748</v>
      </c>
      <c r="V327" s="6">
        <v>43756</v>
      </c>
      <c r="W327" s="6">
        <v>43756</v>
      </c>
      <c r="X327" s="6">
        <v>43798</v>
      </c>
      <c r="Y327" s="5" t="s">
        <v>649</v>
      </c>
      <c r="Z327" s="5" t="s">
        <v>649</v>
      </c>
      <c r="AA327" s="5" t="s">
        <v>649</v>
      </c>
      <c r="AB327" s="5" t="s">
        <v>67</v>
      </c>
      <c r="AC327" s="5" t="s">
        <v>67</v>
      </c>
      <c r="AD327" s="5" t="s">
        <v>67</v>
      </c>
      <c r="AE327" s="5" t="s">
        <v>162</v>
      </c>
      <c r="AF327" s="5" t="s">
        <v>70</v>
      </c>
      <c r="AG327" s="5" t="s">
        <v>71</v>
      </c>
      <c r="AH327" s="5" t="s">
        <v>72</v>
      </c>
      <c r="AI327" s="5" t="s">
        <v>252</v>
      </c>
      <c r="AJ327" s="5">
        <v>0</v>
      </c>
      <c r="AK327" s="5">
        <v>0</v>
      </c>
      <c r="AL327" s="5">
        <v>0</v>
      </c>
      <c r="AM327" s="5">
        <v>0</v>
      </c>
      <c r="AN327" s="5">
        <v>9</v>
      </c>
      <c r="AO327" s="5">
        <v>2418.5500000000002</v>
      </c>
      <c r="AP327" s="5">
        <v>18.626000000000001</v>
      </c>
      <c r="AQ327" s="5" t="s">
        <v>713</v>
      </c>
      <c r="AR327" s="5" t="s">
        <v>1104</v>
      </c>
      <c r="AS327" s="5" t="s">
        <v>713</v>
      </c>
      <c r="AT327" s="6">
        <v>43790</v>
      </c>
      <c r="AU327" s="5" t="s">
        <v>1173</v>
      </c>
      <c r="AV327" s="5">
        <v>372</v>
      </c>
      <c r="AW327" s="5" t="s">
        <v>1174</v>
      </c>
    </row>
    <row r="328" spans="1:49" x14ac:dyDescent="0.55000000000000004">
      <c r="A328" s="5" t="str">
        <f>HYPERLINK("https://www.infodis.net/philips/net/Shipment/Details?InfodisNumber=5840764&amp;DomainCode=PHILIPSR1", "5840764")</f>
        <v>5840764</v>
      </c>
      <c r="B328" s="5" t="s">
        <v>1530</v>
      </c>
      <c r="C328" s="5" t="s">
        <v>1065</v>
      </c>
      <c r="D328" s="5" t="s">
        <v>1066</v>
      </c>
      <c r="E328" s="5" t="s">
        <v>1067</v>
      </c>
      <c r="F328" s="5" t="s">
        <v>1507</v>
      </c>
      <c r="G328" s="5" t="s">
        <v>1069</v>
      </c>
      <c r="H328" s="5" t="s">
        <v>180</v>
      </c>
      <c r="I328" s="5" t="s">
        <v>1070</v>
      </c>
      <c r="J328" s="5" t="s">
        <v>1036</v>
      </c>
      <c r="K328" s="5" t="s">
        <v>1509</v>
      </c>
      <c r="L328" s="5" t="s">
        <v>132</v>
      </c>
      <c r="M328" s="5" t="s">
        <v>84</v>
      </c>
      <c r="N328" s="5"/>
      <c r="O328" s="5"/>
      <c r="P328" s="5" t="s">
        <v>1072</v>
      </c>
      <c r="Q328" s="5"/>
      <c r="R328" s="5" t="s">
        <v>1511</v>
      </c>
      <c r="S328" s="6">
        <v>43738</v>
      </c>
      <c r="T328" s="6">
        <v>43738</v>
      </c>
      <c r="U328" s="6">
        <v>43754</v>
      </c>
      <c r="V328" s="6">
        <v>43756</v>
      </c>
      <c r="W328" s="6">
        <v>43759</v>
      </c>
      <c r="X328" s="6">
        <v>43819</v>
      </c>
      <c r="Y328" s="5" t="s">
        <v>649</v>
      </c>
      <c r="Z328" s="5" t="s">
        <v>649</v>
      </c>
      <c r="AA328" s="5" t="s">
        <v>649</v>
      </c>
      <c r="AB328" s="5" t="s">
        <v>67</v>
      </c>
      <c r="AC328" s="5" t="s">
        <v>67</v>
      </c>
      <c r="AD328" s="5" t="s">
        <v>67</v>
      </c>
      <c r="AE328" s="5" t="s">
        <v>162</v>
      </c>
      <c r="AF328" s="5" t="s">
        <v>70</v>
      </c>
      <c r="AG328" s="5" t="s">
        <v>71</v>
      </c>
      <c r="AH328" s="5" t="s">
        <v>72</v>
      </c>
      <c r="AI328" s="5" t="s">
        <v>252</v>
      </c>
      <c r="AJ328" s="5">
        <v>0</v>
      </c>
      <c r="AK328" s="5">
        <v>0</v>
      </c>
      <c r="AL328" s="5">
        <v>0</v>
      </c>
      <c r="AM328" s="5">
        <v>0</v>
      </c>
      <c r="AN328" s="5">
        <v>19</v>
      </c>
      <c r="AO328" s="5">
        <v>7008.46</v>
      </c>
      <c r="AP328" s="5">
        <v>1.5569999999999999</v>
      </c>
      <c r="AQ328" s="5" t="s">
        <v>713</v>
      </c>
      <c r="AR328" s="5" t="s">
        <v>1104</v>
      </c>
      <c r="AS328" s="5" t="s">
        <v>713</v>
      </c>
      <c r="AT328" s="6">
        <v>43789</v>
      </c>
      <c r="AU328" s="5" t="s">
        <v>1531</v>
      </c>
      <c r="AV328" s="5">
        <v>373</v>
      </c>
      <c r="AW328" s="5" t="s">
        <v>1532</v>
      </c>
    </row>
    <row r="329" spans="1:49" x14ac:dyDescent="0.55000000000000004">
      <c r="A329" s="5" t="str">
        <f>HYPERLINK("https://www.infodis.net/philips/net/Shipment/Details?InfodisNumber=6261205&amp;DomainCode=PHILIPSR1", "6261205")</f>
        <v>6261205</v>
      </c>
      <c r="B329" s="5" t="s">
        <v>1533</v>
      </c>
      <c r="C329" s="5" t="s">
        <v>993</v>
      </c>
      <c r="D329" s="5" t="s">
        <v>994</v>
      </c>
      <c r="E329" s="5" t="s">
        <v>458</v>
      </c>
      <c r="F329" s="5" t="s">
        <v>915</v>
      </c>
      <c r="G329" s="5" t="s">
        <v>1488</v>
      </c>
      <c r="H329" s="5" t="s">
        <v>79</v>
      </c>
      <c r="I329" s="5" t="s">
        <v>282</v>
      </c>
      <c r="J329" s="5" t="s">
        <v>917</v>
      </c>
      <c r="K329" s="5" t="s">
        <v>918</v>
      </c>
      <c r="L329" s="5" t="s">
        <v>881</v>
      </c>
      <c r="M329" s="5" t="s">
        <v>60</v>
      </c>
      <c r="N329" s="5" t="s">
        <v>1534</v>
      </c>
      <c r="O329" s="5" t="s">
        <v>1535</v>
      </c>
      <c r="P329" s="5" t="s">
        <v>282</v>
      </c>
      <c r="Q329" s="5"/>
      <c r="R329" s="5" t="s">
        <v>888</v>
      </c>
      <c r="S329" s="6">
        <v>43886</v>
      </c>
      <c r="T329" s="6">
        <v>43886</v>
      </c>
      <c r="U329" s="6">
        <v>43887</v>
      </c>
      <c r="V329" s="6">
        <v>43892</v>
      </c>
      <c r="W329" s="6">
        <v>43889</v>
      </c>
      <c r="X329" s="5"/>
      <c r="Y329" s="5" t="s">
        <v>649</v>
      </c>
      <c r="Z329" s="5" t="s">
        <v>649</v>
      </c>
      <c r="AA329" s="5" t="s">
        <v>649</v>
      </c>
      <c r="AB329" s="5" t="s">
        <v>67</v>
      </c>
      <c r="AC329" s="5" t="s">
        <v>67</v>
      </c>
      <c r="AD329" s="5" t="s">
        <v>67</v>
      </c>
      <c r="AE329" s="5" t="s">
        <v>90</v>
      </c>
      <c r="AF329" s="5" t="s">
        <v>70</v>
      </c>
      <c r="AG329" s="5" t="s">
        <v>71</v>
      </c>
      <c r="AH329" s="5" t="s">
        <v>72</v>
      </c>
      <c r="AI329" s="5" t="s">
        <v>252</v>
      </c>
      <c r="AJ329" s="5">
        <v>0</v>
      </c>
      <c r="AK329" s="5">
        <v>0</v>
      </c>
      <c r="AL329" s="5">
        <v>0</v>
      </c>
      <c r="AM329" s="5">
        <v>0</v>
      </c>
      <c r="AN329" s="5">
        <v>15</v>
      </c>
      <c r="AO329" s="5">
        <v>1624</v>
      </c>
      <c r="AP329" s="5">
        <v>31.65</v>
      </c>
      <c r="AQ329" s="5" t="s">
        <v>713</v>
      </c>
      <c r="AR329" s="5" t="s">
        <v>1104</v>
      </c>
      <c r="AS329" s="5"/>
      <c r="AT329" s="5"/>
      <c r="AU329" s="5"/>
      <c r="AV329" s="5">
        <v>-1</v>
      </c>
      <c r="AW329" s="5" t="s">
        <v>1498</v>
      </c>
    </row>
    <row r="330" spans="1:49" x14ac:dyDescent="0.55000000000000004">
      <c r="A330" s="5" t="str">
        <f>HYPERLINK("https://www.infodis.net/philips/net/Shipment/Details?InfodisNumber=5840700&amp;DomainCode=PHILIPSR1", "5840700")</f>
        <v>5840700</v>
      </c>
      <c r="B330" s="5" t="s">
        <v>1536</v>
      </c>
      <c r="C330" s="5" t="s">
        <v>607</v>
      </c>
      <c r="D330" s="5" t="s">
        <v>608</v>
      </c>
      <c r="E330" s="5" t="s">
        <v>458</v>
      </c>
      <c r="F330" s="5" t="s">
        <v>1537</v>
      </c>
      <c r="G330" s="5" t="s">
        <v>610</v>
      </c>
      <c r="H330" s="5" t="s">
        <v>180</v>
      </c>
      <c r="I330" s="5" t="s">
        <v>652</v>
      </c>
      <c r="J330" s="5" t="s">
        <v>130</v>
      </c>
      <c r="K330" s="5" t="s">
        <v>1538</v>
      </c>
      <c r="L330" s="5" t="s">
        <v>132</v>
      </c>
      <c r="M330" s="5" t="s">
        <v>60</v>
      </c>
      <c r="N330" s="5"/>
      <c r="O330" s="5"/>
      <c r="P330" s="5" t="s">
        <v>613</v>
      </c>
      <c r="Q330" s="5"/>
      <c r="R330" s="5" t="s">
        <v>1539</v>
      </c>
      <c r="S330" s="6">
        <v>43738</v>
      </c>
      <c r="T330" s="6">
        <v>43738</v>
      </c>
      <c r="U330" s="6">
        <v>43742</v>
      </c>
      <c r="V330" s="6">
        <v>43756</v>
      </c>
      <c r="W330" s="6">
        <v>43756</v>
      </c>
      <c r="X330" s="6">
        <v>43799</v>
      </c>
      <c r="Y330" s="5" t="s">
        <v>649</v>
      </c>
      <c r="Z330" s="5" t="s">
        <v>649</v>
      </c>
      <c r="AA330" s="5" t="s">
        <v>66</v>
      </c>
      <c r="AB330" s="5" t="s">
        <v>67</v>
      </c>
      <c r="AC330" s="5" t="s">
        <v>67</v>
      </c>
      <c r="AD330" s="5" t="s">
        <v>68</v>
      </c>
      <c r="AE330" s="5" t="s">
        <v>162</v>
      </c>
      <c r="AF330" s="5" t="s">
        <v>70</v>
      </c>
      <c r="AG330" s="5" t="s">
        <v>71</v>
      </c>
      <c r="AH330" s="5" t="s">
        <v>72</v>
      </c>
      <c r="AI330" s="5" t="s">
        <v>252</v>
      </c>
      <c r="AJ330" s="5">
        <v>0</v>
      </c>
      <c r="AK330" s="5">
        <v>0</v>
      </c>
      <c r="AL330" s="5">
        <v>0</v>
      </c>
      <c r="AM330" s="5">
        <v>0</v>
      </c>
      <c r="AN330" s="5">
        <v>8</v>
      </c>
      <c r="AO330" s="5">
        <v>2125.08</v>
      </c>
      <c r="AP330" s="5">
        <v>0</v>
      </c>
      <c r="AQ330" s="5" t="s">
        <v>713</v>
      </c>
      <c r="AR330" s="5" t="s">
        <v>1104</v>
      </c>
      <c r="AS330" s="5" t="s">
        <v>713</v>
      </c>
      <c r="AT330" s="6">
        <v>43796</v>
      </c>
      <c r="AU330" s="5" t="s">
        <v>1540</v>
      </c>
      <c r="AV330" s="5">
        <v>366</v>
      </c>
      <c r="AW330" s="5" t="s">
        <v>1541</v>
      </c>
    </row>
    <row r="331" spans="1:49" x14ac:dyDescent="0.55000000000000004">
      <c r="A331" s="5" t="str">
        <f>HYPERLINK("https://www.infodis.net/philips/net/Shipment/Details?InfodisNumber=6011676&amp;DomainCode=PHILIPSR1", "6011676")</f>
        <v>6011676</v>
      </c>
      <c r="B331" s="5" t="s">
        <v>1542</v>
      </c>
      <c r="C331" s="5" t="s">
        <v>607</v>
      </c>
      <c r="D331" s="5" t="s">
        <v>608</v>
      </c>
      <c r="E331" s="5" t="s">
        <v>458</v>
      </c>
      <c r="F331" s="5" t="s">
        <v>1543</v>
      </c>
      <c r="G331" s="5" t="s">
        <v>610</v>
      </c>
      <c r="H331" s="5" t="s">
        <v>180</v>
      </c>
      <c r="I331" s="5" t="s">
        <v>652</v>
      </c>
      <c r="J331" s="5" t="s">
        <v>1071</v>
      </c>
      <c r="K331" s="5" t="s">
        <v>58</v>
      </c>
      <c r="L331" s="5" t="s">
        <v>59</v>
      </c>
      <c r="M331" s="5" t="s">
        <v>60</v>
      </c>
      <c r="N331" s="5"/>
      <c r="O331" s="5"/>
      <c r="P331" s="5" t="s">
        <v>613</v>
      </c>
      <c r="Q331" s="5"/>
      <c r="R331" s="5" t="s">
        <v>1544</v>
      </c>
      <c r="S331" s="6">
        <v>43796</v>
      </c>
      <c r="T331" s="6">
        <v>43803</v>
      </c>
      <c r="U331" s="6">
        <v>43815</v>
      </c>
      <c r="V331" s="6">
        <v>43829</v>
      </c>
      <c r="W331" s="6">
        <v>43829</v>
      </c>
      <c r="X331" s="6">
        <v>43851</v>
      </c>
      <c r="Y331" s="5" t="s">
        <v>649</v>
      </c>
      <c r="Z331" s="5" t="s">
        <v>649</v>
      </c>
      <c r="AA331" s="5" t="s">
        <v>649</v>
      </c>
      <c r="AB331" s="5" t="s">
        <v>67</v>
      </c>
      <c r="AC331" s="5" t="s">
        <v>67</v>
      </c>
      <c r="AD331" s="5" t="s">
        <v>67</v>
      </c>
      <c r="AE331" s="5" t="s">
        <v>162</v>
      </c>
      <c r="AF331" s="5" t="s">
        <v>70</v>
      </c>
      <c r="AG331" s="5" t="s">
        <v>71</v>
      </c>
      <c r="AH331" s="5" t="s">
        <v>72</v>
      </c>
      <c r="AI331" s="5" t="s">
        <v>252</v>
      </c>
      <c r="AJ331" s="5">
        <v>0</v>
      </c>
      <c r="AK331" s="5">
        <v>0</v>
      </c>
      <c r="AL331" s="5">
        <v>0</v>
      </c>
      <c r="AM331" s="5">
        <v>0</v>
      </c>
      <c r="AN331" s="5">
        <v>8</v>
      </c>
      <c r="AO331" s="5">
        <v>1685.1</v>
      </c>
      <c r="AP331" s="5">
        <v>12.486000000000001</v>
      </c>
      <c r="AQ331" s="5" t="s">
        <v>713</v>
      </c>
      <c r="AR331" s="5" t="s">
        <v>1104</v>
      </c>
      <c r="AS331" s="5" t="s">
        <v>713</v>
      </c>
      <c r="AT331" s="6">
        <v>43798</v>
      </c>
      <c r="AU331" s="5" t="s">
        <v>1467</v>
      </c>
      <c r="AV331" s="5">
        <v>364</v>
      </c>
      <c r="AW331" s="5" t="s">
        <v>1468</v>
      </c>
    </row>
    <row r="332" spans="1:49" x14ac:dyDescent="0.55000000000000004">
      <c r="A332" s="5" t="str">
        <f>HYPERLINK("https://www.infodis.net/philips/net/Shipment/Details?InfodisNumber=5579279&amp;DomainCode=PHILIPSR1", "5579279")</f>
        <v>5579279</v>
      </c>
      <c r="B332" s="5" t="s">
        <v>1545</v>
      </c>
      <c r="C332" s="5" t="s">
        <v>607</v>
      </c>
      <c r="D332" s="5" t="s">
        <v>608</v>
      </c>
      <c r="E332" s="5" t="s">
        <v>458</v>
      </c>
      <c r="F332" s="5" t="s">
        <v>1546</v>
      </c>
      <c r="G332" s="5" t="s">
        <v>610</v>
      </c>
      <c r="H332" s="5" t="s">
        <v>180</v>
      </c>
      <c r="I332" s="5" t="s">
        <v>194</v>
      </c>
      <c r="J332" s="5" t="s">
        <v>130</v>
      </c>
      <c r="K332" s="5" t="s">
        <v>1547</v>
      </c>
      <c r="L332" s="5" t="s">
        <v>132</v>
      </c>
      <c r="M332" s="5" t="s">
        <v>60</v>
      </c>
      <c r="N332" s="5" t="s">
        <v>1548</v>
      </c>
      <c r="O332" s="5"/>
      <c r="P332" s="5" t="s">
        <v>613</v>
      </c>
      <c r="Q332" s="5"/>
      <c r="R332" s="5" t="s">
        <v>1549</v>
      </c>
      <c r="S332" s="6">
        <v>43643</v>
      </c>
      <c r="T332" s="6">
        <v>43643</v>
      </c>
      <c r="U332" s="6">
        <v>43658</v>
      </c>
      <c r="V332" s="6">
        <v>43660</v>
      </c>
      <c r="W332" s="6">
        <v>43666</v>
      </c>
      <c r="X332" s="6">
        <v>43733</v>
      </c>
      <c r="Y332" s="5" t="s">
        <v>649</v>
      </c>
      <c r="Z332" s="5" t="s">
        <v>649</v>
      </c>
      <c r="AA332" s="5" t="s">
        <v>66</v>
      </c>
      <c r="AB332" s="5" t="s">
        <v>67</v>
      </c>
      <c r="AC332" s="5" t="s">
        <v>67</v>
      </c>
      <c r="AD332" s="5" t="s">
        <v>68</v>
      </c>
      <c r="AE332" s="5" t="s">
        <v>162</v>
      </c>
      <c r="AF332" s="5" t="s">
        <v>70</v>
      </c>
      <c r="AG332" s="5" t="s">
        <v>71</v>
      </c>
      <c r="AH332" s="5" t="s">
        <v>72</v>
      </c>
      <c r="AI332" s="5" t="s">
        <v>252</v>
      </c>
      <c r="AJ332" s="5">
        <v>0</v>
      </c>
      <c r="AK332" s="5">
        <v>0</v>
      </c>
      <c r="AL332" s="5">
        <v>0</v>
      </c>
      <c r="AM332" s="5">
        <v>0</v>
      </c>
      <c r="AN332" s="5">
        <v>10</v>
      </c>
      <c r="AO332" s="5">
        <v>2673.47</v>
      </c>
      <c r="AP332" s="5">
        <v>20.061</v>
      </c>
      <c r="AQ332" s="5" t="s">
        <v>713</v>
      </c>
      <c r="AR332" s="5" t="s">
        <v>1104</v>
      </c>
      <c r="AS332" s="5" t="s">
        <v>713</v>
      </c>
      <c r="AT332" s="6">
        <v>43790</v>
      </c>
      <c r="AU332" s="5" t="s">
        <v>1173</v>
      </c>
      <c r="AV332" s="5">
        <v>372</v>
      </c>
      <c r="AW332" s="5" t="s">
        <v>1448</v>
      </c>
    </row>
    <row r="333" spans="1:49" x14ac:dyDescent="0.55000000000000004">
      <c r="A333" s="5" t="str">
        <f>HYPERLINK("https://www.infodis.net/philips/net/Shipment/Details?InfodisNumber=4409289&amp;DomainCode=DAP", "4409289")</f>
        <v>4409289</v>
      </c>
      <c r="B333" s="5" t="s">
        <v>1550</v>
      </c>
      <c r="C333" s="5" t="s">
        <v>1107</v>
      </c>
      <c r="D333" s="5" t="s">
        <v>1108</v>
      </c>
      <c r="E333" s="5" t="s">
        <v>1107</v>
      </c>
      <c r="F333" s="5" t="s">
        <v>1109</v>
      </c>
      <c r="G333" s="5" t="s">
        <v>855</v>
      </c>
      <c r="H333" s="5" t="s">
        <v>267</v>
      </c>
      <c r="I333" s="5" t="s">
        <v>268</v>
      </c>
      <c r="J333" s="5" t="s">
        <v>382</v>
      </c>
      <c r="K333" s="5" t="s">
        <v>383</v>
      </c>
      <c r="L333" s="5" t="s">
        <v>384</v>
      </c>
      <c r="M333" s="5" t="s">
        <v>261</v>
      </c>
      <c r="N333" s="5" t="s">
        <v>1551</v>
      </c>
      <c r="O333" s="5" t="s">
        <v>1552</v>
      </c>
      <c r="P333" s="5"/>
      <c r="Q333" s="5"/>
      <c r="R333" s="5" t="s">
        <v>389</v>
      </c>
      <c r="S333" s="6">
        <v>43901</v>
      </c>
      <c r="T333" s="6">
        <v>43907</v>
      </c>
      <c r="U333" s="5"/>
      <c r="V333" s="6">
        <v>43908</v>
      </c>
      <c r="W333" s="6">
        <v>43910</v>
      </c>
      <c r="X333" s="5"/>
      <c r="Y333" s="5" t="s">
        <v>66</v>
      </c>
      <c r="Z333" s="5" t="s">
        <v>138</v>
      </c>
      <c r="AA333" s="5" t="s">
        <v>66</v>
      </c>
      <c r="AB333" s="5" t="s">
        <v>68</v>
      </c>
      <c r="AC333" s="5" t="s">
        <v>67</v>
      </c>
      <c r="AD333" s="5" t="s">
        <v>68</v>
      </c>
      <c r="AE333" s="5" t="s">
        <v>162</v>
      </c>
      <c r="AF333" s="5" t="s">
        <v>70</v>
      </c>
      <c r="AG333" s="5" t="s">
        <v>71</v>
      </c>
      <c r="AH333" s="5" t="s">
        <v>72</v>
      </c>
      <c r="AI333" s="5" t="s">
        <v>73</v>
      </c>
      <c r="AJ333" s="5">
        <v>0</v>
      </c>
      <c r="AK333" s="5">
        <v>0</v>
      </c>
      <c r="AL333" s="5">
        <v>0</v>
      </c>
      <c r="AM333" s="5">
        <v>0</v>
      </c>
      <c r="AN333" s="5">
        <v>47680</v>
      </c>
      <c r="AO333" s="5">
        <v>2015</v>
      </c>
      <c r="AP333" s="5">
        <v>11.808</v>
      </c>
      <c r="AQ333" s="5" t="s">
        <v>713</v>
      </c>
      <c r="AR333" s="5" t="s">
        <v>1104</v>
      </c>
      <c r="AS333" s="5"/>
      <c r="AT333" s="5"/>
      <c r="AU333" s="5"/>
      <c r="AV333" s="5">
        <v>-1</v>
      </c>
      <c r="AW333" s="5" t="s">
        <v>1505</v>
      </c>
    </row>
    <row r="334" spans="1:49" x14ac:dyDescent="0.55000000000000004">
      <c r="A334" s="5" t="str">
        <f>HYPERLINK("https://www.infodis.net/philips/net/Shipment/Details?InfodisNumber=6304910&amp;DomainCode=PHILIPSR1", "6304910")</f>
        <v>6304910</v>
      </c>
      <c r="B334" s="5" t="s">
        <v>1553</v>
      </c>
      <c r="C334" s="5" t="s">
        <v>459</v>
      </c>
      <c r="D334" s="5" t="s">
        <v>618</v>
      </c>
      <c r="E334" s="5" t="s">
        <v>242</v>
      </c>
      <c r="F334" s="5" t="s">
        <v>1554</v>
      </c>
      <c r="G334" s="5" t="s">
        <v>619</v>
      </c>
      <c r="H334" s="5" t="s">
        <v>79</v>
      </c>
      <c r="I334" s="5" t="s">
        <v>122</v>
      </c>
      <c r="J334" s="5" t="s">
        <v>844</v>
      </c>
      <c r="K334" s="5" t="s">
        <v>1555</v>
      </c>
      <c r="L334" s="5" t="s">
        <v>846</v>
      </c>
      <c r="M334" s="5" t="s">
        <v>60</v>
      </c>
      <c r="N334" s="5" t="s">
        <v>1556</v>
      </c>
      <c r="O334" s="5"/>
      <c r="P334" s="5" t="s">
        <v>623</v>
      </c>
      <c r="Q334" s="5"/>
      <c r="R334" s="5" t="s">
        <v>1557</v>
      </c>
      <c r="S334" s="6">
        <v>43900</v>
      </c>
      <c r="T334" s="6">
        <v>43902</v>
      </c>
      <c r="U334" s="6">
        <v>43902</v>
      </c>
      <c r="V334" s="6">
        <v>43911</v>
      </c>
      <c r="W334" s="6">
        <v>43909</v>
      </c>
      <c r="X334" s="6">
        <v>43920</v>
      </c>
      <c r="Y334" s="5" t="s">
        <v>649</v>
      </c>
      <c r="Z334" s="5" t="s">
        <v>649</v>
      </c>
      <c r="AA334" s="5" t="s">
        <v>649</v>
      </c>
      <c r="AB334" s="5" t="s">
        <v>67</v>
      </c>
      <c r="AC334" s="5" t="s">
        <v>67</v>
      </c>
      <c r="AD334" s="5" t="s">
        <v>67</v>
      </c>
      <c r="AE334" s="5" t="s">
        <v>69</v>
      </c>
      <c r="AF334" s="5" t="s">
        <v>70</v>
      </c>
      <c r="AG334" s="5" t="s">
        <v>71</v>
      </c>
      <c r="AH334" s="5" t="s">
        <v>72</v>
      </c>
      <c r="AI334" s="5" t="s">
        <v>252</v>
      </c>
      <c r="AJ334" s="5">
        <v>0</v>
      </c>
      <c r="AK334" s="5">
        <v>0</v>
      </c>
      <c r="AL334" s="5">
        <v>0</v>
      </c>
      <c r="AM334" s="5">
        <v>0</v>
      </c>
      <c r="AN334" s="5">
        <v>20</v>
      </c>
      <c r="AO334" s="5">
        <v>1442.55</v>
      </c>
      <c r="AP334" s="5">
        <v>80.316000000000003</v>
      </c>
      <c r="AQ334" s="5" t="s">
        <v>713</v>
      </c>
      <c r="AR334" s="5" t="s">
        <v>1104</v>
      </c>
      <c r="AS334" s="5" t="s">
        <v>713</v>
      </c>
      <c r="AT334" s="6">
        <v>43906</v>
      </c>
      <c r="AU334" s="5" t="s">
        <v>1558</v>
      </c>
      <c r="AV334" s="5">
        <v>256</v>
      </c>
      <c r="AW334" s="5" t="s">
        <v>1559</v>
      </c>
    </row>
    <row r="335" spans="1:49" x14ac:dyDescent="0.55000000000000004">
      <c r="A335" s="5" t="str">
        <f>HYPERLINK("https://www.infodis.net/philips/net/Shipment/Details?InfodisNumber=6361435&amp;DomainCode=PHILIPSR1", "6361435")</f>
        <v>6361435</v>
      </c>
      <c r="B335" s="5" t="s">
        <v>1560</v>
      </c>
      <c r="C335" s="5" t="s">
        <v>607</v>
      </c>
      <c r="D335" s="5" t="s">
        <v>608</v>
      </c>
      <c r="E335" s="5" t="s">
        <v>458</v>
      </c>
      <c r="F335" s="5" t="s">
        <v>1561</v>
      </c>
      <c r="G335" s="5" t="s">
        <v>610</v>
      </c>
      <c r="H335" s="5" t="s">
        <v>180</v>
      </c>
      <c r="I335" s="5" t="s">
        <v>194</v>
      </c>
      <c r="J335" s="5" t="s">
        <v>1562</v>
      </c>
      <c r="K335" s="5" t="s">
        <v>1563</v>
      </c>
      <c r="L335" s="5" t="s">
        <v>132</v>
      </c>
      <c r="M335" s="5" t="s">
        <v>60</v>
      </c>
      <c r="N335" s="5"/>
      <c r="O335" s="5"/>
      <c r="P335" s="5" t="s">
        <v>613</v>
      </c>
      <c r="Q335" s="5"/>
      <c r="R335" s="5" t="s">
        <v>1564</v>
      </c>
      <c r="S335" s="6">
        <v>43917</v>
      </c>
      <c r="T335" s="6">
        <v>43920</v>
      </c>
      <c r="U335" s="6">
        <v>43924</v>
      </c>
      <c r="V335" s="6">
        <v>43949</v>
      </c>
      <c r="W335" s="6">
        <v>43951</v>
      </c>
      <c r="X335" s="5"/>
      <c r="Y335" s="5" t="s">
        <v>649</v>
      </c>
      <c r="Z335" s="5" t="s">
        <v>649</v>
      </c>
      <c r="AA335" s="5" t="s">
        <v>66</v>
      </c>
      <c r="AB335" s="5" t="s">
        <v>67</v>
      </c>
      <c r="AC335" s="5" t="s">
        <v>67</v>
      </c>
      <c r="AD335" s="5" t="s">
        <v>68</v>
      </c>
      <c r="AE335" s="5" t="s">
        <v>162</v>
      </c>
      <c r="AF335" s="5" t="s">
        <v>70</v>
      </c>
      <c r="AG335" s="5" t="s">
        <v>71</v>
      </c>
      <c r="AH335" s="5" t="s">
        <v>72</v>
      </c>
      <c r="AI335" s="5" t="s">
        <v>252</v>
      </c>
      <c r="AJ335" s="5">
        <v>0</v>
      </c>
      <c r="AK335" s="5">
        <v>0</v>
      </c>
      <c r="AL335" s="5">
        <v>0</v>
      </c>
      <c r="AM335" s="5">
        <v>0</v>
      </c>
      <c r="AN335" s="5">
        <v>8</v>
      </c>
      <c r="AO335" s="5">
        <v>488.50400000000002</v>
      </c>
      <c r="AP335" s="5">
        <v>4.5949999999999998</v>
      </c>
      <c r="AQ335" s="5" t="s">
        <v>713</v>
      </c>
      <c r="AR335" s="5" t="s">
        <v>1104</v>
      </c>
      <c r="AS335" s="5"/>
      <c r="AT335" s="5"/>
      <c r="AU335" s="5"/>
      <c r="AV335" s="5">
        <v>-1</v>
      </c>
      <c r="AW335" s="5" t="s">
        <v>1565</v>
      </c>
    </row>
    <row r="336" spans="1:49" x14ac:dyDescent="0.55000000000000004">
      <c r="A336" s="5" t="str">
        <f>HYPERLINK("https://www.infodis.net/philips/net/Shipment/Details?InfodisNumber=6361175&amp;DomainCode=PHILIPSR1", "6361175")</f>
        <v>6361175</v>
      </c>
      <c r="B336" s="5" t="s">
        <v>1566</v>
      </c>
      <c r="C336" s="5" t="s">
        <v>607</v>
      </c>
      <c r="D336" s="5" t="s">
        <v>608</v>
      </c>
      <c r="E336" s="5" t="s">
        <v>458</v>
      </c>
      <c r="F336" s="5" t="s">
        <v>1567</v>
      </c>
      <c r="G336" s="5" t="s">
        <v>610</v>
      </c>
      <c r="H336" s="5" t="s">
        <v>180</v>
      </c>
      <c r="I336" s="5" t="s">
        <v>194</v>
      </c>
      <c r="J336" s="5" t="s">
        <v>130</v>
      </c>
      <c r="K336" s="5" t="s">
        <v>1568</v>
      </c>
      <c r="L336" s="5" t="s">
        <v>132</v>
      </c>
      <c r="M336" s="5" t="s">
        <v>60</v>
      </c>
      <c r="N336" s="5"/>
      <c r="O336" s="5"/>
      <c r="P336" s="5" t="s">
        <v>613</v>
      </c>
      <c r="Q336" s="5"/>
      <c r="R336" s="5" t="s">
        <v>1569</v>
      </c>
      <c r="S336" s="6">
        <v>43917</v>
      </c>
      <c r="T336" s="6">
        <v>43918</v>
      </c>
      <c r="U336" s="6">
        <v>43943</v>
      </c>
      <c r="V336" s="6">
        <v>43956</v>
      </c>
      <c r="W336" s="6">
        <v>43956</v>
      </c>
      <c r="X336" s="5"/>
      <c r="Y336" s="5" t="s">
        <v>649</v>
      </c>
      <c r="Z336" s="5" t="s">
        <v>649</v>
      </c>
      <c r="AA336" s="5" t="s">
        <v>66</v>
      </c>
      <c r="AB336" s="5" t="s">
        <v>67</v>
      </c>
      <c r="AC336" s="5" t="s">
        <v>67</v>
      </c>
      <c r="AD336" s="5" t="s">
        <v>68</v>
      </c>
      <c r="AE336" s="5" t="s">
        <v>162</v>
      </c>
      <c r="AF336" s="5" t="s">
        <v>70</v>
      </c>
      <c r="AG336" s="5" t="s">
        <v>71</v>
      </c>
      <c r="AH336" s="5" t="s">
        <v>72</v>
      </c>
      <c r="AI336" s="5" t="s">
        <v>252</v>
      </c>
      <c r="AJ336" s="5">
        <v>0</v>
      </c>
      <c r="AK336" s="5">
        <v>0</v>
      </c>
      <c r="AL336" s="5">
        <v>0</v>
      </c>
      <c r="AM336" s="5">
        <v>0</v>
      </c>
      <c r="AN336" s="5">
        <v>9</v>
      </c>
      <c r="AO336" s="5">
        <v>156.59399999999999</v>
      </c>
      <c r="AP336" s="5">
        <v>1.4790000000000001</v>
      </c>
      <c r="AQ336" s="5" t="s">
        <v>713</v>
      </c>
      <c r="AR336" s="5" t="s">
        <v>1104</v>
      </c>
      <c r="AS336" s="5"/>
      <c r="AT336" s="5"/>
      <c r="AU336" s="5"/>
      <c r="AV336" s="5">
        <v>-1</v>
      </c>
      <c r="AW336" s="5" t="s">
        <v>1565</v>
      </c>
    </row>
    <row r="337" spans="1:49" x14ac:dyDescent="0.55000000000000004">
      <c r="A337" s="5" t="str">
        <f>HYPERLINK("https://www.infodis.net/philips/net/Shipment/Details?InfodisNumber=6361024&amp;DomainCode=PHILIPSR1", "6361024")</f>
        <v>6361024</v>
      </c>
      <c r="B337" s="5" t="s">
        <v>1570</v>
      </c>
      <c r="C337" s="5" t="s">
        <v>607</v>
      </c>
      <c r="D337" s="5" t="s">
        <v>608</v>
      </c>
      <c r="E337" s="5" t="s">
        <v>458</v>
      </c>
      <c r="F337" s="5" t="s">
        <v>1571</v>
      </c>
      <c r="G337" s="5" t="s">
        <v>610</v>
      </c>
      <c r="H337" s="5" t="s">
        <v>180</v>
      </c>
      <c r="I337" s="5" t="s">
        <v>1333</v>
      </c>
      <c r="J337" s="5" t="s">
        <v>1036</v>
      </c>
      <c r="K337" s="5" t="s">
        <v>1037</v>
      </c>
      <c r="L337" s="5" t="s">
        <v>132</v>
      </c>
      <c r="M337" s="5" t="s">
        <v>60</v>
      </c>
      <c r="N337" s="5"/>
      <c r="O337" s="5"/>
      <c r="P337" s="5" t="s">
        <v>613</v>
      </c>
      <c r="Q337" s="5"/>
      <c r="R337" s="5" t="s">
        <v>1572</v>
      </c>
      <c r="S337" s="6">
        <v>43917</v>
      </c>
      <c r="T337" s="6">
        <v>43920</v>
      </c>
      <c r="U337" s="6">
        <v>43936</v>
      </c>
      <c r="V337" s="6">
        <v>43951</v>
      </c>
      <c r="W337" s="6">
        <v>43951</v>
      </c>
      <c r="X337" s="5"/>
      <c r="Y337" s="5" t="s">
        <v>649</v>
      </c>
      <c r="Z337" s="5" t="s">
        <v>649</v>
      </c>
      <c r="AA337" s="5" t="s">
        <v>66</v>
      </c>
      <c r="AB337" s="5" t="s">
        <v>67</v>
      </c>
      <c r="AC337" s="5" t="s">
        <v>67</v>
      </c>
      <c r="AD337" s="5" t="s">
        <v>68</v>
      </c>
      <c r="AE337" s="5" t="s">
        <v>162</v>
      </c>
      <c r="AF337" s="5" t="s">
        <v>70</v>
      </c>
      <c r="AG337" s="5" t="s">
        <v>71</v>
      </c>
      <c r="AH337" s="5" t="s">
        <v>72</v>
      </c>
      <c r="AI337" s="5" t="s">
        <v>252</v>
      </c>
      <c r="AJ337" s="5">
        <v>0</v>
      </c>
      <c r="AK337" s="5">
        <v>0</v>
      </c>
      <c r="AL337" s="5">
        <v>0</v>
      </c>
      <c r="AM337" s="5">
        <v>0</v>
      </c>
      <c r="AN337" s="5">
        <v>10</v>
      </c>
      <c r="AO337" s="5">
        <v>68.361000000000004</v>
      </c>
      <c r="AP337" s="5">
        <v>0.78700000000000003</v>
      </c>
      <c r="AQ337" s="5" t="s">
        <v>713</v>
      </c>
      <c r="AR337" s="5" t="s">
        <v>1104</v>
      </c>
      <c r="AS337" s="5" t="s">
        <v>713</v>
      </c>
      <c r="AT337" s="6">
        <v>43923</v>
      </c>
      <c r="AU337" s="5" t="s">
        <v>1573</v>
      </c>
      <c r="AV337" s="5">
        <v>239</v>
      </c>
      <c r="AW337" s="5" t="s">
        <v>1574</v>
      </c>
    </row>
    <row r="338" spans="1:49" x14ac:dyDescent="0.55000000000000004">
      <c r="A338" s="5" t="str">
        <f>HYPERLINK("https://www.infodis.net/philips/net/Shipment/Details?InfodisNumber=6388706&amp;DomainCode=PHILIPSR1", "6388706")</f>
        <v>6388706</v>
      </c>
      <c r="B338" s="5" t="s">
        <v>1575</v>
      </c>
      <c r="C338" s="5" t="s">
        <v>993</v>
      </c>
      <c r="D338" s="5" t="s">
        <v>994</v>
      </c>
      <c r="E338" s="5" t="s">
        <v>458</v>
      </c>
      <c r="F338" s="5" t="s">
        <v>915</v>
      </c>
      <c r="G338" s="5" t="s">
        <v>1488</v>
      </c>
      <c r="H338" s="5" t="s">
        <v>79</v>
      </c>
      <c r="I338" s="5" t="s">
        <v>282</v>
      </c>
      <c r="J338" s="5" t="s">
        <v>917</v>
      </c>
      <c r="K338" s="5" t="s">
        <v>918</v>
      </c>
      <c r="L338" s="5" t="s">
        <v>881</v>
      </c>
      <c r="M338" s="5" t="s">
        <v>60</v>
      </c>
      <c r="N338" s="5" t="s">
        <v>1576</v>
      </c>
      <c r="O338" s="5" t="s">
        <v>1577</v>
      </c>
      <c r="P338" s="5" t="s">
        <v>282</v>
      </c>
      <c r="Q338" s="5"/>
      <c r="R338" s="5" t="s">
        <v>888</v>
      </c>
      <c r="S338" s="6">
        <v>43928</v>
      </c>
      <c r="T338" s="6">
        <v>43929</v>
      </c>
      <c r="U338" s="6">
        <v>43929</v>
      </c>
      <c r="V338" s="6">
        <v>43934</v>
      </c>
      <c r="W338" s="6">
        <v>43935</v>
      </c>
      <c r="X338" s="6">
        <v>43979</v>
      </c>
      <c r="Y338" s="5" t="s">
        <v>649</v>
      </c>
      <c r="Z338" s="5" t="s">
        <v>649</v>
      </c>
      <c r="AA338" s="5" t="s">
        <v>649</v>
      </c>
      <c r="AB338" s="5" t="s">
        <v>67</v>
      </c>
      <c r="AC338" s="5" t="s">
        <v>67</v>
      </c>
      <c r="AD338" s="5" t="s">
        <v>67</v>
      </c>
      <c r="AE338" s="5" t="s">
        <v>162</v>
      </c>
      <c r="AF338" s="5" t="s">
        <v>70</v>
      </c>
      <c r="AG338" s="5" t="s">
        <v>71</v>
      </c>
      <c r="AH338" s="5" t="s">
        <v>72</v>
      </c>
      <c r="AI338" s="5" t="s">
        <v>252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1537.35</v>
      </c>
      <c r="AP338" s="5">
        <v>16.006</v>
      </c>
      <c r="AQ338" s="5" t="s">
        <v>713</v>
      </c>
      <c r="AR338" s="5" t="s">
        <v>1104</v>
      </c>
      <c r="AS338" s="5"/>
      <c r="AT338" s="5"/>
      <c r="AU338" s="5"/>
      <c r="AV338" s="5">
        <v>-1</v>
      </c>
      <c r="AW338" s="5" t="s">
        <v>1498</v>
      </c>
    </row>
    <row r="339" spans="1:49" x14ac:dyDescent="0.55000000000000004">
      <c r="A339" s="5" t="str">
        <f>HYPERLINK("https://www.infodis.net/philips/net/Shipment/Details?InfodisNumber=6292078&amp;DomainCode=PHILIPSR1", "6292078")</f>
        <v>6292078</v>
      </c>
      <c r="B339" s="5" t="s">
        <v>1578</v>
      </c>
      <c r="C339" s="5" t="s">
        <v>993</v>
      </c>
      <c r="D339" s="5" t="s">
        <v>994</v>
      </c>
      <c r="E339" s="5" t="s">
        <v>458</v>
      </c>
      <c r="F339" s="5" t="s">
        <v>915</v>
      </c>
      <c r="G339" s="5" t="s">
        <v>1488</v>
      </c>
      <c r="H339" s="5" t="s">
        <v>79</v>
      </c>
      <c r="I339" s="5" t="s">
        <v>282</v>
      </c>
      <c r="J339" s="5" t="s">
        <v>917</v>
      </c>
      <c r="K339" s="5" t="s">
        <v>918</v>
      </c>
      <c r="L339" s="5" t="s">
        <v>881</v>
      </c>
      <c r="M339" s="5" t="s">
        <v>60</v>
      </c>
      <c r="N339" s="5" t="s">
        <v>1579</v>
      </c>
      <c r="O339" s="5" t="s">
        <v>1580</v>
      </c>
      <c r="P339" s="5" t="s">
        <v>282</v>
      </c>
      <c r="Q339" s="5"/>
      <c r="R339" s="5" t="s">
        <v>888</v>
      </c>
      <c r="S339" s="6">
        <v>43895</v>
      </c>
      <c r="T339" s="6">
        <v>43899</v>
      </c>
      <c r="U339" s="6">
        <v>43899</v>
      </c>
      <c r="V339" s="6">
        <v>43904</v>
      </c>
      <c r="W339" s="6">
        <v>43903</v>
      </c>
      <c r="X339" s="5"/>
      <c r="Y339" s="5" t="s">
        <v>649</v>
      </c>
      <c r="Z339" s="5" t="s">
        <v>649</v>
      </c>
      <c r="AA339" s="5" t="s">
        <v>649</v>
      </c>
      <c r="AB339" s="5" t="s">
        <v>67</v>
      </c>
      <c r="AC339" s="5" t="s">
        <v>67</v>
      </c>
      <c r="AD339" s="5" t="s">
        <v>67</v>
      </c>
      <c r="AE339" s="5" t="s">
        <v>90</v>
      </c>
      <c r="AF339" s="5" t="s">
        <v>70</v>
      </c>
      <c r="AG339" s="5" t="s">
        <v>71</v>
      </c>
      <c r="AH339" s="5" t="s">
        <v>72</v>
      </c>
      <c r="AI339" s="5" t="s">
        <v>252</v>
      </c>
      <c r="AJ339" s="5">
        <v>0</v>
      </c>
      <c r="AK339" s="5">
        <v>0</v>
      </c>
      <c r="AL339" s="5">
        <v>0</v>
      </c>
      <c r="AM339" s="5">
        <v>0</v>
      </c>
      <c r="AN339" s="5">
        <v>15</v>
      </c>
      <c r="AO339" s="5">
        <v>1623.6</v>
      </c>
      <c r="AP339" s="5">
        <v>31.65</v>
      </c>
      <c r="AQ339" s="5" t="s">
        <v>713</v>
      </c>
      <c r="AR339" s="5" t="s">
        <v>1104</v>
      </c>
      <c r="AS339" s="5"/>
      <c r="AT339" s="5"/>
      <c r="AU339" s="5"/>
      <c r="AV339" s="5">
        <v>-1</v>
      </c>
      <c r="AW339" s="5" t="s">
        <v>1498</v>
      </c>
    </row>
    <row r="340" spans="1:49" x14ac:dyDescent="0.55000000000000004">
      <c r="A340" s="5" t="str">
        <f>HYPERLINK("https://www.infodis.net/philips/net/Shipment/Details?InfodisNumber=5577740&amp;DomainCode=PHILIPSR1", "5577740")</f>
        <v>5577740</v>
      </c>
      <c r="B340" s="5" t="s">
        <v>1581</v>
      </c>
      <c r="C340" s="5" t="s">
        <v>607</v>
      </c>
      <c r="D340" s="5" t="s">
        <v>608</v>
      </c>
      <c r="E340" s="5" t="s">
        <v>458</v>
      </c>
      <c r="F340" s="5" t="s">
        <v>1582</v>
      </c>
      <c r="G340" s="5" t="s">
        <v>610</v>
      </c>
      <c r="H340" s="5" t="s">
        <v>180</v>
      </c>
      <c r="I340" s="5" t="s">
        <v>194</v>
      </c>
      <c r="J340" s="5" t="s">
        <v>130</v>
      </c>
      <c r="K340" s="5" t="s">
        <v>1380</v>
      </c>
      <c r="L340" s="5" t="s">
        <v>132</v>
      </c>
      <c r="M340" s="5" t="s">
        <v>60</v>
      </c>
      <c r="N340" s="5" t="s">
        <v>1583</v>
      </c>
      <c r="O340" s="5"/>
      <c r="P340" s="5" t="s">
        <v>613</v>
      </c>
      <c r="Q340" s="5"/>
      <c r="R340" s="5" t="s">
        <v>1584</v>
      </c>
      <c r="S340" s="6">
        <v>43642</v>
      </c>
      <c r="T340" s="6">
        <v>43645</v>
      </c>
      <c r="U340" s="6">
        <v>43649</v>
      </c>
      <c r="V340" s="6">
        <v>43651</v>
      </c>
      <c r="W340" s="6">
        <v>43663</v>
      </c>
      <c r="X340" s="6">
        <v>43728</v>
      </c>
      <c r="Y340" s="5" t="s">
        <v>649</v>
      </c>
      <c r="Z340" s="5" t="s">
        <v>649</v>
      </c>
      <c r="AA340" s="5" t="s">
        <v>66</v>
      </c>
      <c r="AB340" s="5" t="s">
        <v>67</v>
      </c>
      <c r="AC340" s="5" t="s">
        <v>67</v>
      </c>
      <c r="AD340" s="5" t="s">
        <v>68</v>
      </c>
      <c r="AE340" s="5" t="s">
        <v>90</v>
      </c>
      <c r="AF340" s="5" t="s">
        <v>70</v>
      </c>
      <c r="AG340" s="5" t="s">
        <v>71</v>
      </c>
      <c r="AH340" s="5" t="s">
        <v>72</v>
      </c>
      <c r="AI340" s="5" t="s">
        <v>252</v>
      </c>
      <c r="AJ340" s="5">
        <v>0</v>
      </c>
      <c r="AK340" s="5">
        <v>0</v>
      </c>
      <c r="AL340" s="5">
        <v>0</v>
      </c>
      <c r="AM340" s="5">
        <v>0</v>
      </c>
      <c r="AN340" s="5">
        <v>20</v>
      </c>
      <c r="AO340" s="5">
        <v>4387.1499999999996</v>
      </c>
      <c r="AP340" s="5">
        <v>32.493000000000002</v>
      </c>
      <c r="AQ340" s="5" t="s">
        <v>713</v>
      </c>
      <c r="AR340" s="5" t="s">
        <v>1104</v>
      </c>
      <c r="AS340" s="5" t="s">
        <v>713</v>
      </c>
      <c r="AT340" s="6">
        <v>43790</v>
      </c>
      <c r="AU340" s="5" t="s">
        <v>1173</v>
      </c>
      <c r="AV340" s="5">
        <v>372</v>
      </c>
      <c r="AW340" s="5" t="s">
        <v>1448</v>
      </c>
    </row>
    <row r="341" spans="1:49" x14ac:dyDescent="0.55000000000000004">
      <c r="A341" s="5" t="str">
        <f>HYPERLINK("https://www.infodis.net/philips/net/Shipment/Details?InfodisNumber=4404601&amp;DomainCode=DAP", "4404601")</f>
        <v>4404601</v>
      </c>
      <c r="B341" s="5" t="s">
        <v>1585</v>
      </c>
      <c r="C341" s="5" t="s">
        <v>1193</v>
      </c>
      <c r="D341" s="5" t="s">
        <v>1194</v>
      </c>
      <c r="E341" s="5" t="s">
        <v>1193</v>
      </c>
      <c r="F341" s="5" t="s">
        <v>77</v>
      </c>
      <c r="G341" s="5" t="s">
        <v>945</v>
      </c>
      <c r="H341" s="5" t="s">
        <v>938</v>
      </c>
      <c r="I341" s="5" t="s">
        <v>293</v>
      </c>
      <c r="J341" s="5" t="s">
        <v>81</v>
      </c>
      <c r="K341" s="5" t="s">
        <v>82</v>
      </c>
      <c r="L341" s="5" t="s">
        <v>83</v>
      </c>
      <c r="M341" s="5" t="s">
        <v>60</v>
      </c>
      <c r="N341" s="5" t="s">
        <v>1586</v>
      </c>
      <c r="O341" s="5" t="s">
        <v>1587</v>
      </c>
      <c r="P341" s="5" t="s">
        <v>1196</v>
      </c>
      <c r="Q341" s="5"/>
      <c r="R341" s="5" t="s">
        <v>87</v>
      </c>
      <c r="S341" s="6">
        <v>43893</v>
      </c>
      <c r="T341" s="6">
        <v>43917</v>
      </c>
      <c r="U341" s="5"/>
      <c r="V341" s="6">
        <v>43920</v>
      </c>
      <c r="W341" s="6">
        <v>43929</v>
      </c>
      <c r="X341" s="5"/>
      <c r="Y341" s="5" t="s">
        <v>66</v>
      </c>
      <c r="Z341" s="5" t="s">
        <v>66</v>
      </c>
      <c r="AA341" s="5" t="s">
        <v>66</v>
      </c>
      <c r="AB341" s="5" t="s">
        <v>68</v>
      </c>
      <c r="AC341" s="5" t="s">
        <v>67</v>
      </c>
      <c r="AD341" s="5" t="s">
        <v>67</v>
      </c>
      <c r="AE341" s="5" t="s">
        <v>162</v>
      </c>
      <c r="AF341" s="5" t="s">
        <v>70</v>
      </c>
      <c r="AG341" s="5" t="s">
        <v>71</v>
      </c>
      <c r="AH341" s="5" t="s">
        <v>72</v>
      </c>
      <c r="AI341" s="5" t="s">
        <v>73</v>
      </c>
      <c r="AJ341" s="5">
        <v>0</v>
      </c>
      <c r="AK341" s="5">
        <v>0</v>
      </c>
      <c r="AL341" s="5">
        <v>0</v>
      </c>
      <c r="AM341" s="5">
        <v>0</v>
      </c>
      <c r="AN341" s="5">
        <v>20</v>
      </c>
      <c r="AO341" s="5">
        <v>9220</v>
      </c>
      <c r="AP341" s="5">
        <v>15.82</v>
      </c>
      <c r="AQ341" s="5" t="s">
        <v>713</v>
      </c>
      <c r="AR341" s="5" t="s">
        <v>1104</v>
      </c>
      <c r="AS341" s="5"/>
      <c r="AT341" s="5"/>
      <c r="AU341" s="5"/>
      <c r="AV341" s="5">
        <v>-1</v>
      </c>
      <c r="AW341" s="5" t="s">
        <v>1482</v>
      </c>
    </row>
    <row r="342" spans="1:49" x14ac:dyDescent="0.55000000000000004">
      <c r="A342" s="5" t="str">
        <f>HYPERLINK("https://www.infodis.net/philips/net/Shipment/Details?InfodisNumber=4358532&amp;DomainCode=DAP", "4358532")</f>
        <v>4358532</v>
      </c>
      <c r="B342" s="5" t="s">
        <v>1588</v>
      </c>
      <c r="C342" s="5" t="s">
        <v>1193</v>
      </c>
      <c r="D342" s="5" t="s">
        <v>1194</v>
      </c>
      <c r="E342" s="5" t="s">
        <v>1193</v>
      </c>
      <c r="F342" s="5" t="s">
        <v>77</v>
      </c>
      <c r="G342" s="5" t="s">
        <v>945</v>
      </c>
      <c r="H342" s="5" t="s">
        <v>938</v>
      </c>
      <c r="I342" s="5" t="s">
        <v>293</v>
      </c>
      <c r="J342" s="5" t="s">
        <v>81</v>
      </c>
      <c r="K342" s="5" t="s">
        <v>82</v>
      </c>
      <c r="L342" s="5" t="s">
        <v>83</v>
      </c>
      <c r="M342" s="5" t="s">
        <v>84</v>
      </c>
      <c r="N342" s="5" t="s">
        <v>1589</v>
      </c>
      <c r="O342" s="5" t="s">
        <v>1590</v>
      </c>
      <c r="P342" s="5" t="s">
        <v>1196</v>
      </c>
      <c r="Q342" s="5"/>
      <c r="R342" s="5" t="s">
        <v>87</v>
      </c>
      <c r="S342" s="6">
        <v>43810</v>
      </c>
      <c r="T342" s="6">
        <v>43831</v>
      </c>
      <c r="U342" s="5"/>
      <c r="V342" s="6">
        <v>43836</v>
      </c>
      <c r="W342" s="6">
        <v>43826</v>
      </c>
      <c r="X342" s="6">
        <v>43827</v>
      </c>
      <c r="Y342" s="5" t="s">
        <v>66</v>
      </c>
      <c r="Z342" s="5" t="s">
        <v>273</v>
      </c>
      <c r="AA342" s="5" t="s">
        <v>1481</v>
      </c>
      <c r="AB342" s="5" t="s">
        <v>68</v>
      </c>
      <c r="AC342" s="5" t="s">
        <v>67</v>
      </c>
      <c r="AD342" s="5" t="s">
        <v>67</v>
      </c>
      <c r="AE342" s="5" t="s">
        <v>162</v>
      </c>
      <c r="AF342" s="5" t="s">
        <v>70</v>
      </c>
      <c r="AG342" s="5" t="s">
        <v>71</v>
      </c>
      <c r="AH342" s="5" t="s">
        <v>72</v>
      </c>
      <c r="AI342" s="5" t="s">
        <v>73</v>
      </c>
      <c r="AJ342" s="5">
        <v>0</v>
      </c>
      <c r="AK342" s="5">
        <v>0</v>
      </c>
      <c r="AL342" s="5">
        <v>0</v>
      </c>
      <c r="AM342" s="5">
        <v>0</v>
      </c>
      <c r="AN342" s="5">
        <v>20</v>
      </c>
      <c r="AO342" s="5">
        <v>9560</v>
      </c>
      <c r="AP342" s="5">
        <v>15.96</v>
      </c>
      <c r="AQ342" s="5" t="s">
        <v>713</v>
      </c>
      <c r="AR342" s="5" t="s">
        <v>1104</v>
      </c>
      <c r="AS342" s="5" t="s">
        <v>713</v>
      </c>
      <c r="AT342" s="6">
        <v>43850</v>
      </c>
      <c r="AU342" s="5" t="s">
        <v>1591</v>
      </c>
      <c r="AV342" s="5">
        <v>312</v>
      </c>
      <c r="AW342" s="5" t="s">
        <v>1592</v>
      </c>
    </row>
    <row r="343" spans="1:49" x14ac:dyDescent="0.55000000000000004">
      <c r="A343" s="5" t="str">
        <f>HYPERLINK("https://www.infodis.net/philips/net/Shipment/Details?InfodisNumber=4302376&amp;DomainCode=DAP", "4302376")</f>
        <v>4302376</v>
      </c>
      <c r="B343" s="5" t="s">
        <v>1593</v>
      </c>
      <c r="C343" s="5" t="s">
        <v>1594</v>
      </c>
      <c r="D343" s="5" t="s">
        <v>1595</v>
      </c>
      <c r="E343" s="5" t="s">
        <v>1596</v>
      </c>
      <c r="F343" s="5" t="s">
        <v>449</v>
      </c>
      <c r="G343" s="5" t="s">
        <v>1597</v>
      </c>
      <c r="H343" s="5" t="s">
        <v>1598</v>
      </c>
      <c r="I343" s="5" t="s">
        <v>1599</v>
      </c>
      <c r="J343" s="5" t="s">
        <v>451</v>
      </c>
      <c r="K343" s="5" t="s">
        <v>1600</v>
      </c>
      <c r="L343" s="5" t="s">
        <v>453</v>
      </c>
      <c r="M343" s="5" t="s">
        <v>358</v>
      </c>
      <c r="N343" s="5" t="s">
        <v>1601</v>
      </c>
      <c r="O343" s="5"/>
      <c r="P343" s="5" t="s">
        <v>1602</v>
      </c>
      <c r="Q343" s="5"/>
      <c r="R343" s="5" t="s">
        <v>454</v>
      </c>
      <c r="S343" s="6">
        <v>43734</v>
      </c>
      <c r="T343" s="6">
        <v>43719</v>
      </c>
      <c r="U343" s="5"/>
      <c r="V343" s="6">
        <v>43724</v>
      </c>
      <c r="W343" s="6">
        <v>43726</v>
      </c>
      <c r="X343" s="5"/>
      <c r="Y343" s="5" t="s">
        <v>66</v>
      </c>
      <c r="Z343" s="5" t="s">
        <v>1137</v>
      </c>
      <c r="AA343" s="5" t="s">
        <v>66</v>
      </c>
      <c r="AB343" s="5" t="s">
        <v>68</v>
      </c>
      <c r="AC343" s="5" t="s">
        <v>67</v>
      </c>
      <c r="AD343" s="5" t="s">
        <v>68</v>
      </c>
      <c r="AE343" s="5" t="s">
        <v>90</v>
      </c>
      <c r="AF343" s="5" t="s">
        <v>70</v>
      </c>
      <c r="AG343" s="5" t="s">
        <v>71</v>
      </c>
      <c r="AH343" s="5" t="s">
        <v>72</v>
      </c>
      <c r="AI343" s="5" t="s">
        <v>73</v>
      </c>
      <c r="AJ343" s="5">
        <v>0</v>
      </c>
      <c r="AK343" s="5">
        <v>0</v>
      </c>
      <c r="AL343" s="5">
        <v>0</v>
      </c>
      <c r="AM343" s="5">
        <v>0</v>
      </c>
      <c r="AN343" s="5">
        <v>21</v>
      </c>
      <c r="AO343" s="5">
        <v>9240</v>
      </c>
      <c r="AP343" s="5">
        <v>55</v>
      </c>
      <c r="AQ343" s="5" t="s">
        <v>713</v>
      </c>
      <c r="AR343" s="5" t="s">
        <v>1104</v>
      </c>
      <c r="AS343" s="5" t="s">
        <v>713</v>
      </c>
      <c r="AT343" s="6">
        <v>43796</v>
      </c>
      <c r="AU343" s="5" t="s">
        <v>1603</v>
      </c>
      <c r="AV343" s="5">
        <v>366</v>
      </c>
      <c r="AW343" s="5" t="s">
        <v>1604</v>
      </c>
    </row>
    <row r="344" spans="1:49" x14ac:dyDescent="0.55000000000000004">
      <c r="A344" s="5" t="str">
        <f>HYPERLINK("https://www.infodis.net/philips/net/Shipment/Details?InfodisNumber=5823839&amp;DomainCode=PHILIPSR1", "5823839")</f>
        <v>5823839</v>
      </c>
      <c r="B344" s="5" t="s">
        <v>1605</v>
      </c>
      <c r="C344" s="5" t="s">
        <v>877</v>
      </c>
      <c r="D344" s="5" t="s">
        <v>878</v>
      </c>
      <c r="E344" s="5" t="s">
        <v>877</v>
      </c>
      <c r="F344" s="5" t="s">
        <v>1606</v>
      </c>
      <c r="G344" s="5" t="s">
        <v>880</v>
      </c>
      <c r="H344" s="5" t="s">
        <v>881</v>
      </c>
      <c r="I344" s="5" t="s">
        <v>917</v>
      </c>
      <c r="J344" s="5" t="s">
        <v>1607</v>
      </c>
      <c r="K344" s="5" t="s">
        <v>1608</v>
      </c>
      <c r="L344" s="5" t="s">
        <v>1609</v>
      </c>
      <c r="M344" s="5" t="s">
        <v>60</v>
      </c>
      <c r="N344" s="5" t="s">
        <v>1610</v>
      </c>
      <c r="O344" s="5"/>
      <c r="P344" s="5" t="s">
        <v>888</v>
      </c>
      <c r="Q344" s="5"/>
      <c r="R344" s="5" t="s">
        <v>1611</v>
      </c>
      <c r="S344" s="6">
        <v>43733</v>
      </c>
      <c r="T344" s="6">
        <v>43735</v>
      </c>
      <c r="U344" s="6">
        <v>43760</v>
      </c>
      <c r="V344" s="6">
        <v>43763</v>
      </c>
      <c r="W344" s="6">
        <v>43764</v>
      </c>
      <c r="X344" s="6">
        <v>43810</v>
      </c>
      <c r="Y344" s="5" t="s">
        <v>649</v>
      </c>
      <c r="Z344" s="5" t="s">
        <v>649</v>
      </c>
      <c r="AA344" s="5" t="s">
        <v>649</v>
      </c>
      <c r="AB344" s="5" t="s">
        <v>67</v>
      </c>
      <c r="AC344" s="5" t="s">
        <v>67</v>
      </c>
      <c r="AD344" s="5" t="s">
        <v>67</v>
      </c>
      <c r="AE344" s="5" t="s">
        <v>69</v>
      </c>
      <c r="AF344" s="5" t="s">
        <v>70</v>
      </c>
      <c r="AG344" s="5" t="s">
        <v>71</v>
      </c>
      <c r="AH344" s="5" t="s">
        <v>72</v>
      </c>
      <c r="AI344" s="5" t="s">
        <v>252</v>
      </c>
      <c r="AJ344" s="5">
        <v>0</v>
      </c>
      <c r="AK344" s="5">
        <v>0</v>
      </c>
      <c r="AL344" s="5">
        <v>0</v>
      </c>
      <c r="AM344" s="5">
        <v>0</v>
      </c>
      <c r="AN344" s="5">
        <v>14</v>
      </c>
      <c r="AO344" s="5">
        <v>2947</v>
      </c>
      <c r="AP344" s="5">
        <v>31.643999999999998</v>
      </c>
      <c r="AQ344" s="5" t="s">
        <v>713</v>
      </c>
      <c r="AR344" s="5" t="s">
        <v>1104</v>
      </c>
      <c r="AS344" s="5" t="s">
        <v>713</v>
      </c>
      <c r="AT344" s="6">
        <v>43803</v>
      </c>
      <c r="AU344" s="5" t="s">
        <v>1612</v>
      </c>
      <c r="AV344" s="5">
        <v>359</v>
      </c>
      <c r="AW344" s="5" t="s">
        <v>1613</v>
      </c>
    </row>
    <row r="345" spans="1:49" x14ac:dyDescent="0.55000000000000004">
      <c r="A345" s="5" t="str">
        <f>HYPERLINK("https://www.infodis.net/philips/net/Shipment/Details?InfodisNumber=6141690&amp;DomainCode=PHILIPSR1", "6141690")</f>
        <v>6141690</v>
      </c>
      <c r="B345" s="5" t="s">
        <v>1614</v>
      </c>
      <c r="C345" s="5" t="s">
        <v>993</v>
      </c>
      <c r="D345" s="5" t="s">
        <v>994</v>
      </c>
      <c r="E345" s="5" t="s">
        <v>993</v>
      </c>
      <c r="F345" s="5" t="s">
        <v>458</v>
      </c>
      <c r="G345" s="5" t="s">
        <v>1615</v>
      </c>
      <c r="H345" s="5" t="s">
        <v>79</v>
      </c>
      <c r="I345" s="5" t="s">
        <v>122</v>
      </c>
      <c r="J345" s="5" t="s">
        <v>194</v>
      </c>
      <c r="K345" s="5" t="s">
        <v>620</v>
      </c>
      <c r="L345" s="5" t="s">
        <v>180</v>
      </c>
      <c r="M345" s="5" t="s">
        <v>1489</v>
      </c>
      <c r="N345" s="5" t="s">
        <v>1616</v>
      </c>
      <c r="O345" s="5" t="s">
        <v>1617</v>
      </c>
      <c r="P345" s="5" t="s">
        <v>1618</v>
      </c>
      <c r="Q345" s="5"/>
      <c r="R345" s="5" t="s">
        <v>613</v>
      </c>
      <c r="S345" s="6">
        <v>43845</v>
      </c>
      <c r="T345" s="6">
        <v>43846</v>
      </c>
      <c r="U345" s="6">
        <v>43849</v>
      </c>
      <c r="V345" s="6">
        <v>43859</v>
      </c>
      <c r="W345" s="6">
        <v>43859</v>
      </c>
      <c r="X345" s="6">
        <v>43910</v>
      </c>
      <c r="Y345" s="5" t="s">
        <v>649</v>
      </c>
      <c r="Z345" s="5" t="s">
        <v>649</v>
      </c>
      <c r="AA345" s="5" t="s">
        <v>649</v>
      </c>
      <c r="AB345" s="5" t="s">
        <v>67</v>
      </c>
      <c r="AC345" s="5" t="s">
        <v>67</v>
      </c>
      <c r="AD345" s="5" t="s">
        <v>67</v>
      </c>
      <c r="AE345" s="5" t="s">
        <v>162</v>
      </c>
      <c r="AF345" s="5" t="s">
        <v>70</v>
      </c>
      <c r="AG345" s="5" t="s">
        <v>71</v>
      </c>
      <c r="AH345" s="5" t="s">
        <v>72</v>
      </c>
      <c r="AI345" s="5" t="s">
        <v>252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2059</v>
      </c>
      <c r="AP345" s="5">
        <v>25.78</v>
      </c>
      <c r="AQ345" s="5" t="s">
        <v>713</v>
      </c>
      <c r="AR345" s="5" t="s">
        <v>1104</v>
      </c>
      <c r="AS345" s="5"/>
      <c r="AT345" s="6">
        <v>43846</v>
      </c>
      <c r="AU345" s="5"/>
      <c r="AV345" s="5">
        <v>316</v>
      </c>
      <c r="AW345" s="5" t="s">
        <v>1493</v>
      </c>
    </row>
    <row r="346" spans="1:49" x14ac:dyDescent="0.55000000000000004">
      <c r="A346" s="5" t="str">
        <f>HYPERLINK("https://www.infodis.net/philips/net/Shipment/Details?InfodisNumber=6141667&amp;DomainCode=PHILIPSR1", "6141667")</f>
        <v>6141667</v>
      </c>
      <c r="B346" s="5" t="s">
        <v>1619</v>
      </c>
      <c r="C346" s="5" t="s">
        <v>993</v>
      </c>
      <c r="D346" s="5" t="s">
        <v>994</v>
      </c>
      <c r="E346" s="5" t="s">
        <v>993</v>
      </c>
      <c r="F346" s="5" t="s">
        <v>458</v>
      </c>
      <c r="G346" s="5" t="s">
        <v>1615</v>
      </c>
      <c r="H346" s="5" t="s">
        <v>79</v>
      </c>
      <c r="I346" s="5" t="s">
        <v>122</v>
      </c>
      <c r="J346" s="5" t="s">
        <v>194</v>
      </c>
      <c r="K346" s="5" t="s">
        <v>620</v>
      </c>
      <c r="L346" s="5" t="s">
        <v>180</v>
      </c>
      <c r="M346" s="5" t="s">
        <v>1489</v>
      </c>
      <c r="N346" s="5" t="s">
        <v>1620</v>
      </c>
      <c r="O346" s="5" t="s">
        <v>1621</v>
      </c>
      <c r="P346" s="5" t="s">
        <v>1618</v>
      </c>
      <c r="Q346" s="5"/>
      <c r="R346" s="5" t="s">
        <v>613</v>
      </c>
      <c r="S346" s="6">
        <v>43845</v>
      </c>
      <c r="T346" s="6">
        <v>43846</v>
      </c>
      <c r="U346" s="6">
        <v>43849</v>
      </c>
      <c r="V346" s="6">
        <v>43859</v>
      </c>
      <c r="W346" s="6">
        <v>43859</v>
      </c>
      <c r="X346" s="6">
        <v>43910</v>
      </c>
      <c r="Y346" s="5" t="s">
        <v>649</v>
      </c>
      <c r="Z346" s="5" t="s">
        <v>649</v>
      </c>
      <c r="AA346" s="5" t="s">
        <v>649</v>
      </c>
      <c r="AB346" s="5" t="s">
        <v>67</v>
      </c>
      <c r="AC346" s="5" t="s">
        <v>67</v>
      </c>
      <c r="AD346" s="5" t="s">
        <v>67</v>
      </c>
      <c r="AE346" s="5" t="s">
        <v>162</v>
      </c>
      <c r="AF346" s="5" t="s">
        <v>70</v>
      </c>
      <c r="AG346" s="5" t="s">
        <v>71</v>
      </c>
      <c r="AH346" s="5" t="s">
        <v>72</v>
      </c>
      <c r="AI346" s="5" t="s">
        <v>252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2059</v>
      </c>
      <c r="AP346" s="5">
        <v>25.78</v>
      </c>
      <c r="AQ346" s="5" t="s">
        <v>713</v>
      </c>
      <c r="AR346" s="5" t="s">
        <v>1104</v>
      </c>
      <c r="AS346" s="5"/>
      <c r="AT346" s="6">
        <v>43846</v>
      </c>
      <c r="AU346" s="5"/>
      <c r="AV346" s="5">
        <v>316</v>
      </c>
      <c r="AW346" s="5" t="s">
        <v>1493</v>
      </c>
    </row>
    <row r="347" spans="1:49" x14ac:dyDescent="0.55000000000000004">
      <c r="A347" s="5" t="str">
        <f>HYPERLINK("https://www.infodis.net/philips/net/Shipment/Details?InfodisNumber=4427608&amp;DomainCode=DAP", "4427608")</f>
        <v>4427608</v>
      </c>
      <c r="B347" s="5" t="s">
        <v>1622</v>
      </c>
      <c r="C347" s="5" t="s">
        <v>1193</v>
      </c>
      <c r="D347" s="5" t="s">
        <v>1194</v>
      </c>
      <c r="E347" s="5" t="s">
        <v>1193</v>
      </c>
      <c r="F347" s="5" t="s">
        <v>77</v>
      </c>
      <c r="G347" s="5" t="s">
        <v>945</v>
      </c>
      <c r="H347" s="5" t="s">
        <v>938</v>
      </c>
      <c r="I347" s="5" t="s">
        <v>293</v>
      </c>
      <c r="J347" s="5" t="s">
        <v>81</v>
      </c>
      <c r="K347" s="5" t="s">
        <v>82</v>
      </c>
      <c r="L347" s="5" t="s">
        <v>83</v>
      </c>
      <c r="M347" s="5" t="s">
        <v>60</v>
      </c>
      <c r="N347" s="5" t="s">
        <v>1623</v>
      </c>
      <c r="O347" s="5"/>
      <c r="P347" s="5" t="s">
        <v>1196</v>
      </c>
      <c r="Q347" s="5"/>
      <c r="R347" s="5" t="s">
        <v>87</v>
      </c>
      <c r="S347" s="6">
        <v>43935</v>
      </c>
      <c r="T347" s="6">
        <v>43944</v>
      </c>
      <c r="U347" s="5"/>
      <c r="V347" s="6">
        <v>43949</v>
      </c>
      <c r="W347" s="5"/>
      <c r="X347" s="5"/>
      <c r="Y347" s="5" t="s">
        <v>66</v>
      </c>
      <c r="Z347" s="5" t="s">
        <v>66</v>
      </c>
      <c r="AA347" s="5" t="s">
        <v>66</v>
      </c>
      <c r="AB347" s="5" t="s">
        <v>68</v>
      </c>
      <c r="AC347" s="5" t="s">
        <v>67</v>
      </c>
      <c r="AD347" s="5" t="s">
        <v>67</v>
      </c>
      <c r="AE347" s="5" t="s">
        <v>162</v>
      </c>
      <c r="AF347" s="5" t="s">
        <v>70</v>
      </c>
      <c r="AG347" s="5" t="s">
        <v>71</v>
      </c>
      <c r="AH347" s="5" t="s">
        <v>72</v>
      </c>
      <c r="AI347" s="5" t="s">
        <v>73</v>
      </c>
      <c r="AJ347" s="5">
        <v>0</v>
      </c>
      <c r="AK347" s="5">
        <v>0</v>
      </c>
      <c r="AL347" s="5">
        <v>0</v>
      </c>
      <c r="AM347" s="5">
        <v>0</v>
      </c>
      <c r="AN347" s="5">
        <v>22</v>
      </c>
      <c r="AO347" s="5">
        <v>10252</v>
      </c>
      <c r="AP347" s="5">
        <v>20</v>
      </c>
      <c r="AQ347" s="5" t="s">
        <v>713</v>
      </c>
      <c r="AR347" s="5" t="s">
        <v>1104</v>
      </c>
      <c r="AS347" s="5"/>
      <c r="AT347" s="5"/>
      <c r="AU347" s="5"/>
      <c r="AV347" s="5">
        <v>-1</v>
      </c>
      <c r="AW347" s="5" t="s">
        <v>1478</v>
      </c>
    </row>
    <row r="348" spans="1:49" x14ac:dyDescent="0.55000000000000004">
      <c r="A348" s="5" t="str">
        <f>HYPERLINK("https://www.infodis.net/philips/net/Shipment/Details?InfodisNumber=4427607&amp;DomainCode=DAP", "4427607")</f>
        <v>4427607</v>
      </c>
      <c r="B348" s="5" t="s">
        <v>1624</v>
      </c>
      <c r="C348" s="5" t="s">
        <v>1193</v>
      </c>
      <c r="D348" s="5" t="s">
        <v>1194</v>
      </c>
      <c r="E348" s="5" t="s">
        <v>1193</v>
      </c>
      <c r="F348" s="5" t="s">
        <v>77</v>
      </c>
      <c r="G348" s="5" t="s">
        <v>945</v>
      </c>
      <c r="H348" s="5" t="s">
        <v>938</v>
      </c>
      <c r="I348" s="5" t="s">
        <v>293</v>
      </c>
      <c r="J348" s="5" t="s">
        <v>81</v>
      </c>
      <c r="K348" s="5" t="s">
        <v>82</v>
      </c>
      <c r="L348" s="5" t="s">
        <v>83</v>
      </c>
      <c r="M348" s="5" t="s">
        <v>60</v>
      </c>
      <c r="N348" s="5" t="s">
        <v>1625</v>
      </c>
      <c r="O348" s="5"/>
      <c r="P348" s="5" t="s">
        <v>1196</v>
      </c>
      <c r="Q348" s="5"/>
      <c r="R348" s="5" t="s">
        <v>87</v>
      </c>
      <c r="S348" s="6">
        <v>43935</v>
      </c>
      <c r="T348" s="6">
        <v>43944</v>
      </c>
      <c r="U348" s="5"/>
      <c r="V348" s="6">
        <v>43949</v>
      </c>
      <c r="W348" s="5"/>
      <c r="X348" s="5"/>
      <c r="Y348" s="5" t="s">
        <v>66</v>
      </c>
      <c r="Z348" s="5" t="s">
        <v>66</v>
      </c>
      <c r="AA348" s="5" t="s">
        <v>66</v>
      </c>
      <c r="AB348" s="5" t="s">
        <v>68</v>
      </c>
      <c r="AC348" s="5" t="s">
        <v>67</v>
      </c>
      <c r="AD348" s="5" t="s">
        <v>67</v>
      </c>
      <c r="AE348" s="5" t="s">
        <v>162</v>
      </c>
      <c r="AF348" s="5" t="s">
        <v>70</v>
      </c>
      <c r="AG348" s="5" t="s">
        <v>71</v>
      </c>
      <c r="AH348" s="5" t="s">
        <v>72</v>
      </c>
      <c r="AI348" s="5" t="s">
        <v>73</v>
      </c>
      <c r="AJ348" s="5">
        <v>0</v>
      </c>
      <c r="AK348" s="5">
        <v>0</v>
      </c>
      <c r="AL348" s="5">
        <v>0</v>
      </c>
      <c r="AM348" s="5">
        <v>0</v>
      </c>
      <c r="AN348" s="5">
        <v>22</v>
      </c>
      <c r="AO348" s="5">
        <v>10252</v>
      </c>
      <c r="AP348" s="5">
        <v>20</v>
      </c>
      <c r="AQ348" s="5" t="s">
        <v>713</v>
      </c>
      <c r="AR348" s="5" t="s">
        <v>1104</v>
      </c>
      <c r="AS348" s="5"/>
      <c r="AT348" s="5"/>
      <c r="AU348" s="5"/>
      <c r="AV348" s="5">
        <v>-1</v>
      </c>
      <c r="AW348" s="5" t="s">
        <v>1478</v>
      </c>
    </row>
    <row r="349" spans="1:49" x14ac:dyDescent="0.55000000000000004">
      <c r="A349" s="5" t="str">
        <f>HYPERLINK("https://www.infodis.net/philips/net/Shipment/Details?InfodisNumber=6049649&amp;DomainCode=PHILIPSR1", "6049649")</f>
        <v>6049649</v>
      </c>
      <c r="B349" s="5" t="s">
        <v>1626</v>
      </c>
      <c r="C349" s="5" t="s">
        <v>607</v>
      </c>
      <c r="D349" s="5" t="s">
        <v>608</v>
      </c>
      <c r="E349" s="5" t="s">
        <v>458</v>
      </c>
      <c r="F349" s="5" t="s">
        <v>1627</v>
      </c>
      <c r="G349" s="5" t="s">
        <v>610</v>
      </c>
      <c r="H349" s="5" t="s">
        <v>180</v>
      </c>
      <c r="I349" s="5" t="s">
        <v>547</v>
      </c>
      <c r="J349" s="5" t="s">
        <v>1628</v>
      </c>
      <c r="K349" s="5" t="s">
        <v>1629</v>
      </c>
      <c r="L349" s="5" t="s">
        <v>207</v>
      </c>
      <c r="M349" s="5" t="s">
        <v>60</v>
      </c>
      <c r="N349" s="5" t="s">
        <v>1630</v>
      </c>
      <c r="O349" s="5"/>
      <c r="P349" s="5" t="s">
        <v>613</v>
      </c>
      <c r="Q349" s="5"/>
      <c r="R349" s="5" t="s">
        <v>1631</v>
      </c>
      <c r="S349" s="6">
        <v>43810</v>
      </c>
      <c r="T349" s="6">
        <v>43811</v>
      </c>
      <c r="U349" s="6">
        <v>43810</v>
      </c>
      <c r="V349" s="6">
        <v>43818</v>
      </c>
      <c r="W349" s="6">
        <v>43837</v>
      </c>
      <c r="X349" s="6">
        <v>43876</v>
      </c>
      <c r="Y349" s="5" t="s">
        <v>649</v>
      </c>
      <c r="Z349" s="5" t="s">
        <v>649</v>
      </c>
      <c r="AA349" s="5" t="s">
        <v>649</v>
      </c>
      <c r="AB349" s="5" t="s">
        <v>67</v>
      </c>
      <c r="AC349" s="5" t="s">
        <v>67</v>
      </c>
      <c r="AD349" s="5" t="s">
        <v>67</v>
      </c>
      <c r="AE349" s="5" t="s">
        <v>90</v>
      </c>
      <c r="AF349" s="5" t="s">
        <v>70</v>
      </c>
      <c r="AG349" s="5" t="s">
        <v>71</v>
      </c>
      <c r="AH349" s="5" t="s">
        <v>72</v>
      </c>
      <c r="AI349" s="5" t="s">
        <v>252</v>
      </c>
      <c r="AJ349" s="5">
        <v>0</v>
      </c>
      <c r="AK349" s="5">
        <v>0</v>
      </c>
      <c r="AL349" s="5">
        <v>0</v>
      </c>
      <c r="AM349" s="5">
        <v>0</v>
      </c>
      <c r="AN349" s="5">
        <v>16</v>
      </c>
      <c r="AO349" s="5">
        <v>3010.95</v>
      </c>
      <c r="AP349" s="5">
        <v>24.867999999999999</v>
      </c>
      <c r="AQ349" s="5" t="s">
        <v>713</v>
      </c>
      <c r="AR349" s="5" t="s">
        <v>1104</v>
      </c>
      <c r="AS349" s="5"/>
      <c r="AT349" s="5"/>
      <c r="AU349" s="5"/>
      <c r="AV349" s="5">
        <v>-1</v>
      </c>
      <c r="AW349" s="5" t="s">
        <v>1632</v>
      </c>
    </row>
    <row r="350" spans="1:49" x14ac:dyDescent="0.55000000000000004">
      <c r="A350" s="5" t="str">
        <f>HYPERLINK("https://www.infodis.net/philips/net/Shipment/Details?InfodisNumber=4410158&amp;DomainCode=DAP", "4410158")</f>
        <v>4410158</v>
      </c>
      <c r="B350" s="5" t="s">
        <v>1633</v>
      </c>
      <c r="C350" s="5" t="s">
        <v>1193</v>
      </c>
      <c r="D350" s="5" t="s">
        <v>1194</v>
      </c>
      <c r="E350" s="5" t="s">
        <v>1193</v>
      </c>
      <c r="F350" s="5" t="s">
        <v>77</v>
      </c>
      <c r="G350" s="5" t="s">
        <v>945</v>
      </c>
      <c r="H350" s="5" t="s">
        <v>938</v>
      </c>
      <c r="I350" s="5" t="s">
        <v>293</v>
      </c>
      <c r="J350" s="5" t="s">
        <v>81</v>
      </c>
      <c r="K350" s="5" t="s">
        <v>82</v>
      </c>
      <c r="L350" s="5" t="s">
        <v>83</v>
      </c>
      <c r="M350" s="5" t="s">
        <v>60</v>
      </c>
      <c r="N350" s="5" t="s">
        <v>1634</v>
      </c>
      <c r="O350" s="5" t="s">
        <v>1635</v>
      </c>
      <c r="P350" s="5" t="s">
        <v>1196</v>
      </c>
      <c r="Q350" s="5"/>
      <c r="R350" s="5" t="s">
        <v>87</v>
      </c>
      <c r="S350" s="6">
        <v>43902</v>
      </c>
      <c r="T350" s="6">
        <v>43924</v>
      </c>
      <c r="U350" s="5"/>
      <c r="V350" s="6">
        <v>43927</v>
      </c>
      <c r="W350" s="6">
        <v>43928</v>
      </c>
      <c r="X350" s="5"/>
      <c r="Y350" s="5" t="s">
        <v>66</v>
      </c>
      <c r="Z350" s="5" t="s">
        <v>66</v>
      </c>
      <c r="AA350" s="5" t="s">
        <v>66</v>
      </c>
      <c r="AB350" s="5" t="s">
        <v>68</v>
      </c>
      <c r="AC350" s="5" t="s">
        <v>67</v>
      </c>
      <c r="AD350" s="5" t="s">
        <v>67</v>
      </c>
      <c r="AE350" s="5" t="s">
        <v>162</v>
      </c>
      <c r="AF350" s="5" t="s">
        <v>70</v>
      </c>
      <c r="AG350" s="5" t="s">
        <v>71</v>
      </c>
      <c r="AH350" s="5" t="s">
        <v>72</v>
      </c>
      <c r="AI350" s="5" t="s">
        <v>73</v>
      </c>
      <c r="AJ350" s="5">
        <v>0</v>
      </c>
      <c r="AK350" s="5">
        <v>0</v>
      </c>
      <c r="AL350" s="5">
        <v>0</v>
      </c>
      <c r="AM350" s="5">
        <v>0</v>
      </c>
      <c r="AN350" s="5">
        <v>40</v>
      </c>
      <c r="AO350" s="5">
        <v>19120</v>
      </c>
      <c r="AP350" s="5">
        <v>31.92</v>
      </c>
      <c r="AQ350" s="5" t="s">
        <v>713</v>
      </c>
      <c r="AR350" s="5" t="s">
        <v>1104</v>
      </c>
      <c r="AS350" s="5"/>
      <c r="AT350" s="5"/>
      <c r="AU350" s="5"/>
      <c r="AV350" s="5">
        <v>-1</v>
      </c>
      <c r="AW350" s="5" t="s">
        <v>1482</v>
      </c>
    </row>
    <row r="351" spans="1:49" x14ac:dyDescent="0.55000000000000004">
      <c r="A351" s="5" t="str">
        <f>HYPERLINK("https://www.infodis.net/philips/net/Shipment/Details?InfodisNumber=4453799&amp;DomainCode=DAP", "4453799")</f>
        <v>4453799</v>
      </c>
      <c r="B351" s="5" t="s">
        <v>1636</v>
      </c>
      <c r="C351" s="5" t="s">
        <v>1193</v>
      </c>
      <c r="D351" s="5" t="s">
        <v>1194</v>
      </c>
      <c r="E351" s="5" t="s">
        <v>1193</v>
      </c>
      <c r="F351" s="5" t="s">
        <v>77</v>
      </c>
      <c r="G351" s="5" t="s">
        <v>945</v>
      </c>
      <c r="H351" s="5" t="s">
        <v>938</v>
      </c>
      <c r="I351" s="5" t="s">
        <v>293</v>
      </c>
      <c r="J351" s="5" t="s">
        <v>81</v>
      </c>
      <c r="K351" s="5" t="s">
        <v>82</v>
      </c>
      <c r="L351" s="5" t="s">
        <v>83</v>
      </c>
      <c r="M351" s="5" t="s">
        <v>84</v>
      </c>
      <c r="N351" s="5" t="s">
        <v>1637</v>
      </c>
      <c r="O351" s="5"/>
      <c r="P351" s="5" t="s">
        <v>1196</v>
      </c>
      <c r="Q351" s="5"/>
      <c r="R351" s="5" t="s">
        <v>87</v>
      </c>
      <c r="S351" s="6">
        <v>43993</v>
      </c>
      <c r="T351" s="6">
        <v>43997</v>
      </c>
      <c r="U351" s="5"/>
      <c r="V351" s="6">
        <v>44002</v>
      </c>
      <c r="W351" s="6">
        <v>43997</v>
      </c>
      <c r="X351" s="5"/>
      <c r="Y351" s="5" t="s">
        <v>66</v>
      </c>
      <c r="Z351" s="5" t="s">
        <v>238</v>
      </c>
      <c r="AA351" s="5" t="s">
        <v>1481</v>
      </c>
      <c r="AB351" s="5" t="s">
        <v>68</v>
      </c>
      <c r="AC351" s="5" t="s">
        <v>67</v>
      </c>
      <c r="AD351" s="5" t="s">
        <v>67</v>
      </c>
      <c r="AE351" s="5" t="s">
        <v>90</v>
      </c>
      <c r="AF351" s="5" t="s">
        <v>70</v>
      </c>
      <c r="AG351" s="5" t="s">
        <v>71</v>
      </c>
      <c r="AH351" s="5" t="s">
        <v>72</v>
      </c>
      <c r="AI351" s="5" t="s">
        <v>73</v>
      </c>
      <c r="AJ351" s="5">
        <v>0</v>
      </c>
      <c r="AK351" s="5">
        <v>0</v>
      </c>
      <c r="AL351" s="5">
        <v>0</v>
      </c>
      <c r="AM351" s="5">
        <v>0</v>
      </c>
      <c r="AN351" s="5">
        <v>40</v>
      </c>
      <c r="AO351" s="5">
        <v>19120</v>
      </c>
      <c r="AP351" s="5">
        <v>31.92</v>
      </c>
      <c r="AQ351" s="5" t="s">
        <v>713</v>
      </c>
      <c r="AR351" s="5" t="s">
        <v>1104</v>
      </c>
      <c r="AS351" s="5"/>
      <c r="AT351" s="5"/>
      <c r="AU351" s="5"/>
      <c r="AV351" s="5">
        <v>-1</v>
      </c>
      <c r="AW351" s="5" t="s">
        <v>1638</v>
      </c>
    </row>
    <row r="352" spans="1:49" x14ac:dyDescent="0.55000000000000004">
      <c r="A352" s="5" t="str">
        <f>HYPERLINK("https://www.infodis.net/philips/net/Shipment/Details?InfodisNumber=6137064&amp;DomainCode=PHILIPSR1", "6137064")</f>
        <v>6137064</v>
      </c>
      <c r="B352" s="5" t="s">
        <v>1639</v>
      </c>
      <c r="C352" s="5" t="s">
        <v>1065</v>
      </c>
      <c r="D352" s="5" t="s">
        <v>1066</v>
      </c>
      <c r="E352" s="5" t="s">
        <v>1067</v>
      </c>
      <c r="F352" s="5" t="s">
        <v>915</v>
      </c>
      <c r="G352" s="5" t="s">
        <v>1069</v>
      </c>
      <c r="H352" s="5" t="s">
        <v>180</v>
      </c>
      <c r="I352" s="5" t="s">
        <v>1640</v>
      </c>
      <c r="J352" s="5" t="s">
        <v>917</v>
      </c>
      <c r="K352" s="5" t="s">
        <v>918</v>
      </c>
      <c r="L352" s="5" t="s">
        <v>881</v>
      </c>
      <c r="M352" s="5" t="s">
        <v>60</v>
      </c>
      <c r="N352" s="5"/>
      <c r="O352" s="5" t="s">
        <v>1641</v>
      </c>
      <c r="P352" s="5" t="s">
        <v>1072</v>
      </c>
      <c r="Q352" s="5"/>
      <c r="R352" s="5" t="s">
        <v>888</v>
      </c>
      <c r="S352" s="6">
        <v>43843</v>
      </c>
      <c r="T352" s="6">
        <v>43857</v>
      </c>
      <c r="U352" s="6">
        <v>43854</v>
      </c>
      <c r="V352" s="6">
        <v>43866</v>
      </c>
      <c r="W352" s="6">
        <v>43864</v>
      </c>
      <c r="X352" s="6">
        <v>43881</v>
      </c>
      <c r="Y352" s="5" t="s">
        <v>649</v>
      </c>
      <c r="Z352" s="5" t="s">
        <v>649</v>
      </c>
      <c r="AA352" s="5" t="s">
        <v>649</v>
      </c>
      <c r="AB352" s="5" t="s">
        <v>67</v>
      </c>
      <c r="AC352" s="5" t="s">
        <v>67</v>
      </c>
      <c r="AD352" s="5" t="s">
        <v>67</v>
      </c>
      <c r="AE352" s="5" t="s">
        <v>69</v>
      </c>
      <c r="AF352" s="5" t="s">
        <v>70</v>
      </c>
      <c r="AG352" s="5" t="s">
        <v>71</v>
      </c>
      <c r="AH352" s="5" t="s">
        <v>72</v>
      </c>
      <c r="AI352" s="5" t="s">
        <v>252</v>
      </c>
      <c r="AJ352" s="5">
        <v>0</v>
      </c>
      <c r="AK352" s="5">
        <v>0</v>
      </c>
      <c r="AL352" s="5">
        <v>0</v>
      </c>
      <c r="AM352" s="5">
        <v>0</v>
      </c>
      <c r="AN352" s="5">
        <v>24</v>
      </c>
      <c r="AO352" s="5">
        <v>2812.27</v>
      </c>
      <c r="AP352" s="5">
        <v>1.5629999999999999</v>
      </c>
      <c r="AQ352" s="5" t="s">
        <v>713</v>
      </c>
      <c r="AR352" s="5" t="s">
        <v>1104</v>
      </c>
      <c r="AS352" s="5"/>
      <c r="AT352" s="6">
        <v>43846</v>
      </c>
      <c r="AU352" s="5"/>
      <c r="AV352" s="5">
        <v>316</v>
      </c>
      <c r="AW352" s="5" t="s">
        <v>1493</v>
      </c>
    </row>
    <row r="353" spans="1:49" x14ac:dyDescent="0.55000000000000004">
      <c r="A353" s="5" t="str">
        <f>HYPERLINK("https://www.infodis.net/philips/net/Shipment/Details?InfodisNumber=4340286&amp;DomainCode=DAP", "4340286")</f>
        <v>4340286</v>
      </c>
      <c r="B353" s="5" t="s">
        <v>1642</v>
      </c>
      <c r="C353" s="5" t="s">
        <v>1643</v>
      </c>
      <c r="D353" s="5" t="s">
        <v>1644</v>
      </c>
      <c r="E353" s="5" t="s">
        <v>77</v>
      </c>
      <c r="F353" s="5" t="s">
        <v>77</v>
      </c>
      <c r="G353" s="5" t="s">
        <v>945</v>
      </c>
      <c r="H353" s="5" t="s">
        <v>938</v>
      </c>
      <c r="I353" s="5" t="s">
        <v>293</v>
      </c>
      <c r="J353" s="5" t="s">
        <v>81</v>
      </c>
      <c r="K353" s="5" t="s">
        <v>82</v>
      </c>
      <c r="L353" s="5" t="s">
        <v>83</v>
      </c>
      <c r="M353" s="5" t="s">
        <v>84</v>
      </c>
      <c r="N353" s="5" t="s">
        <v>1645</v>
      </c>
      <c r="O353" s="5"/>
      <c r="P353" s="5" t="s">
        <v>1646</v>
      </c>
      <c r="Q353" s="5"/>
      <c r="R353" s="5" t="s">
        <v>87</v>
      </c>
      <c r="S353" s="6">
        <v>43784</v>
      </c>
      <c r="T353" s="6">
        <v>43780</v>
      </c>
      <c r="U353" s="6">
        <v>43755</v>
      </c>
      <c r="V353" s="6">
        <v>43789</v>
      </c>
      <c r="W353" s="6">
        <v>43787</v>
      </c>
      <c r="X353" s="6">
        <v>43788</v>
      </c>
      <c r="Y353" s="5" t="s">
        <v>1197</v>
      </c>
      <c r="Z353" s="5" t="s">
        <v>1197</v>
      </c>
      <c r="AA353" s="5" t="s">
        <v>1197</v>
      </c>
      <c r="AB353" s="5" t="s">
        <v>67</v>
      </c>
      <c r="AC353" s="5" t="s">
        <v>67</v>
      </c>
      <c r="AD353" s="5" t="s">
        <v>67</v>
      </c>
      <c r="AE353" s="5" t="s">
        <v>69</v>
      </c>
      <c r="AF353" s="5" t="s">
        <v>70</v>
      </c>
      <c r="AG353" s="5" t="s">
        <v>71</v>
      </c>
      <c r="AH353" s="5" t="s">
        <v>72</v>
      </c>
      <c r="AI353" s="5" t="s">
        <v>73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1560</v>
      </c>
      <c r="AP353" s="5">
        <v>8.3800000000000008</v>
      </c>
      <c r="AQ353" s="5" t="s">
        <v>713</v>
      </c>
      <c r="AR353" s="5" t="s">
        <v>1104</v>
      </c>
      <c r="AS353" s="5"/>
      <c r="AT353" s="5"/>
      <c r="AU353" s="5"/>
      <c r="AV353" s="5">
        <v>-1</v>
      </c>
      <c r="AW353" s="5" t="s">
        <v>1647</v>
      </c>
    </row>
    <row r="354" spans="1:49" x14ac:dyDescent="0.55000000000000004">
      <c r="A354" s="5" t="str">
        <f>HYPERLINK("https://www.infodis.net/philips/net/Shipment/Details?InfodisNumber=5878199&amp;DomainCode=PHILIPSR1", "5878199")</f>
        <v>5878199</v>
      </c>
      <c r="B354" s="5" t="s">
        <v>1648</v>
      </c>
      <c r="C354" s="5" t="s">
        <v>877</v>
      </c>
      <c r="D354" s="5" t="s">
        <v>878</v>
      </c>
      <c r="E354" s="5" t="s">
        <v>877</v>
      </c>
      <c r="F354" s="5" t="s">
        <v>651</v>
      </c>
      <c r="G354" s="5" t="s">
        <v>880</v>
      </c>
      <c r="H354" s="5" t="s">
        <v>881</v>
      </c>
      <c r="I354" s="5" t="s">
        <v>1649</v>
      </c>
      <c r="J354" s="5" t="s">
        <v>157</v>
      </c>
      <c r="K354" s="5" t="s">
        <v>653</v>
      </c>
      <c r="L354" s="5" t="s">
        <v>159</v>
      </c>
      <c r="M354" s="5" t="s">
        <v>60</v>
      </c>
      <c r="N354" s="5" t="s">
        <v>1650</v>
      </c>
      <c r="O354" s="5"/>
      <c r="P354" s="5" t="s">
        <v>888</v>
      </c>
      <c r="Q354" s="5"/>
      <c r="R354" s="5" t="s">
        <v>655</v>
      </c>
      <c r="S354" s="6">
        <v>43750</v>
      </c>
      <c r="T354" s="6">
        <v>43753</v>
      </c>
      <c r="U354" s="6">
        <v>43762</v>
      </c>
      <c r="V354" s="6">
        <v>43765</v>
      </c>
      <c r="W354" s="6">
        <v>43770</v>
      </c>
      <c r="X354" s="6">
        <v>43819</v>
      </c>
      <c r="Y354" s="5" t="s">
        <v>649</v>
      </c>
      <c r="Z354" s="5" t="s">
        <v>649</v>
      </c>
      <c r="AA354" s="5" t="s">
        <v>649</v>
      </c>
      <c r="AB354" s="5" t="s">
        <v>67</v>
      </c>
      <c r="AC354" s="5" t="s">
        <v>67</v>
      </c>
      <c r="AD354" s="5" t="s">
        <v>67</v>
      </c>
      <c r="AE354" s="5" t="s">
        <v>69</v>
      </c>
      <c r="AF354" s="5" t="s">
        <v>70</v>
      </c>
      <c r="AG354" s="5" t="s">
        <v>71</v>
      </c>
      <c r="AH354" s="5" t="s">
        <v>72</v>
      </c>
      <c r="AI354" s="5" t="s">
        <v>252</v>
      </c>
      <c r="AJ354" s="5">
        <v>0</v>
      </c>
      <c r="AK354" s="5">
        <v>0</v>
      </c>
      <c r="AL354" s="5">
        <v>0</v>
      </c>
      <c r="AM354" s="5">
        <v>0</v>
      </c>
      <c r="AN354" s="5">
        <v>20</v>
      </c>
      <c r="AO354" s="5">
        <v>3914</v>
      </c>
      <c r="AP354" s="5">
        <v>36.06</v>
      </c>
      <c r="AQ354" s="5" t="s">
        <v>713</v>
      </c>
      <c r="AR354" s="5" t="s">
        <v>1104</v>
      </c>
      <c r="AS354" s="5" t="s">
        <v>713</v>
      </c>
      <c r="AT354" s="6">
        <v>43798</v>
      </c>
      <c r="AU354" s="5" t="s">
        <v>1651</v>
      </c>
      <c r="AV354" s="5">
        <v>364</v>
      </c>
      <c r="AW354" s="5" t="s">
        <v>1652</v>
      </c>
    </row>
    <row r="355" spans="1:49" x14ac:dyDescent="0.55000000000000004">
      <c r="A355" s="5" t="str">
        <f>HYPERLINK("https://www.infodis.net/philips/net/Shipment/Details?InfodisNumber=6207221&amp;DomainCode=PHILIPSR1", "6207221")</f>
        <v>6207221</v>
      </c>
      <c r="B355" s="5" t="s">
        <v>1653</v>
      </c>
      <c r="C355" s="5" t="s">
        <v>1065</v>
      </c>
      <c r="D355" s="5" t="s">
        <v>1066</v>
      </c>
      <c r="E355" s="5" t="s">
        <v>1067</v>
      </c>
      <c r="F355" s="5" t="s">
        <v>1654</v>
      </c>
      <c r="G355" s="5" t="s">
        <v>1069</v>
      </c>
      <c r="H355" s="5" t="s">
        <v>180</v>
      </c>
      <c r="I355" s="5" t="s">
        <v>1070</v>
      </c>
      <c r="J355" s="5" t="s">
        <v>1655</v>
      </c>
      <c r="K355" s="5" t="s">
        <v>1656</v>
      </c>
      <c r="L355" s="5" t="s">
        <v>1657</v>
      </c>
      <c r="M355" s="5" t="s">
        <v>1658</v>
      </c>
      <c r="N355" s="5"/>
      <c r="O355" s="5"/>
      <c r="P355" s="5" t="s">
        <v>1072</v>
      </c>
      <c r="Q355" s="5"/>
      <c r="R355" s="5" t="s">
        <v>1659</v>
      </c>
      <c r="S355" s="6">
        <v>43867</v>
      </c>
      <c r="T355" s="6">
        <v>43868</v>
      </c>
      <c r="U355" s="6">
        <v>43889</v>
      </c>
      <c r="V355" s="6">
        <v>43891</v>
      </c>
      <c r="W355" s="6">
        <v>43892</v>
      </c>
      <c r="X355" s="6">
        <v>43899</v>
      </c>
      <c r="Y355" s="5" t="s">
        <v>649</v>
      </c>
      <c r="Z355" s="5" t="s">
        <v>649</v>
      </c>
      <c r="AA355" s="5" t="s">
        <v>66</v>
      </c>
      <c r="AB355" s="5" t="s">
        <v>67</v>
      </c>
      <c r="AC355" s="5" t="s">
        <v>67</v>
      </c>
      <c r="AD355" s="5" t="s">
        <v>68</v>
      </c>
      <c r="AE355" s="5" t="s">
        <v>69</v>
      </c>
      <c r="AF355" s="5" t="s">
        <v>70</v>
      </c>
      <c r="AG355" s="5" t="s">
        <v>71</v>
      </c>
      <c r="AH355" s="5" t="s">
        <v>72</v>
      </c>
      <c r="AI355" s="5" t="s">
        <v>252</v>
      </c>
      <c r="AJ355" s="5">
        <v>0</v>
      </c>
      <c r="AK355" s="5">
        <v>0</v>
      </c>
      <c r="AL355" s="5">
        <v>0</v>
      </c>
      <c r="AM355" s="5">
        <v>0</v>
      </c>
      <c r="AN355" s="5">
        <v>18</v>
      </c>
      <c r="AO355" s="5">
        <v>3414.009</v>
      </c>
      <c r="AP355" s="5">
        <v>26.094000000000001</v>
      </c>
      <c r="AQ355" s="5" t="s">
        <v>713</v>
      </c>
      <c r="AR355" s="5" t="s">
        <v>1104</v>
      </c>
      <c r="AS355" s="5" t="s">
        <v>713</v>
      </c>
      <c r="AT355" s="6">
        <v>43871</v>
      </c>
      <c r="AU355" s="5" t="s">
        <v>1660</v>
      </c>
      <c r="AV355" s="5">
        <v>291</v>
      </c>
      <c r="AW355" s="5" t="s">
        <v>1661</v>
      </c>
    </row>
    <row r="356" spans="1:49" x14ac:dyDescent="0.55000000000000004">
      <c r="A356" s="5" t="str">
        <f>HYPERLINK("https://www.infodis.net/philips/net/Shipment/Details?InfodisNumber=6137872&amp;DomainCode=PHILIPSR1", "6137872")</f>
        <v>6137872</v>
      </c>
      <c r="B356" s="5" t="s">
        <v>1662</v>
      </c>
      <c r="C356" s="5" t="s">
        <v>993</v>
      </c>
      <c r="D356" s="5" t="s">
        <v>994</v>
      </c>
      <c r="E356" s="5" t="s">
        <v>1663</v>
      </c>
      <c r="F356" s="5" t="s">
        <v>1664</v>
      </c>
      <c r="G356" s="5" t="s">
        <v>1665</v>
      </c>
      <c r="H356" s="5" t="s">
        <v>647</v>
      </c>
      <c r="I356" s="5" t="s">
        <v>268</v>
      </c>
      <c r="J356" s="5" t="s">
        <v>194</v>
      </c>
      <c r="K356" s="5" t="s">
        <v>1052</v>
      </c>
      <c r="L356" s="5" t="s">
        <v>180</v>
      </c>
      <c r="M356" s="5" t="s">
        <v>261</v>
      </c>
      <c r="N356" s="5" t="s">
        <v>1666</v>
      </c>
      <c r="O356" s="5" t="s">
        <v>1667</v>
      </c>
      <c r="P356" s="5" t="s">
        <v>1668</v>
      </c>
      <c r="Q356" s="5"/>
      <c r="R356" s="5" t="s">
        <v>1055</v>
      </c>
      <c r="S356" s="6">
        <v>43844</v>
      </c>
      <c r="T356" s="6">
        <v>43845</v>
      </c>
      <c r="U356" s="6">
        <v>43853</v>
      </c>
      <c r="V356" s="6">
        <v>43857</v>
      </c>
      <c r="W356" s="6">
        <v>43858</v>
      </c>
      <c r="X356" s="6">
        <v>43908</v>
      </c>
      <c r="Y356" s="5" t="s">
        <v>66</v>
      </c>
      <c r="Z356" s="5" t="s">
        <v>649</v>
      </c>
      <c r="AA356" s="5" t="s">
        <v>649</v>
      </c>
      <c r="AB356" s="5" t="s">
        <v>68</v>
      </c>
      <c r="AC356" s="5" t="s">
        <v>67</v>
      </c>
      <c r="AD356" s="5" t="s">
        <v>67</v>
      </c>
      <c r="AE356" s="5" t="s">
        <v>162</v>
      </c>
      <c r="AF356" s="5" t="s">
        <v>70</v>
      </c>
      <c r="AG356" s="5" t="s">
        <v>71</v>
      </c>
      <c r="AH356" s="5" t="s">
        <v>72</v>
      </c>
      <c r="AI356" s="5" t="s">
        <v>252</v>
      </c>
      <c r="AJ356" s="5">
        <v>0</v>
      </c>
      <c r="AK356" s="5">
        <v>0</v>
      </c>
      <c r="AL356" s="5">
        <v>0</v>
      </c>
      <c r="AM356" s="5">
        <v>0</v>
      </c>
      <c r="AN356" s="5">
        <v>17</v>
      </c>
      <c r="AO356" s="5">
        <v>6022</v>
      </c>
      <c r="AP356" s="5">
        <v>24.395</v>
      </c>
      <c r="AQ356" s="5" t="s">
        <v>713</v>
      </c>
      <c r="AR356" s="5" t="s">
        <v>1104</v>
      </c>
      <c r="AS356" s="5"/>
      <c r="AT356" s="6">
        <v>43846</v>
      </c>
      <c r="AU356" s="5"/>
      <c r="AV356" s="5">
        <v>316</v>
      </c>
      <c r="AW356" s="5" t="s">
        <v>1493</v>
      </c>
    </row>
    <row r="357" spans="1:49" x14ac:dyDescent="0.55000000000000004">
      <c r="A357" s="5" t="str">
        <f>HYPERLINK("https://www.infodis.net/philips/net/Shipment/Details?InfodisNumber=4430943&amp;DomainCode=DAP", "4430943")</f>
        <v>4430943</v>
      </c>
      <c r="B357" s="5" t="s">
        <v>1669</v>
      </c>
      <c r="C357" s="5" t="s">
        <v>1193</v>
      </c>
      <c r="D357" s="5" t="s">
        <v>1194</v>
      </c>
      <c r="E357" s="5" t="s">
        <v>1193</v>
      </c>
      <c r="F357" s="5" t="s">
        <v>77</v>
      </c>
      <c r="G357" s="5" t="s">
        <v>945</v>
      </c>
      <c r="H357" s="5" t="s">
        <v>938</v>
      </c>
      <c r="I357" s="5" t="s">
        <v>293</v>
      </c>
      <c r="J357" s="5" t="s">
        <v>81</v>
      </c>
      <c r="K357" s="5" t="s">
        <v>82</v>
      </c>
      <c r="L357" s="5" t="s">
        <v>83</v>
      </c>
      <c r="M357" s="5" t="s">
        <v>60</v>
      </c>
      <c r="N357" s="5" t="s">
        <v>1670</v>
      </c>
      <c r="O357" s="5"/>
      <c r="P357" s="5" t="s">
        <v>1196</v>
      </c>
      <c r="Q357" s="5"/>
      <c r="R357" s="5" t="s">
        <v>87</v>
      </c>
      <c r="S357" s="6">
        <v>43943</v>
      </c>
      <c r="T357" s="6">
        <v>43951</v>
      </c>
      <c r="U357" s="5"/>
      <c r="V357" s="6">
        <v>43956</v>
      </c>
      <c r="W357" s="5"/>
      <c r="X357" s="5"/>
      <c r="Y357" s="5" t="s">
        <v>66</v>
      </c>
      <c r="Z357" s="5" t="s">
        <v>66</v>
      </c>
      <c r="AA357" s="5" t="s">
        <v>66</v>
      </c>
      <c r="AB357" s="5" t="s">
        <v>68</v>
      </c>
      <c r="AC357" s="5" t="s">
        <v>67</v>
      </c>
      <c r="AD357" s="5" t="s">
        <v>67</v>
      </c>
      <c r="AE357" s="5" t="s">
        <v>162</v>
      </c>
      <c r="AF357" s="5" t="s">
        <v>70</v>
      </c>
      <c r="AG357" s="5" t="s">
        <v>71</v>
      </c>
      <c r="AH357" s="5" t="s">
        <v>72</v>
      </c>
      <c r="AI357" s="5" t="s">
        <v>73</v>
      </c>
      <c r="AJ357" s="5">
        <v>0</v>
      </c>
      <c r="AK357" s="5">
        <v>0</v>
      </c>
      <c r="AL357" s="5">
        <v>0</v>
      </c>
      <c r="AM357" s="5">
        <v>0</v>
      </c>
      <c r="AN357" s="5">
        <v>22</v>
      </c>
      <c r="AO357" s="5">
        <v>10252</v>
      </c>
      <c r="AP357" s="5">
        <v>10</v>
      </c>
      <c r="AQ357" s="5" t="s">
        <v>713</v>
      </c>
      <c r="AR357" s="5" t="s">
        <v>1104</v>
      </c>
      <c r="AS357" s="5"/>
      <c r="AT357" s="5"/>
      <c r="AU357" s="5"/>
      <c r="AV357" s="5">
        <v>-1</v>
      </c>
      <c r="AW357" s="5" t="s">
        <v>1478</v>
      </c>
    </row>
    <row r="358" spans="1:49" x14ac:dyDescent="0.55000000000000004">
      <c r="A358" s="5" t="str">
        <f>HYPERLINK("https://www.infodis.net/philips/net/Shipment/Details?InfodisNumber=4281103&amp;DomainCode=DAP", "4281103")</f>
        <v>4281103</v>
      </c>
      <c r="B358" s="5" t="s">
        <v>1671</v>
      </c>
      <c r="C358" s="5" t="s">
        <v>376</v>
      </c>
      <c r="D358" s="5" t="s">
        <v>377</v>
      </c>
      <c r="E358" s="5" t="s">
        <v>304</v>
      </c>
      <c r="F358" s="5" t="s">
        <v>378</v>
      </c>
      <c r="G358" s="5" t="s">
        <v>379</v>
      </c>
      <c r="H358" s="5" t="s">
        <v>380</v>
      </c>
      <c r="I358" s="5" t="s">
        <v>381</v>
      </c>
      <c r="J358" s="5" t="s">
        <v>382</v>
      </c>
      <c r="K358" s="5" t="s">
        <v>383</v>
      </c>
      <c r="L358" s="5" t="s">
        <v>384</v>
      </c>
      <c r="M358" s="5" t="s">
        <v>385</v>
      </c>
      <c r="N358" s="5" t="s">
        <v>1672</v>
      </c>
      <c r="O358" s="5" t="s">
        <v>1673</v>
      </c>
      <c r="P358" s="5" t="s">
        <v>388</v>
      </c>
      <c r="Q358" s="5"/>
      <c r="R358" s="5" t="s">
        <v>389</v>
      </c>
      <c r="S358" s="6">
        <v>43710</v>
      </c>
      <c r="T358" s="6">
        <v>43716</v>
      </c>
      <c r="U358" s="5"/>
      <c r="V358" s="6">
        <v>43717</v>
      </c>
      <c r="W358" s="6">
        <v>43717</v>
      </c>
      <c r="X358" s="6">
        <v>43769</v>
      </c>
      <c r="Y358" s="5" t="s">
        <v>65</v>
      </c>
      <c r="Z358" s="5" t="s">
        <v>65</v>
      </c>
      <c r="AA358" s="5" t="s">
        <v>66</v>
      </c>
      <c r="AB358" s="5" t="s">
        <v>67</v>
      </c>
      <c r="AC358" s="5" t="s">
        <v>67</v>
      </c>
      <c r="AD358" s="5" t="s">
        <v>67</v>
      </c>
      <c r="AE358" s="5" t="s">
        <v>162</v>
      </c>
      <c r="AF358" s="5" t="s">
        <v>70</v>
      </c>
      <c r="AG358" s="5" t="s">
        <v>71</v>
      </c>
      <c r="AH358" s="5" t="s">
        <v>72</v>
      </c>
      <c r="AI358" s="5" t="s">
        <v>73</v>
      </c>
      <c r="AJ358" s="5">
        <v>0</v>
      </c>
      <c r="AK358" s="5">
        <v>0</v>
      </c>
      <c r="AL358" s="5">
        <v>0</v>
      </c>
      <c r="AM358" s="5">
        <v>0</v>
      </c>
      <c r="AN358" s="5">
        <v>9</v>
      </c>
      <c r="AO358" s="5">
        <v>1656</v>
      </c>
      <c r="AP358" s="5">
        <v>17.539000000000001</v>
      </c>
      <c r="AQ358" s="5" t="s">
        <v>713</v>
      </c>
      <c r="AR358" s="5" t="s">
        <v>1104</v>
      </c>
      <c r="AS358" s="5" t="s">
        <v>713</v>
      </c>
      <c r="AT358" s="6">
        <v>43733</v>
      </c>
      <c r="AU358" s="5" t="s">
        <v>1674</v>
      </c>
      <c r="AV358" s="5">
        <v>429</v>
      </c>
      <c r="AW358" s="5" t="s">
        <v>1675</v>
      </c>
    </row>
    <row r="359" spans="1:49" x14ac:dyDescent="0.55000000000000004">
      <c r="A359" s="5" t="str">
        <f>HYPERLINK("https://www.infodis.net/philips/net/Shipment/Details?InfodisNumber=6361500&amp;DomainCode=PHILIPSR1", "6361500")</f>
        <v>6361500</v>
      </c>
      <c r="B359" s="5" t="s">
        <v>1676</v>
      </c>
      <c r="C359" s="5" t="s">
        <v>607</v>
      </c>
      <c r="D359" s="5" t="s">
        <v>608</v>
      </c>
      <c r="E359" s="5" t="s">
        <v>458</v>
      </c>
      <c r="F359" s="5" t="s">
        <v>1677</v>
      </c>
      <c r="G359" s="5" t="s">
        <v>610</v>
      </c>
      <c r="H359" s="5" t="s">
        <v>180</v>
      </c>
      <c r="I359" s="5" t="s">
        <v>1678</v>
      </c>
      <c r="J359" s="5" t="s">
        <v>382</v>
      </c>
      <c r="K359" s="5" t="s">
        <v>1679</v>
      </c>
      <c r="L359" s="5" t="s">
        <v>384</v>
      </c>
      <c r="M359" s="5" t="s">
        <v>60</v>
      </c>
      <c r="N359" s="5"/>
      <c r="O359" s="5"/>
      <c r="P359" s="5" t="s">
        <v>613</v>
      </c>
      <c r="Q359" s="5"/>
      <c r="R359" s="5" t="s">
        <v>1680</v>
      </c>
      <c r="S359" s="6">
        <v>43917</v>
      </c>
      <c r="T359" s="6">
        <v>43918</v>
      </c>
      <c r="U359" s="6">
        <v>43924</v>
      </c>
      <c r="V359" s="6">
        <v>43935</v>
      </c>
      <c r="W359" s="6">
        <v>43935</v>
      </c>
      <c r="X359" s="6">
        <v>43968</v>
      </c>
      <c r="Y359" s="5" t="s">
        <v>649</v>
      </c>
      <c r="Z359" s="5" t="s">
        <v>649</v>
      </c>
      <c r="AA359" s="5" t="s">
        <v>649</v>
      </c>
      <c r="AB359" s="5" t="s">
        <v>67</v>
      </c>
      <c r="AC359" s="5" t="s">
        <v>67</v>
      </c>
      <c r="AD359" s="5" t="s">
        <v>67</v>
      </c>
      <c r="AE359" s="5" t="s">
        <v>162</v>
      </c>
      <c r="AF359" s="5" t="s">
        <v>70</v>
      </c>
      <c r="AG359" s="5" t="s">
        <v>71</v>
      </c>
      <c r="AH359" s="5" t="s">
        <v>72</v>
      </c>
      <c r="AI359" s="5" t="s">
        <v>252</v>
      </c>
      <c r="AJ359" s="5">
        <v>0</v>
      </c>
      <c r="AK359" s="5">
        <v>0</v>
      </c>
      <c r="AL359" s="5">
        <v>0</v>
      </c>
      <c r="AM359" s="5">
        <v>0</v>
      </c>
      <c r="AN359" s="5">
        <v>4</v>
      </c>
      <c r="AO359" s="5">
        <v>714.9</v>
      </c>
      <c r="AP359" s="5">
        <v>7.3889999999999993</v>
      </c>
      <c r="AQ359" s="5" t="s">
        <v>713</v>
      </c>
      <c r="AR359" s="5" t="s">
        <v>1104</v>
      </c>
      <c r="AS359" s="5"/>
      <c r="AT359" s="5"/>
      <c r="AU359" s="5"/>
      <c r="AV359" s="5">
        <v>-1</v>
      </c>
      <c r="AW359" s="5" t="s">
        <v>1498</v>
      </c>
    </row>
    <row r="360" spans="1:49" x14ac:dyDescent="0.55000000000000004">
      <c r="A360" s="5" t="str">
        <f>HYPERLINK("https://www.infodis.net/philips/net/Shipment/Details?InfodisNumber=4435604&amp;DomainCode=DAP", "4435604")</f>
        <v>4435604</v>
      </c>
      <c r="B360" s="5" t="s">
        <v>1681</v>
      </c>
      <c r="C360" s="5" t="s">
        <v>1193</v>
      </c>
      <c r="D360" s="5" t="s">
        <v>1194</v>
      </c>
      <c r="E360" s="5" t="s">
        <v>1193</v>
      </c>
      <c r="F360" s="5" t="s">
        <v>77</v>
      </c>
      <c r="G360" s="5" t="s">
        <v>945</v>
      </c>
      <c r="H360" s="5" t="s">
        <v>938</v>
      </c>
      <c r="I360" s="5" t="s">
        <v>293</v>
      </c>
      <c r="J360" s="5" t="s">
        <v>81</v>
      </c>
      <c r="K360" s="5" t="s">
        <v>82</v>
      </c>
      <c r="L360" s="5" t="s">
        <v>83</v>
      </c>
      <c r="M360" s="5" t="s">
        <v>60</v>
      </c>
      <c r="N360" s="5" t="s">
        <v>1682</v>
      </c>
      <c r="O360" s="5"/>
      <c r="P360" s="5" t="s">
        <v>1196</v>
      </c>
      <c r="Q360" s="5"/>
      <c r="R360" s="5" t="s">
        <v>87</v>
      </c>
      <c r="S360" s="6">
        <v>43955</v>
      </c>
      <c r="T360" s="6">
        <v>43980</v>
      </c>
      <c r="U360" s="5"/>
      <c r="V360" s="6">
        <v>43985</v>
      </c>
      <c r="W360" s="5"/>
      <c r="X360" s="5"/>
      <c r="Y360" s="5" t="s">
        <v>66</v>
      </c>
      <c r="Z360" s="5" t="s">
        <v>66</v>
      </c>
      <c r="AA360" s="5" t="s">
        <v>66</v>
      </c>
      <c r="AB360" s="5" t="s">
        <v>68</v>
      </c>
      <c r="AC360" s="5" t="s">
        <v>67</v>
      </c>
      <c r="AD360" s="5" t="s">
        <v>67</v>
      </c>
      <c r="AE360" s="5" t="s">
        <v>90</v>
      </c>
      <c r="AF360" s="5" t="s">
        <v>70</v>
      </c>
      <c r="AG360" s="5" t="s">
        <v>71</v>
      </c>
      <c r="AH360" s="5" t="s">
        <v>72</v>
      </c>
      <c r="AI360" s="5" t="s">
        <v>73</v>
      </c>
      <c r="AJ360" s="5">
        <v>0</v>
      </c>
      <c r="AK360" s="5">
        <v>0</v>
      </c>
      <c r="AL360" s="5">
        <v>0</v>
      </c>
      <c r="AM360" s="5">
        <v>0</v>
      </c>
      <c r="AN360" s="5">
        <v>40</v>
      </c>
      <c r="AO360" s="5">
        <v>19120</v>
      </c>
      <c r="AP360" s="5">
        <v>31.92</v>
      </c>
      <c r="AQ360" s="5" t="s">
        <v>713</v>
      </c>
      <c r="AR360" s="5" t="s">
        <v>1104</v>
      </c>
      <c r="AS360" s="5" t="s">
        <v>713</v>
      </c>
      <c r="AT360" s="6">
        <v>43957</v>
      </c>
      <c r="AU360" s="5" t="s">
        <v>1683</v>
      </c>
      <c r="AV360" s="5">
        <v>205</v>
      </c>
      <c r="AW360" s="5" t="s">
        <v>1522</v>
      </c>
    </row>
    <row r="361" spans="1:49" x14ac:dyDescent="0.55000000000000004">
      <c r="A361" s="5" t="str">
        <f>HYPERLINK("https://www.infodis.net/philips/net/Shipment/Details?InfodisNumber=6361490&amp;DomainCode=PHILIPSR1", "6361490")</f>
        <v>6361490</v>
      </c>
      <c r="B361" s="5" t="s">
        <v>1684</v>
      </c>
      <c r="C361" s="5" t="s">
        <v>1065</v>
      </c>
      <c r="D361" s="5" t="s">
        <v>1066</v>
      </c>
      <c r="E361" s="5" t="s">
        <v>1067</v>
      </c>
      <c r="F361" s="5" t="s">
        <v>1524</v>
      </c>
      <c r="G361" s="5" t="s">
        <v>1069</v>
      </c>
      <c r="H361" s="5" t="s">
        <v>180</v>
      </c>
      <c r="I361" s="5" t="s">
        <v>1070</v>
      </c>
      <c r="J361" s="5" t="s">
        <v>130</v>
      </c>
      <c r="K361" s="5" t="s">
        <v>1380</v>
      </c>
      <c r="L361" s="5" t="s">
        <v>132</v>
      </c>
      <c r="M361" s="5" t="s">
        <v>60</v>
      </c>
      <c r="N361" s="5"/>
      <c r="O361" s="5"/>
      <c r="P361" s="5" t="s">
        <v>1072</v>
      </c>
      <c r="Q361" s="5"/>
      <c r="R361" s="5" t="s">
        <v>1525</v>
      </c>
      <c r="S361" s="6">
        <v>43917</v>
      </c>
      <c r="T361" s="6">
        <v>43924</v>
      </c>
      <c r="U361" s="6">
        <v>43941</v>
      </c>
      <c r="V361" s="6">
        <v>43950</v>
      </c>
      <c r="W361" s="6">
        <v>43951</v>
      </c>
      <c r="X361" s="5"/>
      <c r="Y361" s="5" t="s">
        <v>649</v>
      </c>
      <c r="Z361" s="5" t="s">
        <v>649</v>
      </c>
      <c r="AA361" s="5" t="s">
        <v>649</v>
      </c>
      <c r="AB361" s="5" t="s">
        <v>67</v>
      </c>
      <c r="AC361" s="5" t="s">
        <v>67</v>
      </c>
      <c r="AD361" s="5" t="s">
        <v>67</v>
      </c>
      <c r="AE361" s="5" t="s">
        <v>90</v>
      </c>
      <c r="AF361" s="5" t="s">
        <v>70</v>
      </c>
      <c r="AG361" s="5" t="s">
        <v>71</v>
      </c>
      <c r="AH361" s="5" t="s">
        <v>72</v>
      </c>
      <c r="AI361" s="5" t="s">
        <v>252</v>
      </c>
      <c r="AJ361" s="5">
        <v>0</v>
      </c>
      <c r="AK361" s="5">
        <v>0</v>
      </c>
      <c r="AL361" s="5">
        <v>0</v>
      </c>
      <c r="AM361" s="5">
        <v>0</v>
      </c>
      <c r="AN361" s="5">
        <v>20</v>
      </c>
      <c r="AO361" s="5">
        <v>4066.002</v>
      </c>
      <c r="AP361" s="5">
        <v>30.015999999999998</v>
      </c>
      <c r="AQ361" s="5" t="s">
        <v>713</v>
      </c>
      <c r="AR361" s="5" t="s">
        <v>1104</v>
      </c>
      <c r="AS361" s="5"/>
      <c r="AT361" s="5"/>
      <c r="AU361" s="5"/>
      <c r="AV361" s="5">
        <v>-1</v>
      </c>
      <c r="AW361" s="5" t="s">
        <v>1565</v>
      </c>
    </row>
    <row r="362" spans="1:49" x14ac:dyDescent="0.55000000000000004">
      <c r="A362" s="5" t="str">
        <f>HYPERLINK("https://www.infodis.net/philips/net/Shipment/Details?InfodisNumber=6204822&amp;DomainCode=PHILIPSR1", "6204822")</f>
        <v>6204822</v>
      </c>
      <c r="B362" s="5" t="s">
        <v>1685</v>
      </c>
      <c r="C362" s="5" t="s">
        <v>1686</v>
      </c>
      <c r="D362" s="5" t="s">
        <v>1687</v>
      </c>
      <c r="E362" s="5" t="s">
        <v>242</v>
      </c>
      <c r="F362" s="5" t="s">
        <v>1450</v>
      </c>
      <c r="G362" s="5" t="s">
        <v>1688</v>
      </c>
      <c r="H362" s="5" t="s">
        <v>180</v>
      </c>
      <c r="I362" s="5" t="s">
        <v>1689</v>
      </c>
      <c r="J362" s="5" t="s">
        <v>268</v>
      </c>
      <c r="K362" s="5" t="s">
        <v>1452</v>
      </c>
      <c r="L362" s="5" t="s">
        <v>267</v>
      </c>
      <c r="M362" s="5" t="s">
        <v>133</v>
      </c>
      <c r="N362" s="5"/>
      <c r="O362" s="5"/>
      <c r="P362" s="5" t="s">
        <v>1690</v>
      </c>
      <c r="Q362" s="5"/>
      <c r="R362" s="5" t="s">
        <v>268</v>
      </c>
      <c r="S362" s="6">
        <v>43866</v>
      </c>
      <c r="T362" s="6">
        <v>43906</v>
      </c>
      <c r="U362" s="6">
        <v>43906</v>
      </c>
      <c r="V362" s="6">
        <v>43931</v>
      </c>
      <c r="W362" s="6">
        <v>43931</v>
      </c>
      <c r="X362" s="5"/>
      <c r="Y362" s="5" t="s">
        <v>649</v>
      </c>
      <c r="Z362" s="5" t="s">
        <v>649</v>
      </c>
      <c r="AA362" s="5" t="s">
        <v>66</v>
      </c>
      <c r="AB362" s="5" t="s">
        <v>67</v>
      </c>
      <c r="AC362" s="5" t="s">
        <v>67</v>
      </c>
      <c r="AD362" s="5" t="s">
        <v>68</v>
      </c>
      <c r="AE362" s="5" t="s">
        <v>162</v>
      </c>
      <c r="AF362" s="5" t="s">
        <v>70</v>
      </c>
      <c r="AG362" s="5" t="s">
        <v>71</v>
      </c>
      <c r="AH362" s="5" t="s">
        <v>72</v>
      </c>
      <c r="AI362" s="5" t="s">
        <v>252</v>
      </c>
      <c r="AJ362" s="5">
        <v>0</v>
      </c>
      <c r="AK362" s="5">
        <v>0</v>
      </c>
      <c r="AL362" s="5">
        <v>0</v>
      </c>
      <c r="AM362" s="5">
        <v>0</v>
      </c>
      <c r="AN362" s="5">
        <v>9</v>
      </c>
      <c r="AO362" s="5">
        <v>2198.11</v>
      </c>
      <c r="AP362" s="5">
        <v>19.326000000000001</v>
      </c>
      <c r="AQ362" s="5" t="s">
        <v>713</v>
      </c>
      <c r="AR362" s="5" t="s">
        <v>1104</v>
      </c>
      <c r="AS362" s="5"/>
      <c r="AT362" s="5"/>
      <c r="AU362" s="5"/>
      <c r="AV362" s="5">
        <v>-1</v>
      </c>
      <c r="AW362" s="5" t="s">
        <v>1498</v>
      </c>
    </row>
    <row r="363" spans="1:49" x14ac:dyDescent="0.55000000000000004">
      <c r="A363" s="5" t="str">
        <f>HYPERLINK("https://www.infodis.net/philips/net/Shipment/Details?InfodisNumber=6521800&amp;DomainCode=PHILIPSR1", "6521800")</f>
        <v>6521800</v>
      </c>
      <c r="B363" s="5" t="s">
        <v>1691</v>
      </c>
      <c r="C363" s="5" t="s">
        <v>1692</v>
      </c>
      <c r="D363" s="5" t="s">
        <v>1693</v>
      </c>
      <c r="E363" s="5" t="s">
        <v>458</v>
      </c>
      <c r="F363" s="5" t="s">
        <v>1450</v>
      </c>
      <c r="G363" s="5" t="s">
        <v>1694</v>
      </c>
      <c r="H363" s="5" t="s">
        <v>180</v>
      </c>
      <c r="I363" s="5" t="s">
        <v>1695</v>
      </c>
      <c r="J363" s="5" t="s">
        <v>268</v>
      </c>
      <c r="K363" s="5" t="s">
        <v>1452</v>
      </c>
      <c r="L363" s="5" t="s">
        <v>267</v>
      </c>
      <c r="M363" s="5" t="s">
        <v>60</v>
      </c>
      <c r="N363" s="5" t="s">
        <v>1696</v>
      </c>
      <c r="O363" s="5" t="s">
        <v>1697</v>
      </c>
      <c r="P363" s="5" t="s">
        <v>1698</v>
      </c>
      <c r="Q363" s="5"/>
      <c r="R363" s="5" t="s">
        <v>268</v>
      </c>
      <c r="S363" s="6">
        <v>43980</v>
      </c>
      <c r="T363" s="6">
        <v>43990</v>
      </c>
      <c r="U363" s="6">
        <v>43991</v>
      </c>
      <c r="V363" s="6">
        <v>43995</v>
      </c>
      <c r="W363" s="6">
        <v>43995</v>
      </c>
      <c r="X363" s="5"/>
      <c r="Y363" s="5" t="s">
        <v>467</v>
      </c>
      <c r="Z363" s="5" t="s">
        <v>467</v>
      </c>
      <c r="AA363" s="5" t="s">
        <v>66</v>
      </c>
      <c r="AB363" s="5" t="s">
        <v>67</v>
      </c>
      <c r="AC363" s="5" t="s">
        <v>67</v>
      </c>
      <c r="AD363" s="5" t="s">
        <v>68</v>
      </c>
      <c r="AE363" s="5" t="s">
        <v>90</v>
      </c>
      <c r="AF363" s="5" t="s">
        <v>70</v>
      </c>
      <c r="AG363" s="5" t="s">
        <v>71</v>
      </c>
      <c r="AH363" s="5" t="s">
        <v>72</v>
      </c>
      <c r="AI363" s="5" t="s">
        <v>252</v>
      </c>
      <c r="AJ363" s="5">
        <v>0</v>
      </c>
      <c r="AK363" s="5">
        <v>0</v>
      </c>
      <c r="AL363" s="5">
        <v>0</v>
      </c>
      <c r="AM363" s="5">
        <v>0</v>
      </c>
      <c r="AN363" s="5">
        <v>25</v>
      </c>
      <c r="AO363" s="5">
        <v>4381.7</v>
      </c>
      <c r="AP363" s="5">
        <v>39.685000000000002</v>
      </c>
      <c r="AQ363" s="5" t="s">
        <v>713</v>
      </c>
      <c r="AR363" s="5" t="s">
        <v>1104</v>
      </c>
      <c r="AS363" s="5" t="s">
        <v>713</v>
      </c>
      <c r="AT363" s="6">
        <v>43983</v>
      </c>
      <c r="AU363" s="5" t="s">
        <v>1699</v>
      </c>
      <c r="AV363" s="5">
        <v>179</v>
      </c>
      <c r="AW363" s="5" t="s">
        <v>1700</v>
      </c>
    </row>
    <row r="364" spans="1:49" x14ac:dyDescent="0.55000000000000004">
      <c r="A364" s="5" t="str">
        <f>HYPERLINK("https://www.infodis.net/philips/net/Shipment/Details?InfodisNumber=6203104&amp;DomainCode=PHILIPSR1", "6203104")</f>
        <v>6203104</v>
      </c>
      <c r="B364" s="5" t="s">
        <v>1701</v>
      </c>
      <c r="C364" s="5" t="s">
        <v>607</v>
      </c>
      <c r="D364" s="5" t="s">
        <v>608</v>
      </c>
      <c r="E364" s="5" t="s">
        <v>458</v>
      </c>
      <c r="F364" s="5" t="s">
        <v>1677</v>
      </c>
      <c r="G364" s="5" t="s">
        <v>610</v>
      </c>
      <c r="H364" s="5" t="s">
        <v>180</v>
      </c>
      <c r="I364" s="5" t="s">
        <v>1678</v>
      </c>
      <c r="J364" s="5" t="s">
        <v>382</v>
      </c>
      <c r="K364" s="5" t="s">
        <v>1679</v>
      </c>
      <c r="L364" s="5" t="s">
        <v>384</v>
      </c>
      <c r="M364" s="5" t="s">
        <v>60</v>
      </c>
      <c r="N364" s="5"/>
      <c r="O364" s="5"/>
      <c r="P364" s="5" t="s">
        <v>613</v>
      </c>
      <c r="Q364" s="5"/>
      <c r="R364" s="5" t="s">
        <v>1680</v>
      </c>
      <c r="S364" s="6">
        <v>43866</v>
      </c>
      <c r="T364" s="6">
        <v>43873</v>
      </c>
      <c r="U364" s="6">
        <v>43875</v>
      </c>
      <c r="V364" s="6">
        <v>43882</v>
      </c>
      <c r="W364" s="6">
        <v>43885</v>
      </c>
      <c r="X364" s="6">
        <v>43934</v>
      </c>
      <c r="Y364" s="5" t="s">
        <v>649</v>
      </c>
      <c r="Z364" s="5" t="s">
        <v>649</v>
      </c>
      <c r="AA364" s="5" t="s">
        <v>649</v>
      </c>
      <c r="AB364" s="5" t="s">
        <v>67</v>
      </c>
      <c r="AC364" s="5" t="s">
        <v>67</v>
      </c>
      <c r="AD364" s="5" t="s">
        <v>67</v>
      </c>
      <c r="AE364" s="5" t="s">
        <v>162</v>
      </c>
      <c r="AF364" s="5" t="s">
        <v>70</v>
      </c>
      <c r="AG364" s="5" t="s">
        <v>71</v>
      </c>
      <c r="AH364" s="5" t="s">
        <v>72</v>
      </c>
      <c r="AI364" s="5" t="s">
        <v>252</v>
      </c>
      <c r="AJ364" s="5">
        <v>0</v>
      </c>
      <c r="AK364" s="5">
        <v>0</v>
      </c>
      <c r="AL364" s="5">
        <v>0</v>
      </c>
      <c r="AM364" s="5">
        <v>0</v>
      </c>
      <c r="AN364" s="5">
        <v>6</v>
      </c>
      <c r="AO364" s="5">
        <v>1213.3140000000001</v>
      </c>
      <c r="AP364" s="5">
        <v>8.3070000000000004</v>
      </c>
      <c r="AQ364" s="5" t="s">
        <v>713</v>
      </c>
      <c r="AR364" s="5" t="s">
        <v>1104</v>
      </c>
      <c r="AS364" s="5" t="s">
        <v>713</v>
      </c>
      <c r="AT364" s="6">
        <v>43871</v>
      </c>
      <c r="AU364" s="5" t="s">
        <v>1660</v>
      </c>
      <c r="AV364" s="5">
        <v>291</v>
      </c>
      <c r="AW364" s="5" t="s">
        <v>1661</v>
      </c>
    </row>
    <row r="365" spans="1:49" x14ac:dyDescent="0.55000000000000004">
      <c r="A365" s="5" t="str">
        <f>HYPERLINK("https://www.infodis.net/philips/net/Shipment/Details?InfodisNumber=6106004&amp;DomainCode=PHILIPSR1", "6106004")</f>
        <v>6106004</v>
      </c>
      <c r="B365" s="5" t="s">
        <v>1702</v>
      </c>
      <c r="C365" s="5" t="s">
        <v>607</v>
      </c>
      <c r="D365" s="5" t="s">
        <v>608</v>
      </c>
      <c r="E365" s="5" t="s">
        <v>458</v>
      </c>
      <c r="F365" s="5" t="s">
        <v>1703</v>
      </c>
      <c r="G365" s="5" t="s">
        <v>610</v>
      </c>
      <c r="H365" s="5" t="s">
        <v>180</v>
      </c>
      <c r="I365" s="5" t="s">
        <v>194</v>
      </c>
      <c r="J365" s="5" t="s">
        <v>1704</v>
      </c>
      <c r="K365" s="5" t="s">
        <v>1528</v>
      </c>
      <c r="L365" s="5" t="s">
        <v>132</v>
      </c>
      <c r="M365" s="5" t="s">
        <v>60</v>
      </c>
      <c r="N365" s="5"/>
      <c r="O365" s="5" t="s">
        <v>1705</v>
      </c>
      <c r="P365" s="5" t="s">
        <v>613</v>
      </c>
      <c r="Q365" s="5"/>
      <c r="R365" s="5" t="s">
        <v>1706</v>
      </c>
      <c r="S365" s="6">
        <v>43830</v>
      </c>
      <c r="T365" s="6">
        <v>43830</v>
      </c>
      <c r="U365" s="6">
        <v>43840</v>
      </c>
      <c r="V365" s="6">
        <v>43855</v>
      </c>
      <c r="W365" s="6">
        <v>43855</v>
      </c>
      <c r="X365" s="6">
        <v>43892</v>
      </c>
      <c r="Y365" s="5" t="s">
        <v>649</v>
      </c>
      <c r="Z365" s="5" t="s">
        <v>649</v>
      </c>
      <c r="AA365" s="5" t="s">
        <v>66</v>
      </c>
      <c r="AB365" s="5" t="s">
        <v>67</v>
      </c>
      <c r="AC365" s="5" t="s">
        <v>67</v>
      </c>
      <c r="AD365" s="5" t="s">
        <v>68</v>
      </c>
      <c r="AE365" s="5" t="s">
        <v>90</v>
      </c>
      <c r="AF365" s="5" t="s">
        <v>70</v>
      </c>
      <c r="AG365" s="5" t="s">
        <v>71</v>
      </c>
      <c r="AH365" s="5" t="s">
        <v>72</v>
      </c>
      <c r="AI365" s="5" t="s">
        <v>252</v>
      </c>
      <c r="AJ365" s="5">
        <v>0</v>
      </c>
      <c r="AK365" s="5">
        <v>0</v>
      </c>
      <c r="AL365" s="5">
        <v>0</v>
      </c>
      <c r="AM365" s="5">
        <v>0</v>
      </c>
      <c r="AN365" s="5">
        <v>19</v>
      </c>
      <c r="AO365" s="5">
        <v>5438.2340000000004</v>
      </c>
      <c r="AP365" s="5">
        <v>41.506999999999998</v>
      </c>
      <c r="AQ365" s="5" t="s">
        <v>713</v>
      </c>
      <c r="AR365" s="5" t="s">
        <v>1104</v>
      </c>
      <c r="AS365" s="5"/>
      <c r="AT365" s="6">
        <v>43846</v>
      </c>
      <c r="AU365" s="5"/>
      <c r="AV365" s="5">
        <v>316</v>
      </c>
      <c r="AW365" s="5" t="s">
        <v>1493</v>
      </c>
    </row>
    <row r="366" spans="1:49" x14ac:dyDescent="0.55000000000000004">
      <c r="A366" s="5" t="str">
        <f>HYPERLINK("https://www.infodis.net/philips/net/Shipment/Details?InfodisNumber=4458503&amp;DomainCode=DAP", "4458503")</f>
        <v>4458503</v>
      </c>
      <c r="B366" s="5" t="s">
        <v>1707</v>
      </c>
      <c r="C366" s="5" t="s">
        <v>1150</v>
      </c>
      <c r="D366" s="5" t="s">
        <v>1151</v>
      </c>
      <c r="E366" s="5" t="s">
        <v>1150</v>
      </c>
      <c r="F366" s="5" t="s">
        <v>256</v>
      </c>
      <c r="G366" s="5" t="s">
        <v>1152</v>
      </c>
      <c r="H366" s="5" t="s">
        <v>79</v>
      </c>
      <c r="I366" s="5" t="s">
        <v>587</v>
      </c>
      <c r="J366" s="5" t="s">
        <v>759</v>
      </c>
      <c r="K366" s="5" t="s">
        <v>259</v>
      </c>
      <c r="L366" s="5" t="s">
        <v>260</v>
      </c>
      <c r="M366" s="5" t="s">
        <v>261</v>
      </c>
      <c r="N366" s="5"/>
      <c r="O366" s="5"/>
      <c r="P366" s="5" t="s">
        <v>1153</v>
      </c>
      <c r="Q366" s="5" t="s">
        <v>1708</v>
      </c>
      <c r="R366" s="5" t="s">
        <v>262</v>
      </c>
      <c r="S366" s="6">
        <v>44001</v>
      </c>
      <c r="T366" s="6">
        <v>44006</v>
      </c>
      <c r="U366" s="5"/>
      <c r="V366" s="6">
        <v>44011</v>
      </c>
      <c r="W366" s="6">
        <v>44012</v>
      </c>
      <c r="X366" s="5"/>
      <c r="Y366" s="5" t="s">
        <v>66</v>
      </c>
      <c r="Z366" s="5" t="s">
        <v>857</v>
      </c>
      <c r="AA366" s="5" t="s">
        <v>857</v>
      </c>
      <c r="AB366" s="5" t="s">
        <v>67</v>
      </c>
      <c r="AC366" s="5" t="s">
        <v>67</v>
      </c>
      <c r="AD366" s="5" t="s">
        <v>67</v>
      </c>
      <c r="AE366" s="5" t="s">
        <v>162</v>
      </c>
      <c r="AF366" s="5" t="s">
        <v>70</v>
      </c>
      <c r="AG366" s="5" t="s">
        <v>71</v>
      </c>
      <c r="AH366" s="5" t="s">
        <v>72</v>
      </c>
      <c r="AI366" s="5" t="s">
        <v>73</v>
      </c>
      <c r="AJ366" s="5">
        <v>0</v>
      </c>
      <c r="AK366" s="5">
        <v>0</v>
      </c>
      <c r="AL366" s="5">
        <v>0</v>
      </c>
      <c r="AM366" s="5">
        <v>0</v>
      </c>
      <c r="AN366" s="5">
        <v>5</v>
      </c>
      <c r="AO366" s="5">
        <v>658.4</v>
      </c>
      <c r="AP366" s="5">
        <v>8.8800000000000008</v>
      </c>
      <c r="AQ366" s="5" t="s">
        <v>713</v>
      </c>
      <c r="AR366" s="5" t="s">
        <v>1104</v>
      </c>
      <c r="AS366" s="5"/>
      <c r="AT366" s="5"/>
      <c r="AU366" s="5"/>
      <c r="AV366" s="5">
        <v>-1</v>
      </c>
      <c r="AW366" s="5" t="s">
        <v>1110</v>
      </c>
    </row>
    <row r="367" spans="1:49" x14ac:dyDescent="0.55000000000000004">
      <c r="A367" s="5" t="str">
        <f>HYPERLINK("https://www.infodis.net/philips/net/Shipment/Details?InfodisNumber=6103955&amp;DomainCode=PHILIPSR1", "6103955")</f>
        <v>6103955</v>
      </c>
      <c r="B367" s="5" t="s">
        <v>1709</v>
      </c>
      <c r="C367" s="5" t="s">
        <v>607</v>
      </c>
      <c r="D367" s="5" t="s">
        <v>608</v>
      </c>
      <c r="E367" s="5" t="s">
        <v>458</v>
      </c>
      <c r="F367" s="5" t="s">
        <v>1710</v>
      </c>
      <c r="G367" s="5" t="s">
        <v>610</v>
      </c>
      <c r="H367" s="5" t="s">
        <v>180</v>
      </c>
      <c r="I367" s="5" t="s">
        <v>194</v>
      </c>
      <c r="J367" s="5" t="s">
        <v>1036</v>
      </c>
      <c r="K367" s="5" t="s">
        <v>1711</v>
      </c>
      <c r="L367" s="5" t="s">
        <v>132</v>
      </c>
      <c r="M367" s="5" t="s">
        <v>60</v>
      </c>
      <c r="N367" s="5"/>
      <c r="O367" s="5"/>
      <c r="P367" s="5" t="s">
        <v>613</v>
      </c>
      <c r="Q367" s="5"/>
      <c r="R367" s="5" t="s">
        <v>1712</v>
      </c>
      <c r="S367" s="6">
        <v>43830</v>
      </c>
      <c r="T367" s="6">
        <v>43830</v>
      </c>
      <c r="U367" s="6">
        <v>43838</v>
      </c>
      <c r="V367" s="6">
        <v>43840</v>
      </c>
      <c r="W367" s="6">
        <v>43845</v>
      </c>
      <c r="X367" s="5"/>
      <c r="Y367" s="5" t="s">
        <v>649</v>
      </c>
      <c r="Z367" s="5" t="s">
        <v>649</v>
      </c>
      <c r="AA367" s="5" t="s">
        <v>66</v>
      </c>
      <c r="AB367" s="5" t="s">
        <v>67</v>
      </c>
      <c r="AC367" s="5" t="s">
        <v>67</v>
      </c>
      <c r="AD367" s="5" t="s">
        <v>68</v>
      </c>
      <c r="AE367" s="5" t="s">
        <v>90</v>
      </c>
      <c r="AF367" s="5" t="s">
        <v>70</v>
      </c>
      <c r="AG367" s="5" t="s">
        <v>71</v>
      </c>
      <c r="AH367" s="5" t="s">
        <v>72</v>
      </c>
      <c r="AI367" s="5" t="s">
        <v>252</v>
      </c>
      <c r="AJ367" s="5">
        <v>0</v>
      </c>
      <c r="AK367" s="5">
        <v>0</v>
      </c>
      <c r="AL367" s="5">
        <v>0</v>
      </c>
      <c r="AM367" s="5">
        <v>0</v>
      </c>
      <c r="AN367" s="5">
        <v>406</v>
      </c>
      <c r="AO367" s="5">
        <v>3551.8110000000001</v>
      </c>
      <c r="AP367" s="5">
        <v>27.754999999999999</v>
      </c>
      <c r="AQ367" s="5" t="s">
        <v>713</v>
      </c>
      <c r="AR367" s="5" t="s">
        <v>1104</v>
      </c>
      <c r="AS367" s="5"/>
      <c r="AT367" s="6">
        <v>43846</v>
      </c>
      <c r="AU367" s="5"/>
      <c r="AV367" s="5">
        <v>316</v>
      </c>
      <c r="AW367" s="5" t="s">
        <v>1493</v>
      </c>
    </row>
    <row r="368" spans="1:49" x14ac:dyDescent="0.55000000000000004">
      <c r="A368" s="5" t="str">
        <f>HYPERLINK("https://www.infodis.net/philips/net/Shipment/Details?InfodisNumber=6194129&amp;DomainCode=PHILIPSR1", "6194129")</f>
        <v>6194129</v>
      </c>
      <c r="B368" s="5" t="s">
        <v>1713</v>
      </c>
      <c r="C368" s="5" t="s">
        <v>877</v>
      </c>
      <c r="D368" s="5" t="s">
        <v>878</v>
      </c>
      <c r="E368" s="5" t="s">
        <v>1187</v>
      </c>
      <c r="F368" s="5" t="s">
        <v>1459</v>
      </c>
      <c r="G368" s="5" t="s">
        <v>880</v>
      </c>
      <c r="H368" s="5" t="s">
        <v>881</v>
      </c>
      <c r="I368" s="5" t="s">
        <v>882</v>
      </c>
      <c r="J368" s="5" t="s">
        <v>142</v>
      </c>
      <c r="K368" s="5" t="s">
        <v>143</v>
      </c>
      <c r="L368" s="5" t="s">
        <v>83</v>
      </c>
      <c r="M368" s="5" t="s">
        <v>60</v>
      </c>
      <c r="N368" s="5" t="s">
        <v>1714</v>
      </c>
      <c r="O368" s="5"/>
      <c r="P368" s="5" t="s">
        <v>888</v>
      </c>
      <c r="Q368" s="5"/>
      <c r="R368" s="5" t="s">
        <v>1461</v>
      </c>
      <c r="S368" s="6">
        <v>43864</v>
      </c>
      <c r="T368" s="6">
        <v>43866</v>
      </c>
      <c r="U368" s="6">
        <v>43871</v>
      </c>
      <c r="V368" s="6">
        <v>43873</v>
      </c>
      <c r="W368" s="6">
        <v>43873</v>
      </c>
      <c r="X368" s="5"/>
      <c r="Y368" s="5" t="s">
        <v>649</v>
      </c>
      <c r="Z368" s="5" t="s">
        <v>649</v>
      </c>
      <c r="AA368" s="5" t="s">
        <v>649</v>
      </c>
      <c r="AB368" s="5" t="s">
        <v>67</v>
      </c>
      <c r="AC368" s="5" t="s">
        <v>67</v>
      </c>
      <c r="AD368" s="5" t="s">
        <v>67</v>
      </c>
      <c r="AE368" s="5" t="s">
        <v>90</v>
      </c>
      <c r="AF368" s="5" t="s">
        <v>70</v>
      </c>
      <c r="AG368" s="5" t="s">
        <v>71</v>
      </c>
      <c r="AH368" s="5" t="s">
        <v>72</v>
      </c>
      <c r="AI368" s="5" t="s">
        <v>252</v>
      </c>
      <c r="AJ368" s="5">
        <v>0</v>
      </c>
      <c r="AK368" s="5">
        <v>0</v>
      </c>
      <c r="AL368" s="5">
        <v>0</v>
      </c>
      <c r="AM368" s="5">
        <v>0</v>
      </c>
      <c r="AN368" s="5">
        <v>13</v>
      </c>
      <c r="AO368" s="5">
        <v>5418</v>
      </c>
      <c r="AP368" s="5">
        <v>20.02</v>
      </c>
      <c r="AQ368" s="5" t="s">
        <v>713</v>
      </c>
      <c r="AR368" s="5" t="s">
        <v>1104</v>
      </c>
      <c r="AS368" s="5" t="s">
        <v>713</v>
      </c>
      <c r="AT368" s="6">
        <v>43871</v>
      </c>
      <c r="AU368" s="5" t="s">
        <v>1660</v>
      </c>
      <c r="AV368" s="5">
        <v>291</v>
      </c>
      <c r="AW368" s="5" t="s">
        <v>1661</v>
      </c>
    </row>
    <row r="369" spans="1:49" x14ac:dyDescent="0.55000000000000004">
      <c r="A369" s="5" t="str">
        <f>HYPERLINK("https://www.infodis.net/philips/net/Shipment/Details?InfodisNumber=5750687&amp;DomainCode=PHILIPSR1", "5750687")</f>
        <v>5750687</v>
      </c>
      <c r="B369" s="5" t="s">
        <v>1715</v>
      </c>
      <c r="C369" s="5" t="s">
        <v>1716</v>
      </c>
      <c r="D369" s="5" t="s">
        <v>1717</v>
      </c>
      <c r="E369" s="5" t="s">
        <v>1664</v>
      </c>
      <c r="F369" s="5" t="s">
        <v>1554</v>
      </c>
      <c r="G369" s="5" t="s">
        <v>1052</v>
      </c>
      <c r="H369" s="5" t="s">
        <v>180</v>
      </c>
      <c r="I369" s="5" t="s">
        <v>194</v>
      </c>
      <c r="J369" s="5" t="s">
        <v>844</v>
      </c>
      <c r="K369" s="5" t="s">
        <v>1555</v>
      </c>
      <c r="L369" s="5" t="s">
        <v>846</v>
      </c>
      <c r="M369" s="5" t="s">
        <v>60</v>
      </c>
      <c r="N369" s="5" t="s">
        <v>1718</v>
      </c>
      <c r="O369" s="5"/>
      <c r="P369" s="5" t="s">
        <v>1055</v>
      </c>
      <c r="Q369" s="5"/>
      <c r="R369" s="5" t="s">
        <v>1557</v>
      </c>
      <c r="S369" s="6">
        <v>43706</v>
      </c>
      <c r="T369" s="6">
        <v>43713</v>
      </c>
      <c r="U369" s="6">
        <v>43713</v>
      </c>
      <c r="V369" s="6">
        <v>43739</v>
      </c>
      <c r="W369" s="6">
        <v>43732</v>
      </c>
      <c r="X369" s="6">
        <v>43759</v>
      </c>
      <c r="Y369" s="5" t="s">
        <v>649</v>
      </c>
      <c r="Z369" s="5" t="s">
        <v>649</v>
      </c>
      <c r="AA369" s="5" t="s">
        <v>649</v>
      </c>
      <c r="AB369" s="5" t="s">
        <v>67</v>
      </c>
      <c r="AC369" s="5" t="s">
        <v>67</v>
      </c>
      <c r="AD369" s="5" t="s">
        <v>67</v>
      </c>
      <c r="AE369" s="5" t="s">
        <v>69</v>
      </c>
      <c r="AF369" s="5" t="s">
        <v>70</v>
      </c>
      <c r="AG369" s="5" t="s">
        <v>71</v>
      </c>
      <c r="AH369" s="5" t="s">
        <v>72</v>
      </c>
      <c r="AI369" s="5" t="s">
        <v>252</v>
      </c>
      <c r="AJ369" s="5">
        <v>0</v>
      </c>
      <c r="AK369" s="5">
        <v>0</v>
      </c>
      <c r="AL369" s="5">
        <v>0</v>
      </c>
      <c r="AM369" s="5">
        <v>0</v>
      </c>
      <c r="AN369" s="5">
        <v>23</v>
      </c>
      <c r="AO369" s="5">
        <v>3650.06</v>
      </c>
      <c r="AP369" s="5">
        <v>36.246000000000002</v>
      </c>
      <c r="AQ369" s="5" t="s">
        <v>713</v>
      </c>
      <c r="AR369" s="5" t="s">
        <v>1104</v>
      </c>
      <c r="AS369" s="5" t="s">
        <v>713</v>
      </c>
      <c r="AT369" s="6">
        <v>43796</v>
      </c>
      <c r="AU369" s="5" t="s">
        <v>1719</v>
      </c>
      <c r="AV369" s="5">
        <v>366</v>
      </c>
      <c r="AW369" s="5" t="s">
        <v>1720</v>
      </c>
    </row>
    <row r="370" spans="1:49" x14ac:dyDescent="0.55000000000000004">
      <c r="A370" s="5" t="str">
        <f>HYPERLINK("https://www.infodis.net/philips/net/Shipment/Details?InfodisNumber=6373247&amp;DomainCode=PHILIPSR1", "6373247")</f>
        <v>6373247</v>
      </c>
      <c r="B370" s="5" t="s">
        <v>1721</v>
      </c>
      <c r="C370" s="5" t="s">
        <v>607</v>
      </c>
      <c r="D370" s="5" t="s">
        <v>608</v>
      </c>
      <c r="E370" s="5" t="s">
        <v>458</v>
      </c>
      <c r="F370" s="5" t="s">
        <v>1722</v>
      </c>
      <c r="G370" s="5" t="s">
        <v>610</v>
      </c>
      <c r="H370" s="5" t="s">
        <v>180</v>
      </c>
      <c r="I370" s="5" t="s">
        <v>194</v>
      </c>
      <c r="J370" s="5" t="s">
        <v>1036</v>
      </c>
      <c r="K370" s="5" t="s">
        <v>1723</v>
      </c>
      <c r="L370" s="5" t="s">
        <v>132</v>
      </c>
      <c r="M370" s="5" t="s">
        <v>133</v>
      </c>
      <c r="N370" s="5"/>
      <c r="O370" s="5"/>
      <c r="P370" s="5" t="s">
        <v>613</v>
      </c>
      <c r="Q370" s="5"/>
      <c r="R370" s="5" t="s">
        <v>1724</v>
      </c>
      <c r="S370" s="6">
        <v>43922</v>
      </c>
      <c r="T370" s="6">
        <v>43921</v>
      </c>
      <c r="U370" s="6">
        <v>43924</v>
      </c>
      <c r="V370" s="6">
        <v>43947</v>
      </c>
      <c r="W370" s="6">
        <v>43948</v>
      </c>
      <c r="X370" s="5"/>
      <c r="Y370" s="5" t="s">
        <v>649</v>
      </c>
      <c r="Z370" s="5" t="s">
        <v>649</v>
      </c>
      <c r="AA370" s="5" t="s">
        <v>649</v>
      </c>
      <c r="AB370" s="5" t="s">
        <v>67</v>
      </c>
      <c r="AC370" s="5" t="s">
        <v>67</v>
      </c>
      <c r="AD370" s="5" t="s">
        <v>67</v>
      </c>
      <c r="AE370" s="5" t="s">
        <v>90</v>
      </c>
      <c r="AF370" s="5" t="s">
        <v>70</v>
      </c>
      <c r="AG370" s="5" t="s">
        <v>71</v>
      </c>
      <c r="AH370" s="5" t="s">
        <v>72</v>
      </c>
      <c r="AI370" s="5" t="s">
        <v>252</v>
      </c>
      <c r="AJ370" s="5">
        <v>0</v>
      </c>
      <c r="AK370" s="5">
        <v>0</v>
      </c>
      <c r="AL370" s="5">
        <v>0</v>
      </c>
      <c r="AM370" s="5">
        <v>0</v>
      </c>
      <c r="AN370" s="5">
        <v>17</v>
      </c>
      <c r="AO370" s="5">
        <v>950.69</v>
      </c>
      <c r="AP370" s="5">
        <v>8.98</v>
      </c>
      <c r="AQ370" s="5" t="s">
        <v>713</v>
      </c>
      <c r="AR370" s="5" t="s">
        <v>1104</v>
      </c>
      <c r="AS370" s="5"/>
      <c r="AT370" s="5"/>
      <c r="AU370" s="5"/>
      <c r="AV370" s="5">
        <v>-1</v>
      </c>
      <c r="AW370" s="5" t="s">
        <v>1498</v>
      </c>
    </row>
    <row r="371" spans="1:49" x14ac:dyDescent="0.55000000000000004">
      <c r="A371" s="5" t="str">
        <f>HYPERLINK("https://www.infodis.net/philips/net/Shipment/Details?InfodisNumber=4435588&amp;DomainCode=DAP", "4435588")</f>
        <v>4435588</v>
      </c>
      <c r="B371" s="5" t="s">
        <v>1725</v>
      </c>
      <c r="C371" s="5" t="s">
        <v>1193</v>
      </c>
      <c r="D371" s="5" t="s">
        <v>1194</v>
      </c>
      <c r="E371" s="5" t="s">
        <v>1193</v>
      </c>
      <c r="F371" s="5" t="s">
        <v>77</v>
      </c>
      <c r="G371" s="5" t="s">
        <v>945</v>
      </c>
      <c r="H371" s="5" t="s">
        <v>938</v>
      </c>
      <c r="I371" s="5" t="s">
        <v>293</v>
      </c>
      <c r="J371" s="5" t="s">
        <v>81</v>
      </c>
      <c r="K371" s="5" t="s">
        <v>82</v>
      </c>
      <c r="L371" s="5" t="s">
        <v>83</v>
      </c>
      <c r="M371" s="5" t="s">
        <v>60</v>
      </c>
      <c r="N371" s="5" t="s">
        <v>1726</v>
      </c>
      <c r="O371" s="5"/>
      <c r="P371" s="5" t="s">
        <v>1196</v>
      </c>
      <c r="Q371" s="5"/>
      <c r="R371" s="5" t="s">
        <v>87</v>
      </c>
      <c r="S371" s="6">
        <v>43955</v>
      </c>
      <c r="T371" s="6">
        <v>43980</v>
      </c>
      <c r="U371" s="5"/>
      <c r="V371" s="6">
        <v>43985</v>
      </c>
      <c r="W371" s="5"/>
      <c r="X371" s="5"/>
      <c r="Y371" s="5" t="s">
        <v>66</v>
      </c>
      <c r="Z371" s="5" t="s">
        <v>66</v>
      </c>
      <c r="AA371" s="5" t="s">
        <v>66</v>
      </c>
      <c r="AB371" s="5" t="s">
        <v>68</v>
      </c>
      <c r="AC371" s="5" t="s">
        <v>67</v>
      </c>
      <c r="AD371" s="5" t="s">
        <v>67</v>
      </c>
      <c r="AE371" s="5" t="s">
        <v>162</v>
      </c>
      <c r="AF371" s="5" t="s">
        <v>70</v>
      </c>
      <c r="AG371" s="5" t="s">
        <v>71</v>
      </c>
      <c r="AH371" s="5" t="s">
        <v>72</v>
      </c>
      <c r="AI371" s="5" t="s">
        <v>73</v>
      </c>
      <c r="AJ371" s="5">
        <v>0</v>
      </c>
      <c r="AK371" s="5">
        <v>0</v>
      </c>
      <c r="AL371" s="5">
        <v>0</v>
      </c>
      <c r="AM371" s="5">
        <v>0</v>
      </c>
      <c r="AN371" s="5">
        <v>20</v>
      </c>
      <c r="AO371" s="5">
        <v>9560</v>
      </c>
      <c r="AP371" s="5">
        <v>15.96</v>
      </c>
      <c r="AQ371" s="5" t="s">
        <v>713</v>
      </c>
      <c r="AR371" s="5" t="s">
        <v>1104</v>
      </c>
      <c r="AS371" s="5" t="s">
        <v>713</v>
      </c>
      <c r="AT371" s="6">
        <v>43957</v>
      </c>
      <c r="AU371" s="5" t="s">
        <v>1683</v>
      </c>
      <c r="AV371" s="5">
        <v>205</v>
      </c>
      <c r="AW371" s="5" t="s">
        <v>1522</v>
      </c>
    </row>
    <row r="372" spans="1:49" x14ac:dyDescent="0.55000000000000004">
      <c r="A372" s="5" t="str">
        <f>HYPERLINK("https://www.infodis.net/philips/net/Shipment/Details?InfodisNumber=6379310&amp;DomainCode=PHILIPSR1", "6379310")</f>
        <v>6379310</v>
      </c>
      <c r="B372" s="5" t="s">
        <v>1727</v>
      </c>
      <c r="C372" s="5" t="s">
        <v>1065</v>
      </c>
      <c r="D372" s="5" t="s">
        <v>1066</v>
      </c>
      <c r="E372" s="5" t="s">
        <v>1067</v>
      </c>
      <c r="F372" s="5" t="s">
        <v>1728</v>
      </c>
      <c r="G372" s="5" t="s">
        <v>1069</v>
      </c>
      <c r="H372" s="5" t="s">
        <v>180</v>
      </c>
      <c r="I372" s="5" t="s">
        <v>1070</v>
      </c>
      <c r="J372" s="5" t="s">
        <v>1729</v>
      </c>
      <c r="K372" s="5" t="s">
        <v>1730</v>
      </c>
      <c r="L372" s="5" t="s">
        <v>1657</v>
      </c>
      <c r="M372" s="5" t="s">
        <v>1658</v>
      </c>
      <c r="N372" s="5"/>
      <c r="O372" s="5"/>
      <c r="P372" s="5" t="s">
        <v>1072</v>
      </c>
      <c r="Q372" s="5"/>
      <c r="R372" s="5" t="s">
        <v>1731</v>
      </c>
      <c r="S372" s="6">
        <v>43923</v>
      </c>
      <c r="T372" s="6">
        <v>43931</v>
      </c>
      <c r="U372" s="6">
        <v>43949</v>
      </c>
      <c r="V372" s="6">
        <v>43952</v>
      </c>
      <c r="W372" s="6">
        <v>43952</v>
      </c>
      <c r="X372" s="6">
        <v>43964</v>
      </c>
      <c r="Y372" s="5" t="s">
        <v>649</v>
      </c>
      <c r="Z372" s="5" t="s">
        <v>649</v>
      </c>
      <c r="AA372" s="5" t="s">
        <v>649</v>
      </c>
      <c r="AB372" s="5" t="s">
        <v>67</v>
      </c>
      <c r="AC372" s="5" t="s">
        <v>67</v>
      </c>
      <c r="AD372" s="5" t="s">
        <v>67</v>
      </c>
      <c r="AE372" s="5" t="s">
        <v>90</v>
      </c>
      <c r="AF372" s="5" t="s">
        <v>70</v>
      </c>
      <c r="AG372" s="5" t="s">
        <v>71</v>
      </c>
      <c r="AH372" s="5" t="s">
        <v>72</v>
      </c>
      <c r="AI372" s="5" t="s">
        <v>252</v>
      </c>
      <c r="AJ372" s="5">
        <v>0</v>
      </c>
      <c r="AK372" s="5">
        <v>0</v>
      </c>
      <c r="AL372" s="5">
        <v>0</v>
      </c>
      <c r="AM372" s="5">
        <v>0</v>
      </c>
      <c r="AN372" s="5">
        <v>14</v>
      </c>
      <c r="AO372" s="5">
        <v>2224.962</v>
      </c>
      <c r="AP372" s="5">
        <v>7.1539999999999999</v>
      </c>
      <c r="AQ372" s="5" t="s">
        <v>713</v>
      </c>
      <c r="AR372" s="5" t="s">
        <v>1104</v>
      </c>
      <c r="AS372" s="5"/>
      <c r="AT372" s="5"/>
      <c r="AU372" s="5"/>
      <c r="AV372" s="5">
        <v>-1</v>
      </c>
      <c r="AW372" s="5" t="s">
        <v>1498</v>
      </c>
    </row>
    <row r="373" spans="1:49" x14ac:dyDescent="0.55000000000000004">
      <c r="A373" s="5" t="str">
        <f>HYPERLINK("https://www.infodis.net/philips/net/Shipment/Details?InfodisNumber=4273039&amp;DomainCode=DAP", "4273039")</f>
        <v>4273039</v>
      </c>
      <c r="B373" s="5" t="s">
        <v>1732</v>
      </c>
      <c r="C373" s="5" t="s">
        <v>1594</v>
      </c>
      <c r="D373" s="5" t="s">
        <v>1595</v>
      </c>
      <c r="E373" s="5" t="s">
        <v>304</v>
      </c>
      <c r="F373" s="5" t="s">
        <v>393</v>
      </c>
      <c r="G373" s="5" t="s">
        <v>1733</v>
      </c>
      <c r="H373" s="5" t="s">
        <v>846</v>
      </c>
      <c r="I373" s="5" t="s">
        <v>844</v>
      </c>
      <c r="J373" s="5" t="s">
        <v>80</v>
      </c>
      <c r="K373" s="5" t="s">
        <v>394</v>
      </c>
      <c r="L373" s="5" t="s">
        <v>79</v>
      </c>
      <c r="M373" s="5" t="s">
        <v>133</v>
      </c>
      <c r="N373" s="5"/>
      <c r="O373" s="5"/>
      <c r="P373" s="5" t="s">
        <v>1734</v>
      </c>
      <c r="Q373" s="5"/>
      <c r="R373" s="5" t="s">
        <v>398</v>
      </c>
      <c r="S373" s="6">
        <v>43699</v>
      </c>
      <c r="T373" s="6">
        <v>43703</v>
      </c>
      <c r="U373" s="5"/>
      <c r="V373" s="6">
        <v>43708</v>
      </c>
      <c r="W373" s="6">
        <v>43708</v>
      </c>
      <c r="X373" s="5"/>
      <c r="Y373" s="5" t="s">
        <v>1735</v>
      </c>
      <c r="Z373" s="5" t="s">
        <v>1735</v>
      </c>
      <c r="AA373" s="5" t="s">
        <v>66</v>
      </c>
      <c r="AB373" s="5" t="s">
        <v>67</v>
      </c>
      <c r="AC373" s="5" t="s">
        <v>67</v>
      </c>
      <c r="AD373" s="5" t="s">
        <v>68</v>
      </c>
      <c r="AE373" s="5" t="s">
        <v>162</v>
      </c>
      <c r="AF373" s="5" t="s">
        <v>70</v>
      </c>
      <c r="AG373" s="5" t="s">
        <v>71</v>
      </c>
      <c r="AH373" s="5" t="s">
        <v>72</v>
      </c>
      <c r="AI373" s="5" t="s">
        <v>73</v>
      </c>
      <c r="AJ373" s="5">
        <v>0</v>
      </c>
      <c r="AK373" s="5">
        <v>0</v>
      </c>
      <c r="AL373" s="5">
        <v>0</v>
      </c>
      <c r="AM373" s="5">
        <v>0</v>
      </c>
      <c r="AN373" s="5">
        <v>12</v>
      </c>
      <c r="AO373" s="5">
        <v>2500</v>
      </c>
      <c r="AP373" s="5">
        <v>25</v>
      </c>
      <c r="AQ373" s="5" t="s">
        <v>713</v>
      </c>
      <c r="AR373" s="5" t="s">
        <v>1104</v>
      </c>
      <c r="AS373" s="5"/>
      <c r="AT373" s="5"/>
      <c r="AU373" s="5"/>
      <c r="AV373" s="5">
        <v>-1</v>
      </c>
      <c r="AW373" s="5" t="s">
        <v>1198</v>
      </c>
    </row>
    <row r="374" spans="1:49" x14ac:dyDescent="0.55000000000000004">
      <c r="A374" s="5" t="str">
        <f>HYPERLINK("https://www.infodis.net/philips/net/Shipment/Details?InfodisNumber=6098476&amp;DomainCode=PHILIPSR1", "6098476")</f>
        <v>6098476</v>
      </c>
      <c r="B374" s="5" t="s">
        <v>1736</v>
      </c>
      <c r="C374" s="5" t="s">
        <v>607</v>
      </c>
      <c r="D374" s="5" t="s">
        <v>608</v>
      </c>
      <c r="E374" s="5" t="s">
        <v>458</v>
      </c>
      <c r="F374" s="5" t="s">
        <v>1737</v>
      </c>
      <c r="G374" s="5" t="s">
        <v>610</v>
      </c>
      <c r="H374" s="5" t="s">
        <v>180</v>
      </c>
      <c r="I374" s="5" t="s">
        <v>652</v>
      </c>
      <c r="J374" s="5" t="s">
        <v>130</v>
      </c>
      <c r="K374" s="5" t="s">
        <v>1738</v>
      </c>
      <c r="L374" s="5" t="s">
        <v>132</v>
      </c>
      <c r="M374" s="5" t="s">
        <v>60</v>
      </c>
      <c r="N374" s="5"/>
      <c r="O374" s="5"/>
      <c r="P374" s="5" t="s">
        <v>613</v>
      </c>
      <c r="Q374" s="5"/>
      <c r="R374" s="5" t="s">
        <v>1739</v>
      </c>
      <c r="S374" s="6">
        <v>43827</v>
      </c>
      <c r="T374" s="6">
        <v>43829</v>
      </c>
      <c r="U374" s="6">
        <v>43846</v>
      </c>
      <c r="V374" s="6">
        <v>43848</v>
      </c>
      <c r="W374" s="6">
        <v>43849</v>
      </c>
      <c r="X374" s="5"/>
      <c r="Y374" s="5" t="s">
        <v>649</v>
      </c>
      <c r="Z374" s="5" t="s">
        <v>649</v>
      </c>
      <c r="AA374" s="5" t="s">
        <v>66</v>
      </c>
      <c r="AB374" s="5" t="s">
        <v>67</v>
      </c>
      <c r="AC374" s="5" t="s">
        <v>67</v>
      </c>
      <c r="AD374" s="5" t="s">
        <v>68</v>
      </c>
      <c r="AE374" s="5" t="s">
        <v>90</v>
      </c>
      <c r="AF374" s="5" t="s">
        <v>70</v>
      </c>
      <c r="AG374" s="5" t="s">
        <v>71</v>
      </c>
      <c r="AH374" s="5" t="s">
        <v>72</v>
      </c>
      <c r="AI374" s="5" t="s">
        <v>252</v>
      </c>
      <c r="AJ374" s="5">
        <v>0</v>
      </c>
      <c r="AK374" s="5">
        <v>0</v>
      </c>
      <c r="AL374" s="5">
        <v>0</v>
      </c>
      <c r="AM374" s="5">
        <v>0</v>
      </c>
      <c r="AN374" s="5">
        <v>16</v>
      </c>
      <c r="AO374" s="5">
        <v>4591.0609999999997</v>
      </c>
      <c r="AP374" s="5">
        <v>34.165999999999997</v>
      </c>
      <c r="AQ374" s="5" t="s">
        <v>713</v>
      </c>
      <c r="AR374" s="5" t="s">
        <v>1104</v>
      </c>
      <c r="AS374" s="5"/>
      <c r="AT374" s="6">
        <v>43846</v>
      </c>
      <c r="AU374" s="5"/>
      <c r="AV374" s="5">
        <v>316</v>
      </c>
      <c r="AW374" s="5" t="s">
        <v>1493</v>
      </c>
    </row>
    <row r="375" spans="1:49" x14ac:dyDescent="0.55000000000000004">
      <c r="A375" s="5" t="str">
        <f>HYPERLINK("https://www.infodis.net/philips/net/Shipment/Details?InfodisNumber=4366685&amp;DomainCode=DAP", "4366685")</f>
        <v>4366685</v>
      </c>
      <c r="B375" s="5" t="s">
        <v>1740</v>
      </c>
      <c r="C375" s="5" t="s">
        <v>1176</v>
      </c>
      <c r="D375" s="5" t="s">
        <v>1177</v>
      </c>
      <c r="E375" s="5" t="s">
        <v>1176</v>
      </c>
      <c r="F375" s="5" t="s">
        <v>1178</v>
      </c>
      <c r="G375" s="5" t="s">
        <v>667</v>
      </c>
      <c r="H375" s="5" t="s">
        <v>79</v>
      </c>
      <c r="I375" s="5" t="s">
        <v>122</v>
      </c>
      <c r="J375" s="5" t="s">
        <v>194</v>
      </c>
      <c r="K375" s="5" t="s">
        <v>1179</v>
      </c>
      <c r="L375" s="5" t="s">
        <v>180</v>
      </c>
      <c r="M375" s="5" t="s">
        <v>84</v>
      </c>
      <c r="N375" s="5"/>
      <c r="O375" s="5"/>
      <c r="P375" s="5" t="s">
        <v>1180</v>
      </c>
      <c r="Q375" s="5"/>
      <c r="R375" s="5" t="s">
        <v>1181</v>
      </c>
      <c r="S375" s="6">
        <v>43824</v>
      </c>
      <c r="T375" s="6">
        <v>43833</v>
      </c>
      <c r="U375" s="5"/>
      <c r="V375" s="6">
        <v>43838</v>
      </c>
      <c r="W375" s="5"/>
      <c r="X375" s="5"/>
      <c r="Y375" s="5" t="s">
        <v>66</v>
      </c>
      <c r="Z375" s="5" t="s">
        <v>1182</v>
      </c>
      <c r="AA375" s="5" t="s">
        <v>1182</v>
      </c>
      <c r="AB375" s="5" t="s">
        <v>67</v>
      </c>
      <c r="AC375" s="5" t="s">
        <v>67</v>
      </c>
      <c r="AD375" s="5" t="s">
        <v>67</v>
      </c>
      <c r="AE375" s="5" t="s">
        <v>162</v>
      </c>
      <c r="AF375" s="5" t="s">
        <v>70</v>
      </c>
      <c r="AG375" s="5" t="s">
        <v>71</v>
      </c>
      <c r="AH375" s="5" t="s">
        <v>72</v>
      </c>
      <c r="AI375" s="5" t="s">
        <v>73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3180</v>
      </c>
      <c r="AP375" s="5">
        <v>21.58</v>
      </c>
      <c r="AQ375" s="5" t="s">
        <v>713</v>
      </c>
      <c r="AR375" s="5" t="s">
        <v>1104</v>
      </c>
      <c r="AS375" s="5"/>
      <c r="AT375" s="6">
        <v>43846</v>
      </c>
      <c r="AU375" s="5"/>
      <c r="AV375" s="5">
        <v>316</v>
      </c>
      <c r="AW375" s="5" t="s">
        <v>1493</v>
      </c>
    </row>
    <row r="376" spans="1:49" x14ac:dyDescent="0.55000000000000004">
      <c r="A376" s="5" t="str">
        <f>HYPERLINK("https://www.infodis.net/philips/net/Shipment/Details?InfodisNumber=6089535&amp;DomainCode=PHILIPSR1", "6089535")</f>
        <v>6089535</v>
      </c>
      <c r="B376" s="5" t="s">
        <v>1741</v>
      </c>
      <c r="C376" s="5" t="s">
        <v>607</v>
      </c>
      <c r="D376" s="5" t="s">
        <v>608</v>
      </c>
      <c r="E376" s="5" t="s">
        <v>458</v>
      </c>
      <c r="F376" s="5" t="s">
        <v>1742</v>
      </c>
      <c r="G376" s="5" t="s">
        <v>610</v>
      </c>
      <c r="H376" s="5" t="s">
        <v>180</v>
      </c>
      <c r="I376" s="5" t="s">
        <v>652</v>
      </c>
      <c r="J376" s="5" t="s">
        <v>1743</v>
      </c>
      <c r="K376" s="5" t="s">
        <v>1744</v>
      </c>
      <c r="L376" s="5" t="s">
        <v>132</v>
      </c>
      <c r="M376" s="5" t="s">
        <v>60</v>
      </c>
      <c r="N376" s="5"/>
      <c r="O376" s="5"/>
      <c r="P376" s="5" t="s">
        <v>613</v>
      </c>
      <c r="Q376" s="5"/>
      <c r="R376" s="5" t="s">
        <v>1745</v>
      </c>
      <c r="S376" s="6">
        <v>43823</v>
      </c>
      <c r="T376" s="6">
        <v>43825</v>
      </c>
      <c r="U376" s="6">
        <v>43839</v>
      </c>
      <c r="V376" s="6">
        <v>43841</v>
      </c>
      <c r="W376" s="6">
        <v>43845</v>
      </c>
      <c r="X376" s="5"/>
      <c r="Y376" s="5" t="s">
        <v>649</v>
      </c>
      <c r="Z376" s="5" t="s">
        <v>649</v>
      </c>
      <c r="AA376" s="5" t="s">
        <v>66</v>
      </c>
      <c r="AB376" s="5" t="s">
        <v>67</v>
      </c>
      <c r="AC376" s="5" t="s">
        <v>67</v>
      </c>
      <c r="AD376" s="5" t="s">
        <v>68</v>
      </c>
      <c r="AE376" s="5" t="s">
        <v>162</v>
      </c>
      <c r="AF376" s="5" t="s">
        <v>70</v>
      </c>
      <c r="AG376" s="5" t="s">
        <v>71</v>
      </c>
      <c r="AH376" s="5" t="s">
        <v>72</v>
      </c>
      <c r="AI376" s="5" t="s">
        <v>252</v>
      </c>
      <c r="AJ376" s="5">
        <v>0</v>
      </c>
      <c r="AK376" s="5">
        <v>0</v>
      </c>
      <c r="AL376" s="5">
        <v>0</v>
      </c>
      <c r="AM376" s="5">
        <v>0</v>
      </c>
      <c r="AN376" s="5">
        <v>10</v>
      </c>
      <c r="AO376" s="5">
        <v>2742.87</v>
      </c>
      <c r="AP376" s="5">
        <v>19.783999999999999</v>
      </c>
      <c r="AQ376" s="5" t="s">
        <v>713</v>
      </c>
      <c r="AR376" s="5" t="s">
        <v>1104</v>
      </c>
      <c r="AS376" s="5"/>
      <c r="AT376" s="6">
        <v>43846</v>
      </c>
      <c r="AU376" s="5"/>
      <c r="AV376" s="5">
        <v>316</v>
      </c>
      <c r="AW376" s="5" t="s">
        <v>1493</v>
      </c>
    </row>
    <row r="377" spans="1:49" x14ac:dyDescent="0.55000000000000004">
      <c r="A377" s="5" t="str">
        <f>HYPERLINK("https://www.infodis.net/philips/net/Shipment/Details?InfodisNumber=5577850&amp;DomainCode=PHILIPSR1", "5577850")</f>
        <v>5577850</v>
      </c>
      <c r="B377" s="5" t="s">
        <v>1746</v>
      </c>
      <c r="C377" s="5" t="s">
        <v>607</v>
      </c>
      <c r="D377" s="5" t="s">
        <v>608</v>
      </c>
      <c r="E377" s="5" t="s">
        <v>458</v>
      </c>
      <c r="F377" s="5" t="s">
        <v>1524</v>
      </c>
      <c r="G377" s="5" t="s">
        <v>610</v>
      </c>
      <c r="H377" s="5" t="s">
        <v>180</v>
      </c>
      <c r="I377" s="5" t="s">
        <v>194</v>
      </c>
      <c r="J377" s="5" t="s">
        <v>130</v>
      </c>
      <c r="K377" s="5" t="s">
        <v>1380</v>
      </c>
      <c r="L377" s="5" t="s">
        <v>132</v>
      </c>
      <c r="M377" s="5" t="s">
        <v>60</v>
      </c>
      <c r="N377" s="5" t="s">
        <v>1747</v>
      </c>
      <c r="O377" s="5"/>
      <c r="P377" s="5" t="s">
        <v>613</v>
      </c>
      <c r="Q377" s="5"/>
      <c r="R377" s="5" t="s">
        <v>1525</v>
      </c>
      <c r="S377" s="6">
        <v>43642</v>
      </c>
      <c r="T377" s="6">
        <v>43642</v>
      </c>
      <c r="U377" s="6">
        <v>43657</v>
      </c>
      <c r="V377" s="6">
        <v>43659</v>
      </c>
      <c r="W377" s="6">
        <v>43666</v>
      </c>
      <c r="X377" s="6">
        <v>43731</v>
      </c>
      <c r="Y377" s="5" t="s">
        <v>649</v>
      </c>
      <c r="Z377" s="5" t="s">
        <v>649</v>
      </c>
      <c r="AA377" s="5" t="s">
        <v>66</v>
      </c>
      <c r="AB377" s="5" t="s">
        <v>67</v>
      </c>
      <c r="AC377" s="5" t="s">
        <v>67</v>
      </c>
      <c r="AD377" s="5" t="s">
        <v>68</v>
      </c>
      <c r="AE377" s="5" t="s">
        <v>90</v>
      </c>
      <c r="AF377" s="5" t="s">
        <v>70</v>
      </c>
      <c r="AG377" s="5" t="s">
        <v>71</v>
      </c>
      <c r="AH377" s="5" t="s">
        <v>72</v>
      </c>
      <c r="AI377" s="5" t="s">
        <v>252</v>
      </c>
      <c r="AJ377" s="5">
        <v>0</v>
      </c>
      <c r="AK377" s="5">
        <v>0</v>
      </c>
      <c r="AL377" s="5">
        <v>0</v>
      </c>
      <c r="AM377" s="5">
        <v>0</v>
      </c>
      <c r="AN377" s="5">
        <v>16</v>
      </c>
      <c r="AO377" s="5">
        <v>4589.8999999999996</v>
      </c>
      <c r="AP377" s="5">
        <v>35.238999999999997</v>
      </c>
      <c r="AQ377" s="5" t="s">
        <v>713</v>
      </c>
      <c r="AR377" s="5" t="s">
        <v>1104</v>
      </c>
      <c r="AS377" s="5" t="s">
        <v>713</v>
      </c>
      <c r="AT377" s="6">
        <v>43790</v>
      </c>
      <c r="AU377" s="5" t="s">
        <v>1173</v>
      </c>
      <c r="AV377" s="5">
        <v>372</v>
      </c>
      <c r="AW377" s="5" t="s">
        <v>1448</v>
      </c>
    </row>
    <row r="378" spans="1:49" x14ac:dyDescent="0.55000000000000004">
      <c r="A378" s="5" t="str">
        <f>HYPERLINK("https://www.infodis.net/philips/net/Shipment/Details?InfodisNumber=6083642&amp;DomainCode=PHILIPSR1", "6083642")</f>
        <v>6083642</v>
      </c>
      <c r="B378" s="5" t="s">
        <v>1748</v>
      </c>
      <c r="C378" s="5" t="s">
        <v>607</v>
      </c>
      <c r="D378" s="5" t="s">
        <v>608</v>
      </c>
      <c r="E378" s="5" t="s">
        <v>458</v>
      </c>
      <c r="F378" s="5" t="s">
        <v>1749</v>
      </c>
      <c r="G378" s="5" t="s">
        <v>610</v>
      </c>
      <c r="H378" s="5" t="s">
        <v>180</v>
      </c>
      <c r="I378" s="5" t="s">
        <v>194</v>
      </c>
      <c r="J378" s="5" t="s">
        <v>130</v>
      </c>
      <c r="K378" s="5" t="s">
        <v>1750</v>
      </c>
      <c r="L378" s="5" t="s">
        <v>132</v>
      </c>
      <c r="M378" s="5" t="s">
        <v>60</v>
      </c>
      <c r="N378" s="5"/>
      <c r="O378" s="5" t="s">
        <v>1751</v>
      </c>
      <c r="P378" s="5" t="s">
        <v>613</v>
      </c>
      <c r="Q378" s="5"/>
      <c r="R378" s="5" t="s">
        <v>1752</v>
      </c>
      <c r="S378" s="6">
        <v>43820</v>
      </c>
      <c r="T378" s="6">
        <v>43822</v>
      </c>
      <c r="U378" s="6">
        <v>43846</v>
      </c>
      <c r="V378" s="6">
        <v>43855</v>
      </c>
      <c r="W378" s="6">
        <v>43855</v>
      </c>
      <c r="X378" s="5"/>
      <c r="Y378" s="5" t="s">
        <v>649</v>
      </c>
      <c r="Z378" s="5" t="s">
        <v>649</v>
      </c>
      <c r="AA378" s="5" t="s">
        <v>1753</v>
      </c>
      <c r="AB378" s="5" t="s">
        <v>67</v>
      </c>
      <c r="AC378" s="5" t="s">
        <v>67</v>
      </c>
      <c r="AD378" s="5" t="s">
        <v>67</v>
      </c>
      <c r="AE378" s="5" t="s">
        <v>162</v>
      </c>
      <c r="AF378" s="5" t="s">
        <v>70</v>
      </c>
      <c r="AG378" s="5" t="s">
        <v>71</v>
      </c>
      <c r="AH378" s="5" t="s">
        <v>72</v>
      </c>
      <c r="AI378" s="5" t="s">
        <v>252</v>
      </c>
      <c r="AJ378" s="5">
        <v>0</v>
      </c>
      <c r="AK378" s="5">
        <v>0</v>
      </c>
      <c r="AL378" s="5">
        <v>0</v>
      </c>
      <c r="AM378" s="5">
        <v>0</v>
      </c>
      <c r="AN378" s="5">
        <v>10</v>
      </c>
      <c r="AO378" s="5">
        <v>2242.5859999999998</v>
      </c>
      <c r="AP378" s="5">
        <v>16.763999999999999</v>
      </c>
      <c r="AQ378" s="5" t="s">
        <v>713</v>
      </c>
      <c r="AR378" s="5" t="s">
        <v>1104</v>
      </c>
      <c r="AS378" s="5"/>
      <c r="AT378" s="6">
        <v>43846</v>
      </c>
      <c r="AU378" s="5"/>
      <c r="AV378" s="5">
        <v>316</v>
      </c>
      <c r="AW378" s="5" t="s">
        <v>1493</v>
      </c>
    </row>
    <row r="379" spans="1:49" x14ac:dyDescent="0.55000000000000004">
      <c r="A379" s="5" t="str">
        <f>HYPERLINK("https://www.infodis.net/philips/net/Shipment/Details?InfodisNumber=6082807&amp;DomainCode=PHILIPSR1", "6082807")</f>
        <v>6082807</v>
      </c>
      <c r="B379" s="5" t="s">
        <v>1754</v>
      </c>
      <c r="C379" s="5" t="s">
        <v>607</v>
      </c>
      <c r="D379" s="5" t="s">
        <v>608</v>
      </c>
      <c r="E379" s="5" t="s">
        <v>458</v>
      </c>
      <c r="F379" s="5" t="s">
        <v>1444</v>
      </c>
      <c r="G379" s="5" t="s">
        <v>610</v>
      </c>
      <c r="H379" s="5" t="s">
        <v>180</v>
      </c>
      <c r="I379" s="5" t="s">
        <v>652</v>
      </c>
      <c r="J379" s="5" t="s">
        <v>1036</v>
      </c>
      <c r="K379" s="5" t="s">
        <v>1445</v>
      </c>
      <c r="L379" s="5" t="s">
        <v>132</v>
      </c>
      <c r="M379" s="5" t="s">
        <v>60</v>
      </c>
      <c r="N379" s="5"/>
      <c r="O379" s="5"/>
      <c r="P379" s="5" t="s">
        <v>613</v>
      </c>
      <c r="Q379" s="5"/>
      <c r="R379" s="5" t="s">
        <v>1447</v>
      </c>
      <c r="S379" s="6">
        <v>43819</v>
      </c>
      <c r="T379" s="6">
        <v>43822</v>
      </c>
      <c r="U379" s="6">
        <v>43832</v>
      </c>
      <c r="V379" s="6">
        <v>43834</v>
      </c>
      <c r="W379" s="6">
        <v>43846</v>
      </c>
      <c r="X379" s="5"/>
      <c r="Y379" s="5" t="s">
        <v>649</v>
      </c>
      <c r="Z379" s="5" t="s">
        <v>649</v>
      </c>
      <c r="AA379" s="5" t="s">
        <v>66</v>
      </c>
      <c r="AB379" s="5" t="s">
        <v>67</v>
      </c>
      <c r="AC379" s="5" t="s">
        <v>67</v>
      </c>
      <c r="AD379" s="5" t="s">
        <v>68</v>
      </c>
      <c r="AE379" s="5" t="s">
        <v>90</v>
      </c>
      <c r="AF379" s="5" t="s">
        <v>70</v>
      </c>
      <c r="AG379" s="5" t="s">
        <v>71</v>
      </c>
      <c r="AH379" s="5" t="s">
        <v>72</v>
      </c>
      <c r="AI379" s="5" t="s">
        <v>252</v>
      </c>
      <c r="AJ379" s="5">
        <v>0</v>
      </c>
      <c r="AK379" s="5">
        <v>0</v>
      </c>
      <c r="AL379" s="5">
        <v>0</v>
      </c>
      <c r="AM379" s="5">
        <v>0</v>
      </c>
      <c r="AN379" s="5">
        <v>16</v>
      </c>
      <c r="AO379" s="5">
        <v>3169.0659999999998</v>
      </c>
      <c r="AP379" s="5">
        <v>25.039000000000001</v>
      </c>
      <c r="AQ379" s="5" t="s">
        <v>713</v>
      </c>
      <c r="AR379" s="5" t="s">
        <v>1104</v>
      </c>
      <c r="AS379" s="5"/>
      <c r="AT379" s="6">
        <v>43846</v>
      </c>
      <c r="AU379" s="5"/>
      <c r="AV379" s="5">
        <v>316</v>
      </c>
      <c r="AW379" s="5" t="s">
        <v>1493</v>
      </c>
    </row>
    <row r="380" spans="1:49" x14ac:dyDescent="0.55000000000000004">
      <c r="A380" s="5" t="str">
        <f>HYPERLINK("https://www.infodis.net/philips/net/Shipment/Details?InfodisNumber=4435615&amp;DomainCode=DAP", "4435615")</f>
        <v>4435615</v>
      </c>
      <c r="B380" s="5" t="s">
        <v>1755</v>
      </c>
      <c r="C380" s="5" t="s">
        <v>1193</v>
      </c>
      <c r="D380" s="5" t="s">
        <v>1194</v>
      </c>
      <c r="E380" s="5" t="s">
        <v>1193</v>
      </c>
      <c r="F380" s="5" t="s">
        <v>77</v>
      </c>
      <c r="G380" s="5" t="s">
        <v>945</v>
      </c>
      <c r="H380" s="5" t="s">
        <v>938</v>
      </c>
      <c r="I380" s="5" t="s">
        <v>293</v>
      </c>
      <c r="J380" s="5" t="s">
        <v>81</v>
      </c>
      <c r="K380" s="5" t="s">
        <v>82</v>
      </c>
      <c r="L380" s="5" t="s">
        <v>83</v>
      </c>
      <c r="M380" s="5" t="s">
        <v>60</v>
      </c>
      <c r="N380" s="5" t="s">
        <v>1756</v>
      </c>
      <c r="O380" s="5"/>
      <c r="P380" s="5" t="s">
        <v>1196</v>
      </c>
      <c r="Q380" s="5"/>
      <c r="R380" s="5" t="s">
        <v>87</v>
      </c>
      <c r="S380" s="6">
        <v>43955</v>
      </c>
      <c r="T380" s="6">
        <v>43980</v>
      </c>
      <c r="U380" s="5"/>
      <c r="V380" s="6">
        <v>43985</v>
      </c>
      <c r="W380" s="5"/>
      <c r="X380" s="5"/>
      <c r="Y380" s="5" t="s">
        <v>66</v>
      </c>
      <c r="Z380" s="5" t="s">
        <v>66</v>
      </c>
      <c r="AA380" s="5" t="s">
        <v>66</v>
      </c>
      <c r="AB380" s="5" t="s">
        <v>68</v>
      </c>
      <c r="AC380" s="5" t="s">
        <v>67</v>
      </c>
      <c r="AD380" s="5" t="s">
        <v>67</v>
      </c>
      <c r="AE380" s="5" t="s">
        <v>162</v>
      </c>
      <c r="AF380" s="5" t="s">
        <v>70</v>
      </c>
      <c r="AG380" s="5" t="s">
        <v>71</v>
      </c>
      <c r="AH380" s="5" t="s">
        <v>72</v>
      </c>
      <c r="AI380" s="5" t="s">
        <v>73</v>
      </c>
      <c r="AJ380" s="5">
        <v>0</v>
      </c>
      <c r="AK380" s="5">
        <v>0</v>
      </c>
      <c r="AL380" s="5">
        <v>0</v>
      </c>
      <c r="AM380" s="5">
        <v>0</v>
      </c>
      <c r="AN380" s="5">
        <v>20</v>
      </c>
      <c r="AO380" s="5">
        <v>9560</v>
      </c>
      <c r="AP380" s="5">
        <v>15.96</v>
      </c>
      <c r="AQ380" s="5" t="s">
        <v>713</v>
      </c>
      <c r="AR380" s="5" t="s">
        <v>1104</v>
      </c>
      <c r="AS380" s="5" t="s">
        <v>713</v>
      </c>
      <c r="AT380" s="6">
        <v>43957</v>
      </c>
      <c r="AU380" s="5" t="s">
        <v>1683</v>
      </c>
      <c r="AV380" s="5">
        <v>205</v>
      </c>
      <c r="AW380" s="5" t="s">
        <v>1522</v>
      </c>
    </row>
    <row r="381" spans="1:49" x14ac:dyDescent="0.55000000000000004">
      <c r="A381" s="5" t="str">
        <f>HYPERLINK("https://www.infodis.net/philips/net/Shipment/Details?InfodisNumber=4365139&amp;DomainCode=DAP", "4365139")</f>
        <v>4365139</v>
      </c>
      <c r="B381" s="5" t="s">
        <v>1757</v>
      </c>
      <c r="C381" s="5" t="s">
        <v>1758</v>
      </c>
      <c r="D381" s="5" t="s">
        <v>1759</v>
      </c>
      <c r="E381" s="5" t="s">
        <v>1758</v>
      </c>
      <c r="F381" s="5" t="s">
        <v>1664</v>
      </c>
      <c r="G381" s="5" t="s">
        <v>1760</v>
      </c>
      <c r="H381" s="5" t="s">
        <v>1761</v>
      </c>
      <c r="I381" s="5" t="s">
        <v>1762</v>
      </c>
      <c r="J381" s="5" t="s">
        <v>547</v>
      </c>
      <c r="K381" s="5" t="s">
        <v>1052</v>
      </c>
      <c r="L381" s="5" t="s">
        <v>180</v>
      </c>
      <c r="M381" s="5" t="s">
        <v>1489</v>
      </c>
      <c r="N381" s="5" t="s">
        <v>1763</v>
      </c>
      <c r="O381" s="5"/>
      <c r="P381" s="5" t="s">
        <v>1764</v>
      </c>
      <c r="Q381" s="5"/>
      <c r="R381" s="5" t="s">
        <v>1055</v>
      </c>
      <c r="S381" s="6">
        <v>43819</v>
      </c>
      <c r="T381" s="6">
        <v>43847</v>
      </c>
      <c r="U381" s="6">
        <v>43847</v>
      </c>
      <c r="V381" s="6">
        <v>43850</v>
      </c>
      <c r="W381" s="6">
        <v>43850</v>
      </c>
      <c r="X381" s="6">
        <v>43894</v>
      </c>
      <c r="Y381" s="5" t="s">
        <v>1182</v>
      </c>
      <c r="Z381" s="5" t="s">
        <v>1182</v>
      </c>
      <c r="AA381" s="5" t="s">
        <v>1182</v>
      </c>
      <c r="AB381" s="5" t="s">
        <v>67</v>
      </c>
      <c r="AC381" s="5" t="s">
        <v>67</v>
      </c>
      <c r="AD381" s="5" t="s">
        <v>67</v>
      </c>
      <c r="AE381" s="5" t="s">
        <v>1228</v>
      </c>
      <c r="AF381" s="5" t="s">
        <v>70</v>
      </c>
      <c r="AG381" s="5" t="s">
        <v>71</v>
      </c>
      <c r="AH381" s="5" t="s">
        <v>72</v>
      </c>
      <c r="AI381" s="5" t="s">
        <v>73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4148.28</v>
      </c>
      <c r="AP381" s="5">
        <v>66.459999999999994</v>
      </c>
      <c r="AQ381" s="5" t="s">
        <v>713</v>
      </c>
      <c r="AR381" s="5" t="s">
        <v>1104</v>
      </c>
      <c r="AS381" s="5"/>
      <c r="AT381" s="6">
        <v>43846</v>
      </c>
      <c r="AU381" s="5"/>
      <c r="AV381" s="5">
        <v>316</v>
      </c>
      <c r="AW381" s="5" t="s">
        <v>1493</v>
      </c>
    </row>
    <row r="382" spans="1:49" x14ac:dyDescent="0.55000000000000004">
      <c r="A382" s="5" t="str">
        <f>HYPERLINK("https://www.infodis.net/philips/net/Shipment/Details?InfodisNumber=5709857&amp;DomainCode=PHILIPSR1", "5709857")</f>
        <v>5709857</v>
      </c>
      <c r="B382" s="5" t="s">
        <v>1765</v>
      </c>
      <c r="C382" s="5" t="s">
        <v>1716</v>
      </c>
      <c r="D382" s="5" t="s">
        <v>1717</v>
      </c>
      <c r="E382" s="5" t="s">
        <v>1664</v>
      </c>
      <c r="F382" s="5" t="s">
        <v>1554</v>
      </c>
      <c r="G382" s="5" t="s">
        <v>1052</v>
      </c>
      <c r="H382" s="5" t="s">
        <v>180</v>
      </c>
      <c r="I382" s="5" t="s">
        <v>194</v>
      </c>
      <c r="J382" s="5" t="s">
        <v>844</v>
      </c>
      <c r="K382" s="5" t="s">
        <v>1555</v>
      </c>
      <c r="L382" s="5" t="s">
        <v>846</v>
      </c>
      <c r="M382" s="5" t="s">
        <v>60</v>
      </c>
      <c r="N382" s="5" t="s">
        <v>1766</v>
      </c>
      <c r="O382" s="5"/>
      <c r="P382" s="5" t="s">
        <v>1055</v>
      </c>
      <c r="Q382" s="5"/>
      <c r="R382" s="5" t="s">
        <v>1557</v>
      </c>
      <c r="S382" s="6">
        <v>43692</v>
      </c>
      <c r="T382" s="6">
        <v>43706</v>
      </c>
      <c r="U382" s="6">
        <v>43706</v>
      </c>
      <c r="V382" s="6">
        <v>43735</v>
      </c>
      <c r="W382" s="6">
        <v>43726</v>
      </c>
      <c r="X382" s="6">
        <v>43753</v>
      </c>
      <c r="Y382" s="5" t="s">
        <v>649</v>
      </c>
      <c r="Z382" s="5" t="s">
        <v>649</v>
      </c>
      <c r="AA382" s="5" t="s">
        <v>649</v>
      </c>
      <c r="AB382" s="5" t="s">
        <v>67</v>
      </c>
      <c r="AC382" s="5" t="s">
        <v>67</v>
      </c>
      <c r="AD382" s="5" t="s">
        <v>67</v>
      </c>
      <c r="AE382" s="5" t="s">
        <v>69</v>
      </c>
      <c r="AF382" s="5" t="s">
        <v>70</v>
      </c>
      <c r="AG382" s="5" t="s">
        <v>71</v>
      </c>
      <c r="AH382" s="5" t="s">
        <v>72</v>
      </c>
      <c r="AI382" s="5" t="s">
        <v>252</v>
      </c>
      <c r="AJ382" s="5">
        <v>0</v>
      </c>
      <c r="AK382" s="5">
        <v>0</v>
      </c>
      <c r="AL382" s="5">
        <v>0</v>
      </c>
      <c r="AM382" s="5">
        <v>0</v>
      </c>
      <c r="AN382" s="5">
        <v>23</v>
      </c>
      <c r="AO382" s="5">
        <v>3642.35</v>
      </c>
      <c r="AP382" s="5">
        <v>36.246000000000002</v>
      </c>
      <c r="AQ382" s="5" t="s">
        <v>713</v>
      </c>
      <c r="AR382" s="5" t="s">
        <v>1104</v>
      </c>
      <c r="AS382" s="5" t="s">
        <v>713</v>
      </c>
      <c r="AT382" s="6">
        <v>43796</v>
      </c>
      <c r="AU382" s="5" t="s">
        <v>1719</v>
      </c>
      <c r="AV382" s="5">
        <v>366</v>
      </c>
      <c r="AW382" s="5" t="s">
        <v>1720</v>
      </c>
    </row>
    <row r="383" spans="1:49" x14ac:dyDescent="0.55000000000000004">
      <c r="A383" s="5" t="str">
        <f>HYPERLINK("https://www.infodis.net/philips/net/Shipment/Details?InfodisNumber=5709854&amp;DomainCode=PHILIPSR1", "5709854")</f>
        <v>5709854</v>
      </c>
      <c r="B383" s="5" t="s">
        <v>1767</v>
      </c>
      <c r="C383" s="5" t="s">
        <v>1716</v>
      </c>
      <c r="D383" s="5" t="s">
        <v>1717</v>
      </c>
      <c r="E383" s="5" t="s">
        <v>1664</v>
      </c>
      <c r="F383" s="5" t="s">
        <v>1554</v>
      </c>
      <c r="G383" s="5" t="s">
        <v>1052</v>
      </c>
      <c r="H383" s="5" t="s">
        <v>180</v>
      </c>
      <c r="I383" s="5" t="s">
        <v>194</v>
      </c>
      <c r="J383" s="5" t="s">
        <v>844</v>
      </c>
      <c r="K383" s="5" t="s">
        <v>1555</v>
      </c>
      <c r="L383" s="5" t="s">
        <v>846</v>
      </c>
      <c r="M383" s="5" t="s">
        <v>60</v>
      </c>
      <c r="N383" s="5" t="s">
        <v>1768</v>
      </c>
      <c r="O383" s="5"/>
      <c r="P383" s="5" t="s">
        <v>1055</v>
      </c>
      <c r="Q383" s="5"/>
      <c r="R383" s="5" t="s">
        <v>1557</v>
      </c>
      <c r="S383" s="6">
        <v>43692</v>
      </c>
      <c r="T383" s="6">
        <v>43699</v>
      </c>
      <c r="U383" s="6">
        <v>43700</v>
      </c>
      <c r="V383" s="6">
        <v>43725</v>
      </c>
      <c r="W383" s="6">
        <v>43719</v>
      </c>
      <c r="X383" s="6">
        <v>43745</v>
      </c>
      <c r="Y383" s="5" t="s">
        <v>649</v>
      </c>
      <c r="Z383" s="5" t="s">
        <v>649</v>
      </c>
      <c r="AA383" s="5" t="s">
        <v>649</v>
      </c>
      <c r="AB383" s="5" t="s">
        <v>67</v>
      </c>
      <c r="AC383" s="5" t="s">
        <v>67</v>
      </c>
      <c r="AD383" s="5" t="s">
        <v>67</v>
      </c>
      <c r="AE383" s="5" t="s">
        <v>69</v>
      </c>
      <c r="AF383" s="5" t="s">
        <v>70</v>
      </c>
      <c r="AG383" s="5" t="s">
        <v>71</v>
      </c>
      <c r="AH383" s="5" t="s">
        <v>72</v>
      </c>
      <c r="AI383" s="5" t="s">
        <v>252</v>
      </c>
      <c r="AJ383" s="5">
        <v>0</v>
      </c>
      <c r="AK383" s="5">
        <v>0</v>
      </c>
      <c r="AL383" s="5">
        <v>0</v>
      </c>
      <c r="AM383" s="5">
        <v>0</v>
      </c>
      <c r="AN383" s="5">
        <v>23</v>
      </c>
      <c r="AO383" s="5">
        <v>3698.14</v>
      </c>
      <c r="AP383" s="5">
        <v>36.246000000000002</v>
      </c>
      <c r="AQ383" s="5" t="s">
        <v>713</v>
      </c>
      <c r="AR383" s="5" t="s">
        <v>1104</v>
      </c>
      <c r="AS383" s="5" t="s">
        <v>713</v>
      </c>
      <c r="AT383" s="6">
        <v>43796</v>
      </c>
      <c r="AU383" s="5" t="s">
        <v>1719</v>
      </c>
      <c r="AV383" s="5">
        <v>366</v>
      </c>
      <c r="AW383" s="5" t="s">
        <v>1769</v>
      </c>
    </row>
    <row r="384" spans="1:49" x14ac:dyDescent="0.55000000000000004">
      <c r="A384" s="5" t="str">
        <f>HYPERLINK("https://www.infodis.net/philips/net/Shipment/Details?InfodisNumber=5556028&amp;DomainCode=PHILIPSR1", "5556028")</f>
        <v>5556028</v>
      </c>
      <c r="B384" s="5" t="s">
        <v>1770</v>
      </c>
      <c r="C384" s="5" t="s">
        <v>607</v>
      </c>
      <c r="D384" s="5" t="s">
        <v>608</v>
      </c>
      <c r="E384" s="5" t="s">
        <v>458</v>
      </c>
      <c r="F384" s="5" t="s">
        <v>1771</v>
      </c>
      <c r="G384" s="5" t="s">
        <v>610</v>
      </c>
      <c r="H384" s="5" t="s">
        <v>180</v>
      </c>
      <c r="I384" s="5" t="s">
        <v>194</v>
      </c>
      <c r="J384" s="5" t="s">
        <v>1036</v>
      </c>
      <c r="K384" s="5" t="s">
        <v>1772</v>
      </c>
      <c r="L384" s="5" t="s">
        <v>132</v>
      </c>
      <c r="M384" s="5" t="s">
        <v>60</v>
      </c>
      <c r="N384" s="5" t="s">
        <v>1773</v>
      </c>
      <c r="O384" s="5"/>
      <c r="P384" s="5" t="s">
        <v>613</v>
      </c>
      <c r="Q384" s="5"/>
      <c r="R384" s="5" t="s">
        <v>1774</v>
      </c>
      <c r="S384" s="6">
        <v>43634</v>
      </c>
      <c r="T384" s="6">
        <v>43641</v>
      </c>
      <c r="U384" s="6">
        <v>43645</v>
      </c>
      <c r="V384" s="6">
        <v>43680</v>
      </c>
      <c r="W384" s="6">
        <v>43680</v>
      </c>
      <c r="X384" s="6">
        <v>43733</v>
      </c>
      <c r="Y384" s="5" t="s">
        <v>649</v>
      </c>
      <c r="Z384" s="5" t="s">
        <v>649</v>
      </c>
      <c r="AA384" s="5" t="s">
        <v>649</v>
      </c>
      <c r="AB384" s="5" t="s">
        <v>67</v>
      </c>
      <c r="AC384" s="5" t="s">
        <v>67</v>
      </c>
      <c r="AD384" s="5" t="s">
        <v>67</v>
      </c>
      <c r="AE384" s="5" t="s">
        <v>162</v>
      </c>
      <c r="AF384" s="5" t="s">
        <v>70</v>
      </c>
      <c r="AG384" s="5" t="s">
        <v>71</v>
      </c>
      <c r="AH384" s="5" t="s">
        <v>72</v>
      </c>
      <c r="AI384" s="5" t="s">
        <v>252</v>
      </c>
      <c r="AJ384" s="5">
        <v>0</v>
      </c>
      <c r="AK384" s="5">
        <v>0</v>
      </c>
      <c r="AL384" s="5">
        <v>0</v>
      </c>
      <c r="AM384" s="5">
        <v>0</v>
      </c>
      <c r="AN384" s="5">
        <v>10</v>
      </c>
      <c r="AO384" s="5">
        <v>2103.31</v>
      </c>
      <c r="AP384" s="5">
        <v>16.033999999999999</v>
      </c>
      <c r="AQ384" s="5" t="s">
        <v>713</v>
      </c>
      <c r="AR384" s="5" t="s">
        <v>1104</v>
      </c>
      <c r="AS384" s="5" t="s">
        <v>713</v>
      </c>
      <c r="AT384" s="6">
        <v>43790</v>
      </c>
      <c r="AU384" s="5" t="s">
        <v>1173</v>
      </c>
      <c r="AV384" s="5">
        <v>372</v>
      </c>
      <c r="AW384" s="5" t="s">
        <v>1448</v>
      </c>
    </row>
    <row r="385" spans="1:49" x14ac:dyDescent="0.55000000000000004">
      <c r="A385" s="5" t="str">
        <f>HYPERLINK("https://www.infodis.net/philips/net/Shipment/Details?InfodisNumber=6069955&amp;DomainCode=PHILIPSR1", "6069955")</f>
        <v>6069955</v>
      </c>
      <c r="B385" s="5" t="s">
        <v>1775</v>
      </c>
      <c r="C385" s="5" t="s">
        <v>607</v>
      </c>
      <c r="D385" s="5" t="s">
        <v>608</v>
      </c>
      <c r="E385" s="5" t="s">
        <v>458</v>
      </c>
      <c r="F385" s="5" t="s">
        <v>1776</v>
      </c>
      <c r="G385" s="5" t="s">
        <v>610</v>
      </c>
      <c r="H385" s="5" t="s">
        <v>180</v>
      </c>
      <c r="I385" s="5" t="s">
        <v>194</v>
      </c>
      <c r="J385" s="5" t="s">
        <v>1036</v>
      </c>
      <c r="K385" s="5" t="s">
        <v>1772</v>
      </c>
      <c r="L385" s="5" t="s">
        <v>132</v>
      </c>
      <c r="M385" s="5" t="s">
        <v>60</v>
      </c>
      <c r="N385" s="5"/>
      <c r="O385" s="5"/>
      <c r="P385" s="5" t="s">
        <v>613</v>
      </c>
      <c r="Q385" s="5"/>
      <c r="R385" s="5" t="s">
        <v>1777</v>
      </c>
      <c r="S385" s="6">
        <v>43816</v>
      </c>
      <c r="T385" s="6">
        <v>43816</v>
      </c>
      <c r="U385" s="6">
        <v>43816</v>
      </c>
      <c r="V385" s="6">
        <v>43831</v>
      </c>
      <c r="W385" s="6">
        <v>43842</v>
      </c>
      <c r="X385" s="5"/>
      <c r="Y385" s="5" t="s">
        <v>649</v>
      </c>
      <c r="Z385" s="5" t="s">
        <v>649</v>
      </c>
      <c r="AA385" s="5" t="s">
        <v>649</v>
      </c>
      <c r="AB385" s="5" t="s">
        <v>67</v>
      </c>
      <c r="AC385" s="5" t="s">
        <v>67</v>
      </c>
      <c r="AD385" s="5" t="s">
        <v>67</v>
      </c>
      <c r="AE385" s="5" t="s">
        <v>90</v>
      </c>
      <c r="AF385" s="5" t="s">
        <v>70</v>
      </c>
      <c r="AG385" s="5" t="s">
        <v>71</v>
      </c>
      <c r="AH385" s="5" t="s">
        <v>72</v>
      </c>
      <c r="AI385" s="5" t="s">
        <v>252</v>
      </c>
      <c r="AJ385" s="5">
        <v>0</v>
      </c>
      <c r="AK385" s="5">
        <v>0</v>
      </c>
      <c r="AL385" s="5">
        <v>0</v>
      </c>
      <c r="AM385" s="5">
        <v>0</v>
      </c>
      <c r="AN385" s="5">
        <v>20</v>
      </c>
      <c r="AO385" s="5">
        <v>4472.78</v>
      </c>
      <c r="AP385" s="5">
        <v>33.618000000000002</v>
      </c>
      <c r="AQ385" s="5" t="s">
        <v>713</v>
      </c>
      <c r="AR385" s="5" t="s">
        <v>1104</v>
      </c>
      <c r="AS385" s="5"/>
      <c r="AT385" s="6">
        <v>43846</v>
      </c>
      <c r="AU385" s="5"/>
      <c r="AV385" s="5">
        <v>316</v>
      </c>
      <c r="AW385" s="5" t="s">
        <v>1493</v>
      </c>
    </row>
    <row r="386" spans="1:49" x14ac:dyDescent="0.55000000000000004">
      <c r="A386" s="5" t="str">
        <f>HYPERLINK("https://www.infodis.net/philips/net/Shipment/Details?InfodisNumber=4471552&amp;DomainCode=DAP", "4471552")</f>
        <v>4471552</v>
      </c>
      <c r="B386" s="5" t="s">
        <v>1778</v>
      </c>
      <c r="C386" s="5" t="s">
        <v>1258</v>
      </c>
      <c r="D386" s="5" t="s">
        <v>1259</v>
      </c>
      <c r="E386" s="5" t="s">
        <v>1260</v>
      </c>
      <c r="F386" s="5" t="s">
        <v>1260</v>
      </c>
      <c r="G386" s="5" t="s">
        <v>394</v>
      </c>
      <c r="H386" s="5" t="s">
        <v>79</v>
      </c>
      <c r="I386" s="5" t="s">
        <v>112</v>
      </c>
      <c r="J386" s="5" t="s">
        <v>1779</v>
      </c>
      <c r="K386" s="5" t="s">
        <v>1262</v>
      </c>
      <c r="L386" s="5" t="s">
        <v>1263</v>
      </c>
      <c r="M386" s="5" t="s">
        <v>261</v>
      </c>
      <c r="N386" s="5" t="s">
        <v>1780</v>
      </c>
      <c r="O386" s="5" t="s">
        <v>1781</v>
      </c>
      <c r="P386" s="5" t="s">
        <v>1153</v>
      </c>
      <c r="Q386" s="5"/>
      <c r="R386" s="5" t="s">
        <v>1264</v>
      </c>
      <c r="S386" s="6">
        <v>44022</v>
      </c>
      <c r="T386" s="6">
        <v>44043</v>
      </c>
      <c r="U386" s="5"/>
      <c r="V386" s="6">
        <v>44050</v>
      </c>
      <c r="W386" s="6">
        <v>44053</v>
      </c>
      <c r="X386" s="5"/>
      <c r="Y386" s="5" t="s">
        <v>66</v>
      </c>
      <c r="Z386" s="5" t="s">
        <v>127</v>
      </c>
      <c r="AA386" s="5" t="s">
        <v>127</v>
      </c>
      <c r="AB386" s="5" t="s">
        <v>67</v>
      </c>
      <c r="AC386" s="5" t="s">
        <v>67</v>
      </c>
      <c r="AD386" s="5" t="s">
        <v>67</v>
      </c>
      <c r="AE386" s="5" t="s">
        <v>90</v>
      </c>
      <c r="AF386" s="5" t="s">
        <v>70</v>
      </c>
      <c r="AG386" s="5" t="s">
        <v>71</v>
      </c>
      <c r="AH386" s="5" t="s">
        <v>72</v>
      </c>
      <c r="AI386" s="5" t="s">
        <v>73</v>
      </c>
      <c r="AJ386" s="5">
        <v>0</v>
      </c>
      <c r="AK386" s="5">
        <v>0</v>
      </c>
      <c r="AL386" s="5">
        <v>0</v>
      </c>
      <c r="AM386" s="5">
        <v>0</v>
      </c>
      <c r="AN386" s="5">
        <v>23</v>
      </c>
      <c r="AO386" s="5">
        <v>8799.7999999999993</v>
      </c>
      <c r="AP386" s="5">
        <v>50.11</v>
      </c>
      <c r="AQ386" s="5" t="s">
        <v>713</v>
      </c>
      <c r="AR386" s="5" t="s">
        <v>1104</v>
      </c>
      <c r="AS386" s="5"/>
      <c r="AT386" s="5"/>
      <c r="AU386" s="5"/>
      <c r="AV386" s="5">
        <v>-1</v>
      </c>
      <c r="AW386" s="5" t="s">
        <v>1110</v>
      </c>
    </row>
    <row r="387" spans="1:49" x14ac:dyDescent="0.55000000000000004">
      <c r="A387" s="5" t="str">
        <f>HYPERLINK("https://www.infodis.net/philips/net/Shipment/Details?InfodisNumber=6239417&amp;DomainCode=PHILIPSR1", "6239417")</f>
        <v>6239417</v>
      </c>
      <c r="B387" s="5" t="s">
        <v>1782</v>
      </c>
      <c r="C387" s="5" t="s">
        <v>993</v>
      </c>
      <c r="D387" s="5" t="s">
        <v>994</v>
      </c>
      <c r="E387" s="5" t="s">
        <v>458</v>
      </c>
      <c r="F387" s="5" t="s">
        <v>915</v>
      </c>
      <c r="G387" s="5" t="s">
        <v>1488</v>
      </c>
      <c r="H387" s="5" t="s">
        <v>79</v>
      </c>
      <c r="I387" s="5" t="s">
        <v>282</v>
      </c>
      <c r="J387" s="5" t="s">
        <v>917</v>
      </c>
      <c r="K387" s="5" t="s">
        <v>918</v>
      </c>
      <c r="L387" s="5" t="s">
        <v>881</v>
      </c>
      <c r="M387" s="5" t="s">
        <v>60</v>
      </c>
      <c r="N387" s="5"/>
      <c r="O387" s="5" t="s">
        <v>1783</v>
      </c>
      <c r="P387" s="5" t="s">
        <v>282</v>
      </c>
      <c r="Q387" s="5"/>
      <c r="R387" s="5" t="s">
        <v>888</v>
      </c>
      <c r="S387" s="6">
        <v>43879</v>
      </c>
      <c r="T387" s="6">
        <v>43883</v>
      </c>
      <c r="U387" s="6">
        <v>43880</v>
      </c>
      <c r="V387" s="6">
        <v>44251</v>
      </c>
      <c r="W387" s="6">
        <v>43883</v>
      </c>
      <c r="X387" s="5"/>
      <c r="Y387" s="5" t="s">
        <v>649</v>
      </c>
      <c r="Z387" s="5" t="s">
        <v>649</v>
      </c>
      <c r="AA387" s="5" t="s">
        <v>649</v>
      </c>
      <c r="AB387" s="5" t="s">
        <v>67</v>
      </c>
      <c r="AC387" s="5" t="s">
        <v>67</v>
      </c>
      <c r="AD387" s="5" t="s">
        <v>67</v>
      </c>
      <c r="AE387" s="5" t="s">
        <v>90</v>
      </c>
      <c r="AF387" s="5" t="s">
        <v>70</v>
      </c>
      <c r="AG387" s="5" t="s">
        <v>71</v>
      </c>
      <c r="AH387" s="5" t="s">
        <v>72</v>
      </c>
      <c r="AI387" s="5" t="s">
        <v>252</v>
      </c>
      <c r="AJ387" s="5">
        <v>0</v>
      </c>
      <c r="AK387" s="5">
        <v>0</v>
      </c>
      <c r="AL387" s="5">
        <v>0</v>
      </c>
      <c r="AM387" s="5">
        <v>0</v>
      </c>
      <c r="AN387" s="5">
        <v>18</v>
      </c>
      <c r="AO387" s="5">
        <v>2382.3000000000002</v>
      </c>
      <c r="AP387" s="5">
        <v>39.311999999999998</v>
      </c>
      <c r="AQ387" s="5" t="s">
        <v>713</v>
      </c>
      <c r="AR387" s="5" t="s">
        <v>1104</v>
      </c>
      <c r="AS387" s="5"/>
      <c r="AT387" s="5"/>
      <c r="AU387" s="5"/>
      <c r="AV387" s="5">
        <v>-1</v>
      </c>
      <c r="AW387" s="5" t="s">
        <v>1498</v>
      </c>
    </row>
    <row r="388" spans="1:49" x14ac:dyDescent="0.55000000000000004">
      <c r="A388" s="5" t="str">
        <f>HYPERLINK("https://www.infodis.net/philips/net/Shipment/Details?InfodisNumber=5884677&amp;DomainCode=PHILIPSR1", "5884677")</f>
        <v>5884677</v>
      </c>
      <c r="B388" s="5" t="s">
        <v>1784</v>
      </c>
      <c r="C388" s="5" t="s">
        <v>607</v>
      </c>
      <c r="D388" s="5" t="s">
        <v>608</v>
      </c>
      <c r="E388" s="5" t="s">
        <v>458</v>
      </c>
      <c r="F388" s="5" t="s">
        <v>1495</v>
      </c>
      <c r="G388" s="5" t="s">
        <v>610</v>
      </c>
      <c r="H388" s="5" t="s">
        <v>180</v>
      </c>
      <c r="I388" s="5" t="s">
        <v>652</v>
      </c>
      <c r="J388" s="5" t="s">
        <v>1201</v>
      </c>
      <c r="K388" s="5" t="s">
        <v>1414</v>
      </c>
      <c r="L388" s="5" t="s">
        <v>1203</v>
      </c>
      <c r="M388" s="5" t="s">
        <v>60</v>
      </c>
      <c r="N388" s="5" t="s">
        <v>1785</v>
      </c>
      <c r="O388" s="5"/>
      <c r="P388" s="5" t="s">
        <v>613</v>
      </c>
      <c r="Q388" s="5"/>
      <c r="R388" s="5" t="s">
        <v>1497</v>
      </c>
      <c r="S388" s="6">
        <v>43753</v>
      </c>
      <c r="T388" s="6">
        <v>43753</v>
      </c>
      <c r="U388" s="6">
        <v>43767</v>
      </c>
      <c r="V388" s="6">
        <v>43769</v>
      </c>
      <c r="W388" s="6">
        <v>43779</v>
      </c>
      <c r="X388" s="6">
        <v>43814</v>
      </c>
      <c r="Y388" s="5" t="s">
        <v>649</v>
      </c>
      <c r="Z388" s="5" t="s">
        <v>649</v>
      </c>
      <c r="AA388" s="5" t="s">
        <v>649</v>
      </c>
      <c r="AB388" s="5" t="s">
        <v>67</v>
      </c>
      <c r="AC388" s="5" t="s">
        <v>67</v>
      </c>
      <c r="AD388" s="5" t="s">
        <v>67</v>
      </c>
      <c r="AE388" s="5" t="s">
        <v>162</v>
      </c>
      <c r="AF388" s="5" t="s">
        <v>70</v>
      </c>
      <c r="AG388" s="5" t="s">
        <v>71</v>
      </c>
      <c r="AH388" s="5" t="s">
        <v>72</v>
      </c>
      <c r="AI388" s="5" t="s">
        <v>252</v>
      </c>
      <c r="AJ388" s="5">
        <v>0</v>
      </c>
      <c r="AK388" s="5">
        <v>0</v>
      </c>
      <c r="AL388" s="5">
        <v>0</v>
      </c>
      <c r="AM388" s="5">
        <v>0</v>
      </c>
      <c r="AN388" s="5">
        <v>999</v>
      </c>
      <c r="AO388" s="5">
        <v>1655.614</v>
      </c>
      <c r="AP388" s="5">
        <v>76.146999999999991</v>
      </c>
      <c r="AQ388" s="5" t="s">
        <v>713</v>
      </c>
      <c r="AR388" s="5" t="s">
        <v>1104</v>
      </c>
      <c r="AS388" s="5" t="s">
        <v>713</v>
      </c>
      <c r="AT388" s="6">
        <v>43790</v>
      </c>
      <c r="AU388" s="5" t="s">
        <v>1173</v>
      </c>
      <c r="AV388" s="5">
        <v>372</v>
      </c>
      <c r="AW388" s="5" t="s">
        <v>1174</v>
      </c>
    </row>
    <row r="389" spans="1:49" x14ac:dyDescent="0.55000000000000004">
      <c r="A389" s="5" t="str">
        <f>HYPERLINK("https://www.infodis.net/philips/net/Shipment/Details?InfodisNumber=4445363&amp;DomainCode=DAP", "4445363")</f>
        <v>4445363</v>
      </c>
      <c r="B389" s="5" t="s">
        <v>1786</v>
      </c>
      <c r="C389" s="5" t="s">
        <v>1787</v>
      </c>
      <c r="D389" s="5" t="s">
        <v>1788</v>
      </c>
      <c r="E389" s="5" t="s">
        <v>1787</v>
      </c>
      <c r="F389" s="5" t="s">
        <v>256</v>
      </c>
      <c r="G389" s="5" t="s">
        <v>354</v>
      </c>
      <c r="H389" s="5" t="s">
        <v>79</v>
      </c>
      <c r="I389" s="5" t="s">
        <v>587</v>
      </c>
      <c r="J389" s="5" t="s">
        <v>258</v>
      </c>
      <c r="K389" s="5" t="s">
        <v>259</v>
      </c>
      <c r="L389" s="5" t="s">
        <v>260</v>
      </c>
      <c r="M389" s="5" t="s">
        <v>261</v>
      </c>
      <c r="N389" s="5" t="s">
        <v>115</v>
      </c>
      <c r="O389" s="5" t="s">
        <v>1789</v>
      </c>
      <c r="P389" s="5" t="s">
        <v>1790</v>
      </c>
      <c r="Q389" s="5"/>
      <c r="R389" s="5" t="s">
        <v>262</v>
      </c>
      <c r="S389" s="6">
        <v>43977</v>
      </c>
      <c r="T389" s="6">
        <v>43987</v>
      </c>
      <c r="U389" s="5"/>
      <c r="V389" s="6">
        <v>43992</v>
      </c>
      <c r="W389" s="6">
        <v>43992</v>
      </c>
      <c r="X389" s="6">
        <v>44033</v>
      </c>
      <c r="Y389" s="5" t="s">
        <v>65</v>
      </c>
      <c r="Z389" s="5" t="s">
        <v>65</v>
      </c>
      <c r="AA389" s="5" t="s">
        <v>65</v>
      </c>
      <c r="AB389" s="5" t="s">
        <v>67</v>
      </c>
      <c r="AC389" s="5" t="s">
        <v>67</v>
      </c>
      <c r="AD389" s="5" t="s">
        <v>67</v>
      </c>
      <c r="AE389" s="5" t="s">
        <v>136</v>
      </c>
      <c r="AF389" s="5" t="s">
        <v>70</v>
      </c>
      <c r="AG389" s="5" t="s">
        <v>71</v>
      </c>
      <c r="AH389" s="5" t="s">
        <v>72</v>
      </c>
      <c r="AI389" s="5" t="s">
        <v>73</v>
      </c>
      <c r="AJ389" s="5">
        <v>0</v>
      </c>
      <c r="AK389" s="5">
        <v>0</v>
      </c>
      <c r="AL389" s="5">
        <v>0</v>
      </c>
      <c r="AM389" s="5">
        <v>0</v>
      </c>
      <c r="AN389" s="5">
        <v>40</v>
      </c>
      <c r="AO389" s="5">
        <v>4160</v>
      </c>
      <c r="AP389" s="5">
        <v>112.76</v>
      </c>
      <c r="AQ389" s="5" t="s">
        <v>713</v>
      </c>
      <c r="AR389" s="5" t="s">
        <v>1104</v>
      </c>
      <c r="AS389" s="5"/>
      <c r="AT389" s="5"/>
      <c r="AU389" s="5"/>
      <c r="AV389" s="5">
        <v>-1</v>
      </c>
      <c r="AW389" s="5" t="s">
        <v>1110</v>
      </c>
    </row>
    <row r="390" spans="1:49" x14ac:dyDescent="0.55000000000000004">
      <c r="A390" s="5" t="str">
        <f>HYPERLINK("https://www.infodis.net/philips/net/Shipment/Details?InfodisNumber=5586665&amp;DomainCode=PHILIPSR1", "5586665")</f>
        <v>5586665</v>
      </c>
      <c r="B390" s="5" t="s">
        <v>1791</v>
      </c>
      <c r="C390" s="5" t="s">
        <v>607</v>
      </c>
      <c r="D390" s="5" t="s">
        <v>608</v>
      </c>
      <c r="E390" s="5" t="s">
        <v>458</v>
      </c>
      <c r="F390" s="5" t="s">
        <v>1792</v>
      </c>
      <c r="G390" s="5" t="s">
        <v>610</v>
      </c>
      <c r="H390" s="5" t="s">
        <v>180</v>
      </c>
      <c r="I390" s="5" t="s">
        <v>652</v>
      </c>
      <c r="J390" s="5" t="s">
        <v>996</v>
      </c>
      <c r="K390" s="5" t="s">
        <v>1793</v>
      </c>
      <c r="L390" s="5" t="s">
        <v>998</v>
      </c>
      <c r="M390" s="5" t="s">
        <v>1794</v>
      </c>
      <c r="N390" s="5" t="s">
        <v>1795</v>
      </c>
      <c r="O390" s="5"/>
      <c r="P390" s="5" t="s">
        <v>613</v>
      </c>
      <c r="Q390" s="5"/>
      <c r="R390" s="5" t="s">
        <v>1796</v>
      </c>
      <c r="S390" s="6">
        <v>43645</v>
      </c>
      <c r="T390" s="6">
        <v>43645</v>
      </c>
      <c r="U390" s="6">
        <v>43661</v>
      </c>
      <c r="V390" s="6">
        <v>43664</v>
      </c>
      <c r="W390" s="6">
        <v>43669</v>
      </c>
      <c r="X390" s="6">
        <v>43705</v>
      </c>
      <c r="Y390" s="5" t="s">
        <v>649</v>
      </c>
      <c r="Z390" s="5" t="s">
        <v>649</v>
      </c>
      <c r="AA390" s="5" t="s">
        <v>649</v>
      </c>
      <c r="AB390" s="5" t="s">
        <v>67</v>
      </c>
      <c r="AC390" s="5" t="s">
        <v>67</v>
      </c>
      <c r="AD390" s="5" t="s">
        <v>67</v>
      </c>
      <c r="AE390" s="5" t="s">
        <v>90</v>
      </c>
      <c r="AF390" s="5" t="s">
        <v>70</v>
      </c>
      <c r="AG390" s="5" t="s">
        <v>71</v>
      </c>
      <c r="AH390" s="5" t="s">
        <v>72</v>
      </c>
      <c r="AI390" s="5" t="s">
        <v>252</v>
      </c>
      <c r="AJ390" s="5">
        <v>0</v>
      </c>
      <c r="AK390" s="5">
        <v>0</v>
      </c>
      <c r="AL390" s="5">
        <v>0</v>
      </c>
      <c r="AM390" s="5">
        <v>0</v>
      </c>
      <c r="AN390" s="5">
        <v>20</v>
      </c>
      <c r="AO390" s="5">
        <v>6055.91</v>
      </c>
      <c r="AP390" s="5">
        <v>44.972999999999999</v>
      </c>
      <c r="AQ390" s="5" t="s">
        <v>713</v>
      </c>
      <c r="AR390" s="5" t="s">
        <v>1104</v>
      </c>
      <c r="AS390" s="5" t="s">
        <v>713</v>
      </c>
      <c r="AT390" s="6">
        <v>43790</v>
      </c>
      <c r="AU390" s="5" t="s">
        <v>1173</v>
      </c>
      <c r="AV390" s="5">
        <v>372</v>
      </c>
      <c r="AW390" s="5" t="s">
        <v>1448</v>
      </c>
    </row>
    <row r="391" spans="1:49" x14ac:dyDescent="0.55000000000000004">
      <c r="A391" s="5" t="str">
        <f>HYPERLINK("https://www.infodis.net/philips/net/Shipment/Details?InfodisNumber=5579434&amp;DomainCode=PHILIPSR1", "5579434")</f>
        <v>5579434</v>
      </c>
      <c r="B391" s="5" t="s">
        <v>1797</v>
      </c>
      <c r="C391" s="5" t="s">
        <v>607</v>
      </c>
      <c r="D391" s="5" t="s">
        <v>608</v>
      </c>
      <c r="E391" s="5" t="s">
        <v>458</v>
      </c>
      <c r="F391" s="5" t="s">
        <v>1507</v>
      </c>
      <c r="G391" s="5" t="s">
        <v>610</v>
      </c>
      <c r="H391" s="5" t="s">
        <v>180</v>
      </c>
      <c r="I391" s="5" t="s">
        <v>194</v>
      </c>
      <c r="J391" s="5" t="s">
        <v>1036</v>
      </c>
      <c r="K391" s="5" t="s">
        <v>1509</v>
      </c>
      <c r="L391" s="5" t="s">
        <v>132</v>
      </c>
      <c r="M391" s="5" t="s">
        <v>84</v>
      </c>
      <c r="N391" s="5" t="s">
        <v>1798</v>
      </c>
      <c r="O391" s="5"/>
      <c r="P391" s="5" t="s">
        <v>613</v>
      </c>
      <c r="Q391" s="5"/>
      <c r="R391" s="5" t="s">
        <v>1511</v>
      </c>
      <c r="S391" s="6">
        <v>43643</v>
      </c>
      <c r="T391" s="6">
        <v>43643</v>
      </c>
      <c r="U391" s="6">
        <v>43651</v>
      </c>
      <c r="V391" s="6">
        <v>43677</v>
      </c>
      <c r="W391" s="6">
        <v>43677</v>
      </c>
      <c r="X391" s="6">
        <v>43731</v>
      </c>
      <c r="Y391" s="5" t="s">
        <v>649</v>
      </c>
      <c r="Z391" s="5" t="s">
        <v>649</v>
      </c>
      <c r="AA391" s="5" t="s">
        <v>649</v>
      </c>
      <c r="AB391" s="5" t="s">
        <v>67</v>
      </c>
      <c r="AC391" s="5" t="s">
        <v>67</v>
      </c>
      <c r="AD391" s="5" t="s">
        <v>67</v>
      </c>
      <c r="AE391" s="5" t="s">
        <v>90</v>
      </c>
      <c r="AF391" s="5" t="s">
        <v>70</v>
      </c>
      <c r="AG391" s="5" t="s">
        <v>71</v>
      </c>
      <c r="AH391" s="5" t="s">
        <v>72</v>
      </c>
      <c r="AI391" s="5" t="s">
        <v>252</v>
      </c>
      <c r="AJ391" s="5">
        <v>0</v>
      </c>
      <c r="AK391" s="5">
        <v>0</v>
      </c>
      <c r="AL391" s="5">
        <v>0</v>
      </c>
      <c r="AM391" s="5">
        <v>0</v>
      </c>
      <c r="AN391" s="5">
        <v>19</v>
      </c>
      <c r="AO391" s="5">
        <v>5506.16</v>
      </c>
      <c r="AP391" s="5">
        <v>42.161000000000001</v>
      </c>
      <c r="AQ391" s="5" t="s">
        <v>713</v>
      </c>
      <c r="AR391" s="5" t="s">
        <v>1104</v>
      </c>
      <c r="AS391" s="5" t="s">
        <v>713</v>
      </c>
      <c r="AT391" s="6">
        <v>43790</v>
      </c>
      <c r="AU391" s="5" t="s">
        <v>1173</v>
      </c>
      <c r="AV391" s="5">
        <v>372</v>
      </c>
      <c r="AW391" s="5" t="s">
        <v>1448</v>
      </c>
    </row>
    <row r="392" spans="1:49" x14ac:dyDescent="0.55000000000000004">
      <c r="A392" s="5" t="str">
        <f>HYPERLINK("https://www.infodis.net/philips/net/Shipment/Details?InfodisNumber=4337385&amp;DomainCode=DAP", "4337385")</f>
        <v>4337385</v>
      </c>
      <c r="B392" s="5" t="s">
        <v>1799</v>
      </c>
      <c r="C392" s="5" t="s">
        <v>1193</v>
      </c>
      <c r="D392" s="5" t="s">
        <v>1194</v>
      </c>
      <c r="E392" s="5" t="s">
        <v>1193</v>
      </c>
      <c r="F392" s="5" t="s">
        <v>77</v>
      </c>
      <c r="G392" s="5" t="s">
        <v>945</v>
      </c>
      <c r="H392" s="5" t="s">
        <v>938</v>
      </c>
      <c r="I392" s="5" t="s">
        <v>293</v>
      </c>
      <c r="J392" s="5" t="s">
        <v>81</v>
      </c>
      <c r="K392" s="5" t="s">
        <v>82</v>
      </c>
      <c r="L392" s="5" t="s">
        <v>83</v>
      </c>
      <c r="M392" s="5" t="s">
        <v>60</v>
      </c>
      <c r="N392" s="5" t="s">
        <v>1800</v>
      </c>
      <c r="O392" s="5" t="s">
        <v>1801</v>
      </c>
      <c r="P392" s="5" t="s">
        <v>1196</v>
      </c>
      <c r="Q392" s="5"/>
      <c r="R392" s="5" t="s">
        <v>87</v>
      </c>
      <c r="S392" s="6">
        <v>43781</v>
      </c>
      <c r="T392" s="6">
        <v>43813</v>
      </c>
      <c r="U392" s="5"/>
      <c r="V392" s="6">
        <v>43818</v>
      </c>
      <c r="W392" s="6">
        <v>43811</v>
      </c>
      <c r="X392" s="6">
        <v>43812</v>
      </c>
      <c r="Y392" s="5" t="s">
        <v>66</v>
      </c>
      <c r="Z392" s="5" t="s">
        <v>273</v>
      </c>
      <c r="AA392" s="5" t="s">
        <v>1481</v>
      </c>
      <c r="AB392" s="5" t="s">
        <v>68</v>
      </c>
      <c r="AC392" s="5" t="s">
        <v>67</v>
      </c>
      <c r="AD392" s="5" t="s">
        <v>67</v>
      </c>
      <c r="AE392" s="5" t="s">
        <v>90</v>
      </c>
      <c r="AF392" s="5" t="s">
        <v>70</v>
      </c>
      <c r="AG392" s="5" t="s">
        <v>71</v>
      </c>
      <c r="AH392" s="5" t="s">
        <v>72</v>
      </c>
      <c r="AI392" s="5" t="s">
        <v>73</v>
      </c>
      <c r="AJ392" s="5">
        <v>0</v>
      </c>
      <c r="AK392" s="5">
        <v>0</v>
      </c>
      <c r="AL392" s="5">
        <v>0</v>
      </c>
      <c r="AM392" s="5">
        <v>0</v>
      </c>
      <c r="AN392" s="5">
        <v>40</v>
      </c>
      <c r="AO392" s="5">
        <v>19120</v>
      </c>
      <c r="AP392" s="5">
        <v>31.92</v>
      </c>
      <c r="AQ392" s="5" t="s">
        <v>713</v>
      </c>
      <c r="AR392" s="5" t="s">
        <v>1104</v>
      </c>
      <c r="AS392" s="5"/>
      <c r="AT392" s="6">
        <v>43846</v>
      </c>
      <c r="AU392" s="5"/>
      <c r="AV392" s="5">
        <v>316</v>
      </c>
      <c r="AW392" s="5" t="s">
        <v>1802</v>
      </c>
    </row>
    <row r="393" spans="1:49" x14ac:dyDescent="0.55000000000000004">
      <c r="A393" s="5" t="str">
        <f>HYPERLINK("https://www.infodis.net/philips/net/Shipment/Details?InfodisNumber=4047645&amp;DomainCode=DAP", "4047645")</f>
        <v>4047645</v>
      </c>
      <c r="B393" s="5" t="s">
        <v>1803</v>
      </c>
      <c r="C393" s="5" t="s">
        <v>1804</v>
      </c>
      <c r="D393" s="5" t="s">
        <v>1805</v>
      </c>
      <c r="E393" s="5" t="s">
        <v>1804</v>
      </c>
      <c r="F393" s="5" t="s">
        <v>1806</v>
      </c>
      <c r="G393" s="5" t="s">
        <v>619</v>
      </c>
      <c r="H393" s="5" t="s">
        <v>79</v>
      </c>
      <c r="I393" s="5" t="s">
        <v>122</v>
      </c>
      <c r="J393" s="5" t="s">
        <v>1333</v>
      </c>
      <c r="K393" s="5" t="s">
        <v>1807</v>
      </c>
      <c r="L393" s="5" t="s">
        <v>180</v>
      </c>
      <c r="M393" s="5" t="s">
        <v>261</v>
      </c>
      <c r="N393" s="5" t="s">
        <v>1808</v>
      </c>
      <c r="O393" s="5"/>
      <c r="P393" s="5" t="s">
        <v>623</v>
      </c>
      <c r="Q393" s="5"/>
      <c r="R393" s="5" t="s">
        <v>1806</v>
      </c>
      <c r="S393" s="6">
        <v>43522</v>
      </c>
      <c r="T393" s="6">
        <v>43523</v>
      </c>
      <c r="U393" s="6">
        <v>43523</v>
      </c>
      <c r="V393" s="6">
        <v>43528</v>
      </c>
      <c r="W393" s="6">
        <v>43529</v>
      </c>
      <c r="X393" s="6">
        <v>43564</v>
      </c>
      <c r="Y393" s="5" t="s">
        <v>1182</v>
      </c>
      <c r="Z393" s="5" t="s">
        <v>1182</v>
      </c>
      <c r="AA393" s="5" t="s">
        <v>1182</v>
      </c>
      <c r="AB393" s="5" t="s">
        <v>67</v>
      </c>
      <c r="AC393" s="5" t="s">
        <v>67</v>
      </c>
      <c r="AD393" s="5" t="s">
        <v>67</v>
      </c>
      <c r="AE393" s="5" t="s">
        <v>162</v>
      </c>
      <c r="AF393" s="5" t="s">
        <v>70</v>
      </c>
      <c r="AG393" s="5" t="s">
        <v>71</v>
      </c>
      <c r="AH393" s="5" t="s">
        <v>72</v>
      </c>
      <c r="AI393" s="5" t="s">
        <v>73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1745</v>
      </c>
      <c r="AP393" s="5">
        <v>17.22</v>
      </c>
      <c r="AQ393" s="5" t="s">
        <v>713</v>
      </c>
      <c r="AR393" s="5" t="s">
        <v>1104</v>
      </c>
      <c r="AS393" s="5"/>
      <c r="AT393" s="5"/>
      <c r="AU393" s="5"/>
      <c r="AV393" s="5">
        <v>-1</v>
      </c>
      <c r="AW393" s="5" t="s">
        <v>1462</v>
      </c>
    </row>
    <row r="394" spans="1:49" x14ac:dyDescent="0.55000000000000004">
      <c r="A394" s="5" t="str">
        <f>HYPERLINK("https://www.infodis.net/philips/net/Shipment/Details?InfodisNumber=4059235&amp;DomainCode=DAP", "4059235")</f>
        <v>4059235</v>
      </c>
      <c r="B394" s="5" t="s">
        <v>1809</v>
      </c>
      <c r="C394" s="5" t="s">
        <v>1176</v>
      </c>
      <c r="D394" s="5" t="s">
        <v>1177</v>
      </c>
      <c r="E394" s="5" t="s">
        <v>1176</v>
      </c>
      <c r="F394" s="5" t="s">
        <v>1178</v>
      </c>
      <c r="G394" s="5" t="s">
        <v>667</v>
      </c>
      <c r="H394" s="5" t="s">
        <v>79</v>
      </c>
      <c r="I394" s="5" t="s">
        <v>122</v>
      </c>
      <c r="J394" s="5" t="s">
        <v>194</v>
      </c>
      <c r="K394" s="5" t="s">
        <v>1179</v>
      </c>
      <c r="L394" s="5" t="s">
        <v>180</v>
      </c>
      <c r="M394" s="5" t="s">
        <v>84</v>
      </c>
      <c r="N394" s="5" t="s">
        <v>1810</v>
      </c>
      <c r="O394" s="5"/>
      <c r="P394" s="5" t="s">
        <v>1180</v>
      </c>
      <c r="Q394" s="5"/>
      <c r="R394" s="5" t="s">
        <v>1181</v>
      </c>
      <c r="S394" s="6">
        <v>43529</v>
      </c>
      <c r="T394" s="6">
        <v>43588</v>
      </c>
      <c r="U394" s="5"/>
      <c r="V394" s="6">
        <v>43549</v>
      </c>
      <c r="W394" s="6">
        <v>43551</v>
      </c>
      <c r="X394" s="5"/>
      <c r="Y394" s="5" t="s">
        <v>66</v>
      </c>
      <c r="Z394" s="5" t="s">
        <v>1182</v>
      </c>
      <c r="AA394" s="5" t="s">
        <v>1182</v>
      </c>
      <c r="AB394" s="5" t="s">
        <v>67</v>
      </c>
      <c r="AC394" s="5" t="s">
        <v>67</v>
      </c>
      <c r="AD394" s="5" t="s">
        <v>67</v>
      </c>
      <c r="AE394" s="5" t="s">
        <v>162</v>
      </c>
      <c r="AF394" s="5" t="s">
        <v>70</v>
      </c>
      <c r="AG394" s="5" t="s">
        <v>71</v>
      </c>
      <c r="AH394" s="5" t="s">
        <v>72</v>
      </c>
      <c r="AI394" s="5" t="s">
        <v>73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2332</v>
      </c>
      <c r="AP394" s="5">
        <v>18.02</v>
      </c>
      <c r="AQ394" s="5" t="s">
        <v>713</v>
      </c>
      <c r="AR394" s="5" t="s">
        <v>1104</v>
      </c>
      <c r="AS394" s="5" t="s">
        <v>713</v>
      </c>
      <c r="AT394" s="6">
        <v>43791</v>
      </c>
      <c r="AU394" s="5" t="s">
        <v>1183</v>
      </c>
      <c r="AV394" s="5">
        <v>371</v>
      </c>
      <c r="AW394" s="5" t="s">
        <v>1184</v>
      </c>
    </row>
    <row r="395" spans="1:49" x14ac:dyDescent="0.55000000000000004">
      <c r="A395" s="5" t="str">
        <f>HYPERLINK("https://www.infodis.net/philips/net/Shipment/Details?InfodisNumber=4043937&amp;DomainCode=DAP", "4043937")</f>
        <v>4043937</v>
      </c>
      <c r="B395" s="5" t="s">
        <v>1811</v>
      </c>
      <c r="C395" s="5" t="s">
        <v>479</v>
      </c>
      <c r="D395" s="5" t="s">
        <v>432</v>
      </c>
      <c r="E395" s="5" t="s">
        <v>94</v>
      </c>
      <c r="F395" s="5" t="s">
        <v>1812</v>
      </c>
      <c r="G395" s="5" t="s">
        <v>480</v>
      </c>
      <c r="H395" s="5" t="s">
        <v>79</v>
      </c>
      <c r="I395" s="5" t="s">
        <v>1813</v>
      </c>
      <c r="J395" s="5" t="s">
        <v>268</v>
      </c>
      <c r="K395" s="5" t="s">
        <v>266</v>
      </c>
      <c r="L395" s="5" t="s">
        <v>267</v>
      </c>
      <c r="M395" s="5" t="s">
        <v>133</v>
      </c>
      <c r="N395" s="5"/>
      <c r="O395" s="5"/>
      <c r="P395" s="5" t="s">
        <v>466</v>
      </c>
      <c r="Q395" s="5"/>
      <c r="R395" s="5" t="s">
        <v>1814</v>
      </c>
      <c r="S395" s="6">
        <v>43518</v>
      </c>
      <c r="T395" s="6">
        <v>43495</v>
      </c>
      <c r="U395" s="6">
        <v>43495</v>
      </c>
      <c r="V395" s="6">
        <v>43500</v>
      </c>
      <c r="W395" s="6">
        <v>43500</v>
      </c>
      <c r="X395" s="5"/>
      <c r="Y395" s="5" t="s">
        <v>89</v>
      </c>
      <c r="Z395" s="5" t="s">
        <v>88</v>
      </c>
      <c r="AA395" s="5" t="s">
        <v>66</v>
      </c>
      <c r="AB395" s="5" t="s">
        <v>67</v>
      </c>
      <c r="AC395" s="5" t="s">
        <v>67</v>
      </c>
      <c r="AD395" s="5" t="s">
        <v>68</v>
      </c>
      <c r="AE395" s="5" t="s">
        <v>69</v>
      </c>
      <c r="AF395" s="5" t="s">
        <v>70</v>
      </c>
      <c r="AG395" s="5" t="s">
        <v>71</v>
      </c>
      <c r="AH395" s="5" t="s">
        <v>72</v>
      </c>
      <c r="AI395" s="5" t="s">
        <v>73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102</v>
      </c>
      <c r="AP395" s="5">
        <v>1.008</v>
      </c>
      <c r="AQ395" s="5" t="s">
        <v>713</v>
      </c>
      <c r="AR395" s="5" t="s">
        <v>1104</v>
      </c>
      <c r="AS395" s="5"/>
      <c r="AT395" s="5"/>
      <c r="AU395" s="5"/>
      <c r="AV395" s="5">
        <v>-1</v>
      </c>
      <c r="AW395" s="5" t="s">
        <v>1815</v>
      </c>
    </row>
    <row r="396" spans="1:49" x14ac:dyDescent="0.55000000000000004">
      <c r="A396" s="5" t="str">
        <f>HYPERLINK("https://www.infodis.net/philips/net/Shipment/Details?InfodisNumber=4035578&amp;DomainCode=DAP", "4035578")</f>
        <v>4035578</v>
      </c>
      <c r="B396" s="5" t="s">
        <v>1816</v>
      </c>
      <c r="C396" s="5" t="s">
        <v>1186</v>
      </c>
      <c r="D396" s="5" t="s">
        <v>878</v>
      </c>
      <c r="E396" s="5" t="s">
        <v>1186</v>
      </c>
      <c r="F396" s="5" t="s">
        <v>1817</v>
      </c>
      <c r="G396" s="5" t="s">
        <v>880</v>
      </c>
      <c r="H396" s="5" t="s">
        <v>881</v>
      </c>
      <c r="I396" s="5" t="s">
        <v>1818</v>
      </c>
      <c r="J396" s="5" t="s">
        <v>1819</v>
      </c>
      <c r="K396" s="5" t="s">
        <v>1820</v>
      </c>
      <c r="L396" s="5" t="s">
        <v>172</v>
      </c>
      <c r="M396" s="5" t="s">
        <v>60</v>
      </c>
      <c r="N396" s="5" t="s">
        <v>1821</v>
      </c>
      <c r="O396" s="5"/>
      <c r="P396" s="5" t="s">
        <v>888</v>
      </c>
      <c r="Q396" s="5"/>
      <c r="R396" s="5" t="s">
        <v>1822</v>
      </c>
      <c r="S396" s="6">
        <v>43514</v>
      </c>
      <c r="T396" s="6">
        <v>43515</v>
      </c>
      <c r="U396" s="6">
        <v>43511</v>
      </c>
      <c r="V396" s="6">
        <v>43520</v>
      </c>
      <c r="W396" s="6">
        <v>43518</v>
      </c>
      <c r="X396" s="6">
        <v>43551</v>
      </c>
      <c r="Y396" s="5" t="s">
        <v>1735</v>
      </c>
      <c r="Z396" s="5" t="s">
        <v>1735</v>
      </c>
      <c r="AA396" s="5" t="s">
        <v>1735</v>
      </c>
      <c r="AB396" s="5" t="s">
        <v>67</v>
      </c>
      <c r="AC396" s="5" t="s">
        <v>67</v>
      </c>
      <c r="AD396" s="5" t="s">
        <v>67</v>
      </c>
      <c r="AE396" s="5" t="s">
        <v>69</v>
      </c>
      <c r="AF396" s="5" t="s">
        <v>70</v>
      </c>
      <c r="AG396" s="5" t="s">
        <v>71</v>
      </c>
      <c r="AH396" s="5" t="s">
        <v>72</v>
      </c>
      <c r="AI396" s="5" t="s">
        <v>73</v>
      </c>
      <c r="AJ396" s="5">
        <v>0</v>
      </c>
      <c r="AK396" s="5">
        <v>0</v>
      </c>
      <c r="AL396" s="5">
        <v>0</v>
      </c>
      <c r="AM396" s="5">
        <v>0</v>
      </c>
      <c r="AN396" s="5">
        <v>36</v>
      </c>
      <c r="AO396" s="5">
        <v>15372</v>
      </c>
      <c r="AP396" s="5">
        <v>54.92</v>
      </c>
      <c r="AQ396" s="5" t="s">
        <v>713</v>
      </c>
      <c r="AR396" s="5" t="s">
        <v>1104</v>
      </c>
      <c r="AS396" s="5"/>
      <c r="AT396" s="5"/>
      <c r="AU396" s="5"/>
      <c r="AV396" s="5">
        <v>-1</v>
      </c>
      <c r="AW396" s="5" t="s">
        <v>1198</v>
      </c>
    </row>
    <row r="397" spans="1:49" x14ac:dyDescent="0.55000000000000004">
      <c r="A397" s="5" t="str">
        <f>HYPERLINK("https://www.infodis.net/philips/net/Shipment/Details?InfodisNumber=4031131&amp;DomainCode=DAP", "4031131")</f>
        <v>4031131</v>
      </c>
      <c r="B397" s="5" t="s">
        <v>1823</v>
      </c>
      <c r="C397" s="5" t="s">
        <v>1804</v>
      </c>
      <c r="D397" s="5" t="s">
        <v>1805</v>
      </c>
      <c r="E397" s="5" t="s">
        <v>1804</v>
      </c>
      <c r="F397" s="5" t="s">
        <v>1824</v>
      </c>
      <c r="G397" s="5" t="s">
        <v>619</v>
      </c>
      <c r="H397" s="5" t="s">
        <v>79</v>
      </c>
      <c r="I397" s="5" t="s">
        <v>122</v>
      </c>
      <c r="J397" s="5" t="s">
        <v>1825</v>
      </c>
      <c r="K397" s="5" t="s">
        <v>1161</v>
      </c>
      <c r="L397" s="5" t="s">
        <v>881</v>
      </c>
      <c r="M397" s="5" t="s">
        <v>261</v>
      </c>
      <c r="N397" s="5" t="s">
        <v>1826</v>
      </c>
      <c r="O397" s="5"/>
      <c r="P397" s="5" t="s">
        <v>623</v>
      </c>
      <c r="Q397" s="5"/>
      <c r="R397" s="5" t="s">
        <v>888</v>
      </c>
      <c r="S397" s="6">
        <v>43510</v>
      </c>
      <c r="T397" s="6">
        <v>43516</v>
      </c>
      <c r="U397" s="6">
        <v>43515</v>
      </c>
      <c r="V397" s="6">
        <v>43518</v>
      </c>
      <c r="W397" s="6">
        <v>43520</v>
      </c>
      <c r="X397" s="6">
        <v>43550</v>
      </c>
      <c r="Y397" s="5" t="s">
        <v>1182</v>
      </c>
      <c r="Z397" s="5" t="s">
        <v>1182</v>
      </c>
      <c r="AA397" s="5" t="s">
        <v>1182</v>
      </c>
      <c r="AB397" s="5" t="s">
        <v>67</v>
      </c>
      <c r="AC397" s="5" t="s">
        <v>67</v>
      </c>
      <c r="AD397" s="5" t="s">
        <v>67</v>
      </c>
      <c r="AE397" s="5" t="s">
        <v>69</v>
      </c>
      <c r="AF397" s="5" t="s">
        <v>70</v>
      </c>
      <c r="AG397" s="5" t="s">
        <v>71</v>
      </c>
      <c r="AH397" s="5" t="s">
        <v>72</v>
      </c>
      <c r="AI397" s="5" t="s">
        <v>73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6115</v>
      </c>
      <c r="AP397" s="5">
        <v>62</v>
      </c>
      <c r="AQ397" s="5" t="s">
        <v>713</v>
      </c>
      <c r="AR397" s="5" t="s">
        <v>1104</v>
      </c>
      <c r="AS397" s="5" t="s">
        <v>713</v>
      </c>
      <c r="AT397" s="6">
        <v>43796</v>
      </c>
      <c r="AU397" s="5" t="s">
        <v>1827</v>
      </c>
      <c r="AV397" s="5">
        <v>366</v>
      </c>
      <c r="AW397" s="5" t="s">
        <v>1828</v>
      </c>
    </row>
    <row r="398" spans="1:49" x14ac:dyDescent="0.55000000000000004">
      <c r="A398" s="5" t="str">
        <f>HYPERLINK("https://www.infodis.net/philips/net/Shipment/Details?InfodisNumber=4031130&amp;DomainCode=DAP", "4031130")</f>
        <v>4031130</v>
      </c>
      <c r="B398" s="5" t="s">
        <v>1829</v>
      </c>
      <c r="C398" s="5" t="s">
        <v>1804</v>
      </c>
      <c r="D398" s="5" t="s">
        <v>1805</v>
      </c>
      <c r="E398" s="5" t="s">
        <v>1804</v>
      </c>
      <c r="F398" s="5" t="s">
        <v>1824</v>
      </c>
      <c r="G398" s="5" t="s">
        <v>619</v>
      </c>
      <c r="H398" s="5" t="s">
        <v>79</v>
      </c>
      <c r="I398" s="5" t="s">
        <v>122</v>
      </c>
      <c r="J398" s="5" t="s">
        <v>1825</v>
      </c>
      <c r="K398" s="5" t="s">
        <v>1161</v>
      </c>
      <c r="L398" s="5" t="s">
        <v>881</v>
      </c>
      <c r="M398" s="5" t="s">
        <v>261</v>
      </c>
      <c r="N398" s="5" t="s">
        <v>1826</v>
      </c>
      <c r="O398" s="5"/>
      <c r="P398" s="5" t="s">
        <v>623</v>
      </c>
      <c r="Q398" s="5"/>
      <c r="R398" s="5" t="s">
        <v>888</v>
      </c>
      <c r="S398" s="6">
        <v>43510</v>
      </c>
      <c r="T398" s="6">
        <v>43150</v>
      </c>
      <c r="U398" s="6">
        <v>43515</v>
      </c>
      <c r="V398" s="6">
        <v>43518</v>
      </c>
      <c r="W398" s="6">
        <v>43520</v>
      </c>
      <c r="X398" s="6">
        <v>43550</v>
      </c>
      <c r="Y398" s="5" t="s">
        <v>1182</v>
      </c>
      <c r="Z398" s="5" t="s">
        <v>1182</v>
      </c>
      <c r="AA398" s="5" t="s">
        <v>1182</v>
      </c>
      <c r="AB398" s="5" t="s">
        <v>67</v>
      </c>
      <c r="AC398" s="5" t="s">
        <v>67</v>
      </c>
      <c r="AD398" s="5" t="s">
        <v>67</v>
      </c>
      <c r="AE398" s="5" t="s">
        <v>69</v>
      </c>
      <c r="AF398" s="5" t="s">
        <v>70</v>
      </c>
      <c r="AG398" s="5" t="s">
        <v>71</v>
      </c>
      <c r="AH398" s="5" t="s">
        <v>72</v>
      </c>
      <c r="AI398" s="5" t="s">
        <v>73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4993</v>
      </c>
      <c r="AP398" s="5">
        <v>65</v>
      </c>
      <c r="AQ398" s="5" t="s">
        <v>713</v>
      </c>
      <c r="AR398" s="5" t="s">
        <v>1104</v>
      </c>
      <c r="AS398" s="5" t="s">
        <v>713</v>
      </c>
      <c r="AT398" s="6">
        <v>43796</v>
      </c>
      <c r="AU398" s="5" t="s">
        <v>1827</v>
      </c>
      <c r="AV398" s="5">
        <v>366</v>
      </c>
      <c r="AW398" s="5" t="s">
        <v>1828</v>
      </c>
    </row>
    <row r="399" spans="1:49" x14ac:dyDescent="0.55000000000000004">
      <c r="A399" s="5" t="str">
        <f>HYPERLINK("https://www.infodis.net/philips/net/Shipment/Details?InfodisNumber=4031141&amp;DomainCode=DAP", "4031141")</f>
        <v>4031141</v>
      </c>
      <c r="B399" s="5" t="s">
        <v>1830</v>
      </c>
      <c r="C399" s="5" t="s">
        <v>1804</v>
      </c>
      <c r="D399" s="5" t="s">
        <v>1805</v>
      </c>
      <c r="E399" s="5" t="s">
        <v>1804</v>
      </c>
      <c r="F399" s="5" t="s">
        <v>1824</v>
      </c>
      <c r="G399" s="5" t="s">
        <v>619</v>
      </c>
      <c r="H399" s="5" t="s">
        <v>79</v>
      </c>
      <c r="I399" s="5" t="s">
        <v>122</v>
      </c>
      <c r="J399" s="5" t="s">
        <v>1825</v>
      </c>
      <c r="K399" s="5" t="s">
        <v>1161</v>
      </c>
      <c r="L399" s="5" t="s">
        <v>881</v>
      </c>
      <c r="M399" s="5" t="s">
        <v>261</v>
      </c>
      <c r="N399" s="5" t="s">
        <v>1831</v>
      </c>
      <c r="O399" s="5"/>
      <c r="P399" s="5" t="s">
        <v>623</v>
      </c>
      <c r="Q399" s="5"/>
      <c r="R399" s="5" t="s">
        <v>888</v>
      </c>
      <c r="S399" s="6">
        <v>43510</v>
      </c>
      <c r="T399" s="6">
        <v>43524</v>
      </c>
      <c r="U399" s="6">
        <v>43522</v>
      </c>
      <c r="V399" s="6">
        <v>43527</v>
      </c>
      <c r="W399" s="6">
        <v>43527</v>
      </c>
      <c r="X399" s="6">
        <v>43558</v>
      </c>
      <c r="Y399" s="5" t="s">
        <v>1182</v>
      </c>
      <c r="Z399" s="5" t="s">
        <v>1182</v>
      </c>
      <c r="AA399" s="5" t="s">
        <v>1182</v>
      </c>
      <c r="AB399" s="5" t="s">
        <v>67</v>
      </c>
      <c r="AC399" s="5" t="s">
        <v>67</v>
      </c>
      <c r="AD399" s="5" t="s">
        <v>67</v>
      </c>
      <c r="AE399" s="5" t="s">
        <v>162</v>
      </c>
      <c r="AF399" s="5" t="s">
        <v>70</v>
      </c>
      <c r="AG399" s="5" t="s">
        <v>71</v>
      </c>
      <c r="AH399" s="5" t="s">
        <v>72</v>
      </c>
      <c r="AI399" s="5" t="s">
        <v>73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3000</v>
      </c>
      <c r="AP399" s="5">
        <v>27</v>
      </c>
      <c r="AQ399" s="5" t="s">
        <v>713</v>
      </c>
      <c r="AR399" s="5" t="s">
        <v>1104</v>
      </c>
      <c r="AS399" s="5" t="s">
        <v>713</v>
      </c>
      <c r="AT399" s="6">
        <v>43796</v>
      </c>
      <c r="AU399" s="5" t="s">
        <v>1827</v>
      </c>
      <c r="AV399" s="5">
        <v>366</v>
      </c>
      <c r="AW399" s="5" t="s">
        <v>1828</v>
      </c>
    </row>
    <row r="400" spans="1:49" x14ac:dyDescent="0.55000000000000004">
      <c r="A400" s="5" t="str">
        <f>HYPERLINK("https://www.infodis.net/philips/net/Shipment/Details?InfodisNumber=4059316&amp;DomainCode=DAP", "4059316")</f>
        <v>4059316</v>
      </c>
      <c r="B400" s="5" t="s">
        <v>1832</v>
      </c>
      <c r="C400" s="5" t="s">
        <v>1804</v>
      </c>
      <c r="D400" s="5" t="s">
        <v>1805</v>
      </c>
      <c r="E400" s="5" t="s">
        <v>1804</v>
      </c>
      <c r="F400" s="5" t="s">
        <v>1824</v>
      </c>
      <c r="G400" s="5" t="s">
        <v>619</v>
      </c>
      <c r="H400" s="5" t="s">
        <v>79</v>
      </c>
      <c r="I400" s="5" t="s">
        <v>122</v>
      </c>
      <c r="J400" s="5" t="s">
        <v>1825</v>
      </c>
      <c r="K400" s="5" t="s">
        <v>1161</v>
      </c>
      <c r="L400" s="5" t="s">
        <v>881</v>
      </c>
      <c r="M400" s="5" t="s">
        <v>261</v>
      </c>
      <c r="N400" s="5" t="s">
        <v>1833</v>
      </c>
      <c r="O400" s="5"/>
      <c r="P400" s="5" t="s">
        <v>623</v>
      </c>
      <c r="Q400" s="5"/>
      <c r="R400" s="5" t="s">
        <v>888</v>
      </c>
      <c r="S400" s="6">
        <v>43529</v>
      </c>
      <c r="T400" s="6">
        <v>43532</v>
      </c>
      <c r="U400" s="6">
        <v>43536</v>
      </c>
      <c r="V400" s="6">
        <v>43541</v>
      </c>
      <c r="W400" s="6">
        <v>43541</v>
      </c>
      <c r="X400" s="6">
        <v>43570</v>
      </c>
      <c r="Y400" s="5" t="s">
        <v>1182</v>
      </c>
      <c r="Z400" s="5" t="s">
        <v>1182</v>
      </c>
      <c r="AA400" s="5" t="s">
        <v>1182</v>
      </c>
      <c r="AB400" s="5" t="s">
        <v>67</v>
      </c>
      <c r="AC400" s="5" t="s">
        <v>67</v>
      </c>
      <c r="AD400" s="5" t="s">
        <v>67</v>
      </c>
      <c r="AE400" s="5" t="s">
        <v>69</v>
      </c>
      <c r="AF400" s="5" t="s">
        <v>70</v>
      </c>
      <c r="AG400" s="5" t="s">
        <v>71</v>
      </c>
      <c r="AH400" s="5" t="s">
        <v>72</v>
      </c>
      <c r="AI400" s="5" t="s">
        <v>73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5263</v>
      </c>
      <c r="AP400" s="5">
        <v>58</v>
      </c>
      <c r="AQ400" s="5" t="s">
        <v>713</v>
      </c>
      <c r="AR400" s="5" t="s">
        <v>1104</v>
      </c>
      <c r="AS400" s="5" t="s">
        <v>713</v>
      </c>
      <c r="AT400" s="6">
        <v>43796</v>
      </c>
      <c r="AU400" s="5" t="s">
        <v>1827</v>
      </c>
      <c r="AV400" s="5">
        <v>366</v>
      </c>
      <c r="AW400" s="5" t="s">
        <v>1828</v>
      </c>
    </row>
    <row r="401" spans="1:49" x14ac:dyDescent="0.55000000000000004">
      <c r="A401" s="5" t="str">
        <f>HYPERLINK("https://www.infodis.net/philips/net/Shipment/Details?InfodisNumber=4031134&amp;DomainCode=DAP", "4031134")</f>
        <v>4031134</v>
      </c>
      <c r="B401" s="5" t="s">
        <v>1834</v>
      </c>
      <c r="C401" s="5" t="s">
        <v>1804</v>
      </c>
      <c r="D401" s="5" t="s">
        <v>1805</v>
      </c>
      <c r="E401" s="5" t="s">
        <v>1804</v>
      </c>
      <c r="F401" s="5" t="s">
        <v>1824</v>
      </c>
      <c r="G401" s="5" t="s">
        <v>619</v>
      </c>
      <c r="H401" s="5" t="s">
        <v>79</v>
      </c>
      <c r="I401" s="5" t="s">
        <v>122</v>
      </c>
      <c r="J401" s="5" t="s">
        <v>1825</v>
      </c>
      <c r="K401" s="5" t="s">
        <v>1161</v>
      </c>
      <c r="L401" s="5" t="s">
        <v>881</v>
      </c>
      <c r="M401" s="5" t="s">
        <v>261</v>
      </c>
      <c r="N401" s="5" t="s">
        <v>1831</v>
      </c>
      <c r="O401" s="5"/>
      <c r="P401" s="5" t="s">
        <v>623</v>
      </c>
      <c r="Q401" s="5"/>
      <c r="R401" s="5" t="s">
        <v>888</v>
      </c>
      <c r="S401" s="6">
        <v>43510</v>
      </c>
      <c r="T401" s="6">
        <v>43522</v>
      </c>
      <c r="U401" s="6">
        <v>43522</v>
      </c>
      <c r="V401" s="6">
        <v>43527</v>
      </c>
      <c r="W401" s="6">
        <v>43527</v>
      </c>
      <c r="X401" s="6">
        <v>43558</v>
      </c>
      <c r="Y401" s="5" t="s">
        <v>1182</v>
      </c>
      <c r="Z401" s="5" t="s">
        <v>1182</v>
      </c>
      <c r="AA401" s="5" t="s">
        <v>1182</v>
      </c>
      <c r="AB401" s="5" t="s">
        <v>67</v>
      </c>
      <c r="AC401" s="5" t="s">
        <v>67</v>
      </c>
      <c r="AD401" s="5" t="s">
        <v>67</v>
      </c>
      <c r="AE401" s="5" t="s">
        <v>69</v>
      </c>
      <c r="AF401" s="5" t="s">
        <v>70</v>
      </c>
      <c r="AG401" s="5" t="s">
        <v>71</v>
      </c>
      <c r="AH401" s="5" t="s">
        <v>72</v>
      </c>
      <c r="AI401" s="5" t="s">
        <v>73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4812</v>
      </c>
      <c r="AP401" s="5">
        <v>59</v>
      </c>
      <c r="AQ401" s="5" t="s">
        <v>713</v>
      </c>
      <c r="AR401" s="5" t="s">
        <v>1104</v>
      </c>
      <c r="AS401" s="5" t="s">
        <v>713</v>
      </c>
      <c r="AT401" s="6">
        <v>43796</v>
      </c>
      <c r="AU401" s="5" t="s">
        <v>1827</v>
      </c>
      <c r="AV401" s="5">
        <v>366</v>
      </c>
      <c r="AW401" s="5" t="s">
        <v>1828</v>
      </c>
    </row>
    <row r="402" spans="1:49" x14ac:dyDescent="0.55000000000000004">
      <c r="A402" s="5" t="str">
        <f>HYPERLINK("https://www.infodis.net/philips/net/Shipment/Details?InfodisNumber=4000391&amp;DomainCode=DAP", "4000391")</f>
        <v>4000391</v>
      </c>
      <c r="B402" s="5" t="s">
        <v>1835</v>
      </c>
      <c r="C402" s="5" t="s">
        <v>1486</v>
      </c>
      <c r="D402" s="5" t="s">
        <v>1487</v>
      </c>
      <c r="E402" s="5" t="s">
        <v>1486</v>
      </c>
      <c r="F402" s="5" t="s">
        <v>1664</v>
      </c>
      <c r="G402" s="5" t="s">
        <v>1665</v>
      </c>
      <c r="H402" s="5" t="s">
        <v>647</v>
      </c>
      <c r="I402" s="5" t="s">
        <v>268</v>
      </c>
      <c r="J402" s="5" t="s">
        <v>194</v>
      </c>
      <c r="K402" s="5" t="s">
        <v>1052</v>
      </c>
      <c r="L402" s="5" t="s">
        <v>180</v>
      </c>
      <c r="M402" s="5" t="s">
        <v>261</v>
      </c>
      <c r="N402" s="5"/>
      <c r="O402" s="5"/>
      <c r="P402" s="5" t="s">
        <v>1668</v>
      </c>
      <c r="Q402" s="5"/>
      <c r="R402" s="5" t="s">
        <v>1055</v>
      </c>
      <c r="S402" s="6">
        <v>43489</v>
      </c>
      <c r="T402" s="6">
        <v>43495</v>
      </c>
      <c r="U402" s="6">
        <v>43496</v>
      </c>
      <c r="V402" s="6">
        <v>43501</v>
      </c>
      <c r="W402" s="6">
        <v>43507</v>
      </c>
      <c r="X402" s="6">
        <v>43536</v>
      </c>
      <c r="Y402" s="5" t="s">
        <v>1182</v>
      </c>
      <c r="Z402" s="5" t="s">
        <v>1182</v>
      </c>
      <c r="AA402" s="5" t="s">
        <v>1182</v>
      </c>
      <c r="AB402" s="5" t="s">
        <v>67</v>
      </c>
      <c r="AC402" s="5" t="s">
        <v>67</v>
      </c>
      <c r="AD402" s="5" t="s">
        <v>67</v>
      </c>
      <c r="AE402" s="5" t="s">
        <v>162</v>
      </c>
      <c r="AF402" s="5" t="s">
        <v>70</v>
      </c>
      <c r="AG402" s="5" t="s">
        <v>71</v>
      </c>
      <c r="AH402" s="5" t="s">
        <v>72</v>
      </c>
      <c r="AI402" s="5" t="s">
        <v>73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7854</v>
      </c>
      <c r="AP402" s="5">
        <v>29.59</v>
      </c>
      <c r="AQ402" s="5" t="s">
        <v>713</v>
      </c>
      <c r="AR402" s="5" t="s">
        <v>1104</v>
      </c>
      <c r="AS402" s="5"/>
      <c r="AT402" s="5"/>
      <c r="AU402" s="5"/>
      <c r="AV402" s="5">
        <v>-1</v>
      </c>
      <c r="AW402" s="5" t="s">
        <v>1462</v>
      </c>
    </row>
    <row r="403" spans="1:49" x14ac:dyDescent="0.55000000000000004">
      <c r="A403" s="5" t="str">
        <f>HYPERLINK("https://www.infodis.net/philips/net/Shipment/Details?InfodisNumber=3998321&amp;DomainCode=DAP", "3998321")</f>
        <v>3998321</v>
      </c>
      <c r="B403" s="5" t="s">
        <v>1836</v>
      </c>
      <c r="C403" s="5" t="s">
        <v>1486</v>
      </c>
      <c r="D403" s="5" t="s">
        <v>1487</v>
      </c>
      <c r="E403" s="5" t="s">
        <v>1486</v>
      </c>
      <c r="F403" s="5" t="s">
        <v>1837</v>
      </c>
      <c r="G403" s="5" t="s">
        <v>855</v>
      </c>
      <c r="H403" s="5" t="s">
        <v>267</v>
      </c>
      <c r="I403" s="5" t="s">
        <v>268</v>
      </c>
      <c r="J403" s="5" t="s">
        <v>194</v>
      </c>
      <c r="K403" s="5" t="s">
        <v>1838</v>
      </c>
      <c r="L403" s="5" t="s">
        <v>180</v>
      </c>
      <c r="M403" s="5" t="s">
        <v>261</v>
      </c>
      <c r="N403" s="5"/>
      <c r="O403" s="5"/>
      <c r="P403" s="5" t="s">
        <v>1839</v>
      </c>
      <c r="Q403" s="5"/>
      <c r="R403" s="5" t="s">
        <v>1840</v>
      </c>
      <c r="S403" s="6">
        <v>43488</v>
      </c>
      <c r="T403" s="6">
        <v>43489</v>
      </c>
      <c r="U403" s="6">
        <v>43493</v>
      </c>
      <c r="V403" s="6">
        <v>43496</v>
      </c>
      <c r="W403" s="6">
        <v>43496</v>
      </c>
      <c r="X403" s="5"/>
      <c r="Y403" s="5" t="s">
        <v>1182</v>
      </c>
      <c r="Z403" s="5" t="s">
        <v>1182</v>
      </c>
      <c r="AA403" s="5" t="s">
        <v>1182</v>
      </c>
      <c r="AB403" s="5" t="s">
        <v>67</v>
      </c>
      <c r="AC403" s="5" t="s">
        <v>67</v>
      </c>
      <c r="AD403" s="5" t="s">
        <v>67</v>
      </c>
      <c r="AE403" s="5" t="s">
        <v>162</v>
      </c>
      <c r="AF403" s="5" t="s">
        <v>70</v>
      </c>
      <c r="AG403" s="5" t="s">
        <v>71</v>
      </c>
      <c r="AH403" s="5" t="s">
        <v>72</v>
      </c>
      <c r="AI403" s="5" t="s">
        <v>73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1763</v>
      </c>
      <c r="AP403" s="5">
        <v>12.125</v>
      </c>
      <c r="AQ403" s="5" t="s">
        <v>713</v>
      </c>
      <c r="AR403" s="5" t="s">
        <v>1104</v>
      </c>
      <c r="AS403" s="5"/>
      <c r="AT403" s="5"/>
      <c r="AU403" s="5"/>
      <c r="AV403" s="5">
        <v>-1</v>
      </c>
      <c r="AW403" s="5" t="s">
        <v>1462</v>
      </c>
    </row>
    <row r="404" spans="1:49" x14ac:dyDescent="0.55000000000000004">
      <c r="A404" s="5" t="str">
        <f>HYPERLINK("https://www.infodis.net/philips/net/Shipment/Details?InfodisNumber=3995892&amp;DomainCode=DAP", "3995892")</f>
        <v>3995892</v>
      </c>
      <c r="B404" s="5" t="s">
        <v>1841</v>
      </c>
      <c r="C404" s="5" t="s">
        <v>1842</v>
      </c>
      <c r="D404" s="5" t="s">
        <v>1843</v>
      </c>
      <c r="E404" s="5" t="s">
        <v>1842</v>
      </c>
      <c r="F404" s="5" t="s">
        <v>1844</v>
      </c>
      <c r="G404" s="5" t="s">
        <v>1845</v>
      </c>
      <c r="H404" s="5" t="s">
        <v>79</v>
      </c>
      <c r="I404" s="5" t="s">
        <v>122</v>
      </c>
      <c r="J404" s="5" t="s">
        <v>1649</v>
      </c>
      <c r="K404" s="5" t="s">
        <v>918</v>
      </c>
      <c r="L404" s="5" t="s">
        <v>881</v>
      </c>
      <c r="M404" s="5" t="s">
        <v>1489</v>
      </c>
      <c r="N404" s="5"/>
      <c r="O404" s="5"/>
      <c r="P404" s="5" t="s">
        <v>1846</v>
      </c>
      <c r="Q404" s="5"/>
      <c r="R404" s="5" t="s">
        <v>888</v>
      </c>
      <c r="S404" s="6">
        <v>43487</v>
      </c>
      <c r="T404" s="6">
        <v>43488</v>
      </c>
      <c r="U404" s="6">
        <v>43489</v>
      </c>
      <c r="V404" s="6">
        <v>43493</v>
      </c>
      <c r="W404" s="6">
        <v>43499</v>
      </c>
      <c r="X404" s="6">
        <v>43537</v>
      </c>
      <c r="Y404" s="5" t="s">
        <v>1182</v>
      </c>
      <c r="Z404" s="5" t="s">
        <v>1182</v>
      </c>
      <c r="AA404" s="5" t="s">
        <v>1182</v>
      </c>
      <c r="AB404" s="5" t="s">
        <v>67</v>
      </c>
      <c r="AC404" s="5" t="s">
        <v>67</v>
      </c>
      <c r="AD404" s="5" t="s">
        <v>67</v>
      </c>
      <c r="AE404" s="5" t="s">
        <v>69</v>
      </c>
      <c r="AF404" s="5" t="s">
        <v>70</v>
      </c>
      <c r="AG404" s="5" t="s">
        <v>71</v>
      </c>
      <c r="AH404" s="5" t="s">
        <v>72</v>
      </c>
      <c r="AI404" s="5" t="s">
        <v>73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5513.76</v>
      </c>
      <c r="AP404" s="5">
        <v>57.38</v>
      </c>
      <c r="AQ404" s="5" t="s">
        <v>713</v>
      </c>
      <c r="AR404" s="5" t="s">
        <v>1104</v>
      </c>
      <c r="AS404" s="5" t="s">
        <v>713</v>
      </c>
      <c r="AT404" s="6">
        <v>43796</v>
      </c>
      <c r="AU404" s="5" t="s">
        <v>1827</v>
      </c>
      <c r="AV404" s="5">
        <v>366</v>
      </c>
      <c r="AW404" s="5" t="s">
        <v>1828</v>
      </c>
    </row>
    <row r="405" spans="1:49" x14ac:dyDescent="0.55000000000000004">
      <c r="A405" s="5" t="str">
        <f>HYPERLINK("https://www.infodis.net/philips/net/Shipment/Details?InfodisNumber=3995885&amp;DomainCode=DAP", "3995885")</f>
        <v>3995885</v>
      </c>
      <c r="B405" s="5" t="s">
        <v>1847</v>
      </c>
      <c r="C405" s="5" t="s">
        <v>1842</v>
      </c>
      <c r="D405" s="5" t="s">
        <v>1843</v>
      </c>
      <c r="E405" s="5" t="s">
        <v>1842</v>
      </c>
      <c r="F405" s="5" t="s">
        <v>1844</v>
      </c>
      <c r="G405" s="5" t="s">
        <v>1845</v>
      </c>
      <c r="H405" s="5" t="s">
        <v>79</v>
      </c>
      <c r="I405" s="5" t="s">
        <v>122</v>
      </c>
      <c r="J405" s="5" t="s">
        <v>1649</v>
      </c>
      <c r="K405" s="5" t="s">
        <v>918</v>
      </c>
      <c r="L405" s="5" t="s">
        <v>881</v>
      </c>
      <c r="M405" s="5" t="s">
        <v>1489</v>
      </c>
      <c r="N405" s="5"/>
      <c r="O405" s="5"/>
      <c r="P405" s="5" t="s">
        <v>1846</v>
      </c>
      <c r="Q405" s="5"/>
      <c r="R405" s="5" t="s">
        <v>888</v>
      </c>
      <c r="S405" s="6">
        <v>43487</v>
      </c>
      <c r="T405" s="6">
        <v>43488</v>
      </c>
      <c r="U405" s="6">
        <v>43489</v>
      </c>
      <c r="V405" s="6">
        <v>43493</v>
      </c>
      <c r="W405" s="6">
        <v>43499</v>
      </c>
      <c r="X405" s="6">
        <v>43537</v>
      </c>
      <c r="Y405" s="5" t="s">
        <v>1182</v>
      </c>
      <c r="Z405" s="5" t="s">
        <v>1182</v>
      </c>
      <c r="AA405" s="5" t="s">
        <v>1182</v>
      </c>
      <c r="AB405" s="5" t="s">
        <v>67</v>
      </c>
      <c r="AC405" s="5" t="s">
        <v>67</v>
      </c>
      <c r="AD405" s="5" t="s">
        <v>67</v>
      </c>
      <c r="AE405" s="5" t="s">
        <v>69</v>
      </c>
      <c r="AF405" s="5" t="s">
        <v>70</v>
      </c>
      <c r="AG405" s="5" t="s">
        <v>71</v>
      </c>
      <c r="AH405" s="5" t="s">
        <v>72</v>
      </c>
      <c r="AI405" s="5" t="s">
        <v>73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8317.26</v>
      </c>
      <c r="AP405" s="5">
        <v>57.38</v>
      </c>
      <c r="AQ405" s="5" t="s">
        <v>713</v>
      </c>
      <c r="AR405" s="5" t="s">
        <v>1104</v>
      </c>
      <c r="AS405" s="5" t="s">
        <v>713</v>
      </c>
      <c r="AT405" s="6">
        <v>43796</v>
      </c>
      <c r="AU405" s="5" t="s">
        <v>1827</v>
      </c>
      <c r="AV405" s="5">
        <v>366</v>
      </c>
      <c r="AW405" s="5" t="s">
        <v>1828</v>
      </c>
    </row>
    <row r="406" spans="1:49" x14ac:dyDescent="0.55000000000000004">
      <c r="A406" s="5" t="str">
        <f>HYPERLINK("https://www.infodis.net/philips/net/Shipment/Details?InfodisNumber=3995871&amp;DomainCode=DAP", "3995871")</f>
        <v>3995871</v>
      </c>
      <c r="B406" s="5" t="s">
        <v>1848</v>
      </c>
      <c r="C406" s="5" t="s">
        <v>1842</v>
      </c>
      <c r="D406" s="5" t="s">
        <v>1843</v>
      </c>
      <c r="E406" s="5" t="s">
        <v>1842</v>
      </c>
      <c r="F406" s="5" t="s">
        <v>1844</v>
      </c>
      <c r="G406" s="5" t="s">
        <v>1845</v>
      </c>
      <c r="H406" s="5" t="s">
        <v>79</v>
      </c>
      <c r="I406" s="5" t="s">
        <v>122</v>
      </c>
      <c r="J406" s="5" t="s">
        <v>1649</v>
      </c>
      <c r="K406" s="5" t="s">
        <v>918</v>
      </c>
      <c r="L406" s="5" t="s">
        <v>881</v>
      </c>
      <c r="M406" s="5" t="s">
        <v>1489</v>
      </c>
      <c r="N406" s="5"/>
      <c r="O406" s="5"/>
      <c r="P406" s="5" t="s">
        <v>1846</v>
      </c>
      <c r="Q406" s="5"/>
      <c r="R406" s="5" t="s">
        <v>888</v>
      </c>
      <c r="S406" s="6">
        <v>43487</v>
      </c>
      <c r="T406" s="6">
        <v>43487</v>
      </c>
      <c r="U406" s="6">
        <v>43489</v>
      </c>
      <c r="V406" s="6">
        <v>43493</v>
      </c>
      <c r="W406" s="6">
        <v>43499</v>
      </c>
      <c r="X406" s="6">
        <v>43535</v>
      </c>
      <c r="Y406" s="5" t="s">
        <v>1182</v>
      </c>
      <c r="Z406" s="5" t="s">
        <v>1182</v>
      </c>
      <c r="AA406" s="5" t="s">
        <v>1182</v>
      </c>
      <c r="AB406" s="5" t="s">
        <v>67</v>
      </c>
      <c r="AC406" s="5" t="s">
        <v>67</v>
      </c>
      <c r="AD406" s="5" t="s">
        <v>67</v>
      </c>
      <c r="AE406" s="5" t="s">
        <v>69</v>
      </c>
      <c r="AF406" s="5" t="s">
        <v>70</v>
      </c>
      <c r="AG406" s="5" t="s">
        <v>71</v>
      </c>
      <c r="AH406" s="5" t="s">
        <v>72</v>
      </c>
      <c r="AI406" s="5" t="s">
        <v>73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8317.26</v>
      </c>
      <c r="AP406" s="5">
        <v>57.38</v>
      </c>
      <c r="AQ406" s="5" t="s">
        <v>713</v>
      </c>
      <c r="AR406" s="5" t="s">
        <v>1104</v>
      </c>
      <c r="AS406" s="5" t="s">
        <v>713</v>
      </c>
      <c r="AT406" s="6">
        <v>43796</v>
      </c>
      <c r="AU406" s="5" t="s">
        <v>1827</v>
      </c>
      <c r="AV406" s="5">
        <v>366</v>
      </c>
      <c r="AW406" s="5" t="s">
        <v>1828</v>
      </c>
    </row>
    <row r="407" spans="1:49" x14ac:dyDescent="0.55000000000000004">
      <c r="A407" s="5" t="str">
        <f>HYPERLINK("https://www.infodis.net/philips/net/Shipment/Details?InfodisNumber=3995839&amp;DomainCode=DAP", "3995839")</f>
        <v>3995839</v>
      </c>
      <c r="B407" s="5" t="s">
        <v>1849</v>
      </c>
      <c r="C407" s="5" t="s">
        <v>1842</v>
      </c>
      <c r="D407" s="5" t="s">
        <v>1843</v>
      </c>
      <c r="E407" s="5" t="s">
        <v>1842</v>
      </c>
      <c r="F407" s="5" t="s">
        <v>1844</v>
      </c>
      <c r="G407" s="5" t="s">
        <v>1845</v>
      </c>
      <c r="H407" s="5" t="s">
        <v>79</v>
      </c>
      <c r="I407" s="5" t="s">
        <v>122</v>
      </c>
      <c r="J407" s="5" t="s">
        <v>1649</v>
      </c>
      <c r="K407" s="5" t="s">
        <v>918</v>
      </c>
      <c r="L407" s="5" t="s">
        <v>881</v>
      </c>
      <c r="M407" s="5" t="s">
        <v>1489</v>
      </c>
      <c r="N407" s="5"/>
      <c r="O407" s="5"/>
      <c r="P407" s="5" t="s">
        <v>1846</v>
      </c>
      <c r="Q407" s="5"/>
      <c r="R407" s="5" t="s">
        <v>888</v>
      </c>
      <c r="S407" s="6">
        <v>43487</v>
      </c>
      <c r="T407" s="6">
        <v>43488</v>
      </c>
      <c r="U407" s="6">
        <v>43489</v>
      </c>
      <c r="V407" s="6">
        <v>43493</v>
      </c>
      <c r="W407" s="6">
        <v>43500</v>
      </c>
      <c r="X407" s="6">
        <v>43539</v>
      </c>
      <c r="Y407" s="5" t="s">
        <v>1182</v>
      </c>
      <c r="Z407" s="5" t="s">
        <v>1182</v>
      </c>
      <c r="AA407" s="5" t="s">
        <v>1182</v>
      </c>
      <c r="AB407" s="5" t="s">
        <v>67</v>
      </c>
      <c r="AC407" s="5" t="s">
        <v>67</v>
      </c>
      <c r="AD407" s="5" t="s">
        <v>67</v>
      </c>
      <c r="AE407" s="5" t="s">
        <v>69</v>
      </c>
      <c r="AF407" s="5" t="s">
        <v>70</v>
      </c>
      <c r="AG407" s="5" t="s">
        <v>71</v>
      </c>
      <c r="AH407" s="5" t="s">
        <v>72</v>
      </c>
      <c r="AI407" s="5" t="s">
        <v>73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8317.26</v>
      </c>
      <c r="AP407" s="5">
        <v>57.38</v>
      </c>
      <c r="AQ407" s="5" t="s">
        <v>713</v>
      </c>
      <c r="AR407" s="5" t="s">
        <v>1104</v>
      </c>
      <c r="AS407" s="5" t="s">
        <v>713</v>
      </c>
      <c r="AT407" s="6">
        <v>43796</v>
      </c>
      <c r="AU407" s="5" t="s">
        <v>1827</v>
      </c>
      <c r="AV407" s="5">
        <v>366</v>
      </c>
      <c r="AW407" s="5" t="s">
        <v>1828</v>
      </c>
    </row>
    <row r="408" spans="1:49" x14ac:dyDescent="0.55000000000000004">
      <c r="A408" s="5" t="str">
        <f>HYPERLINK("https://www.infodis.net/philips/net/Shipment/Details?InfodisNumber=3998494&amp;DomainCode=DAP", "3998494")</f>
        <v>3998494</v>
      </c>
      <c r="B408" s="5" t="s">
        <v>1850</v>
      </c>
      <c r="C408" s="5" t="s">
        <v>1486</v>
      </c>
      <c r="D408" s="5" t="s">
        <v>1487</v>
      </c>
      <c r="E408" s="5" t="s">
        <v>1486</v>
      </c>
      <c r="F408" s="5" t="s">
        <v>1851</v>
      </c>
      <c r="G408" s="5" t="s">
        <v>667</v>
      </c>
      <c r="H408" s="5" t="s">
        <v>79</v>
      </c>
      <c r="I408" s="5" t="s">
        <v>122</v>
      </c>
      <c r="J408" s="5" t="s">
        <v>194</v>
      </c>
      <c r="K408" s="5" t="s">
        <v>1852</v>
      </c>
      <c r="L408" s="5" t="s">
        <v>180</v>
      </c>
      <c r="M408" s="5" t="s">
        <v>1489</v>
      </c>
      <c r="N408" s="5"/>
      <c r="O408" s="5"/>
      <c r="P408" s="5" t="s">
        <v>1853</v>
      </c>
      <c r="Q408" s="5"/>
      <c r="R408" s="5" t="s">
        <v>1854</v>
      </c>
      <c r="S408" s="6">
        <v>43488</v>
      </c>
      <c r="T408" s="6">
        <v>43489</v>
      </c>
      <c r="U408" s="6">
        <v>43494</v>
      </c>
      <c r="V408" s="6">
        <v>43497</v>
      </c>
      <c r="W408" s="6">
        <v>43501</v>
      </c>
      <c r="X408" s="6">
        <v>43538</v>
      </c>
      <c r="Y408" s="5" t="s">
        <v>1182</v>
      </c>
      <c r="Z408" s="5" t="s">
        <v>1182</v>
      </c>
      <c r="AA408" s="5" t="s">
        <v>1182</v>
      </c>
      <c r="AB408" s="5" t="s">
        <v>67</v>
      </c>
      <c r="AC408" s="5" t="s">
        <v>67</v>
      </c>
      <c r="AD408" s="5" t="s">
        <v>67</v>
      </c>
      <c r="AE408" s="5" t="s">
        <v>90</v>
      </c>
      <c r="AF408" s="5" t="s">
        <v>70</v>
      </c>
      <c r="AG408" s="5" t="s">
        <v>71</v>
      </c>
      <c r="AH408" s="5" t="s">
        <v>72</v>
      </c>
      <c r="AI408" s="5" t="s">
        <v>73</v>
      </c>
      <c r="AJ408" s="5">
        <v>0</v>
      </c>
      <c r="AK408" s="5">
        <v>0</v>
      </c>
      <c r="AL408" s="5">
        <v>0</v>
      </c>
      <c r="AM408" s="5">
        <v>0</v>
      </c>
      <c r="AN408" s="5">
        <v>18</v>
      </c>
      <c r="AO408" s="5">
        <v>12197.65</v>
      </c>
      <c r="AP408" s="5">
        <v>37.823999999999998</v>
      </c>
      <c r="AQ408" s="5" t="s">
        <v>713</v>
      </c>
      <c r="AR408" s="5" t="s">
        <v>1104</v>
      </c>
      <c r="AS408" s="5"/>
      <c r="AT408" s="5"/>
      <c r="AU408" s="5"/>
      <c r="AV408" s="5">
        <v>-1</v>
      </c>
      <c r="AW408" s="5" t="s">
        <v>1462</v>
      </c>
    </row>
    <row r="409" spans="1:49" x14ac:dyDescent="0.55000000000000004">
      <c r="A409" s="5" t="str">
        <f>HYPERLINK("https://www.infodis.net/philips/net/Shipment/Details?InfodisNumber=4031132&amp;DomainCode=DAP", "4031132")</f>
        <v>4031132</v>
      </c>
      <c r="B409" s="5" t="s">
        <v>1855</v>
      </c>
      <c r="C409" s="5" t="s">
        <v>1804</v>
      </c>
      <c r="D409" s="5" t="s">
        <v>1805</v>
      </c>
      <c r="E409" s="5" t="s">
        <v>1804</v>
      </c>
      <c r="F409" s="5" t="s">
        <v>1824</v>
      </c>
      <c r="G409" s="5" t="s">
        <v>619</v>
      </c>
      <c r="H409" s="5" t="s">
        <v>79</v>
      </c>
      <c r="I409" s="5" t="s">
        <v>122</v>
      </c>
      <c r="J409" s="5" t="s">
        <v>1825</v>
      </c>
      <c r="K409" s="5" t="s">
        <v>1161</v>
      </c>
      <c r="L409" s="5" t="s">
        <v>881</v>
      </c>
      <c r="M409" s="5" t="s">
        <v>261</v>
      </c>
      <c r="N409" s="5" t="s">
        <v>1826</v>
      </c>
      <c r="O409" s="5"/>
      <c r="P409" s="5" t="s">
        <v>623</v>
      </c>
      <c r="Q409" s="5"/>
      <c r="R409" s="5" t="s">
        <v>888</v>
      </c>
      <c r="S409" s="6">
        <v>43510</v>
      </c>
      <c r="T409" s="6">
        <v>43519</v>
      </c>
      <c r="U409" s="6">
        <v>43515</v>
      </c>
      <c r="V409" s="6">
        <v>43518</v>
      </c>
      <c r="W409" s="6">
        <v>43520</v>
      </c>
      <c r="X409" s="6">
        <v>43550</v>
      </c>
      <c r="Y409" s="5" t="s">
        <v>1182</v>
      </c>
      <c r="Z409" s="5" t="s">
        <v>1182</v>
      </c>
      <c r="AA409" s="5" t="s">
        <v>1182</v>
      </c>
      <c r="AB409" s="5" t="s">
        <v>67</v>
      </c>
      <c r="AC409" s="5" t="s">
        <v>67</v>
      </c>
      <c r="AD409" s="5" t="s">
        <v>67</v>
      </c>
      <c r="AE409" s="5" t="s">
        <v>69</v>
      </c>
      <c r="AF409" s="5" t="s">
        <v>70</v>
      </c>
      <c r="AG409" s="5" t="s">
        <v>71</v>
      </c>
      <c r="AH409" s="5" t="s">
        <v>72</v>
      </c>
      <c r="AI409" s="5" t="s">
        <v>73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6173</v>
      </c>
      <c r="AP409" s="5">
        <v>62</v>
      </c>
      <c r="AQ409" s="5" t="s">
        <v>713</v>
      </c>
      <c r="AR409" s="5" t="s">
        <v>1104</v>
      </c>
      <c r="AS409" s="5" t="s">
        <v>713</v>
      </c>
      <c r="AT409" s="6">
        <v>43796</v>
      </c>
      <c r="AU409" s="5" t="s">
        <v>1827</v>
      </c>
      <c r="AV409" s="5">
        <v>366</v>
      </c>
      <c r="AW409" s="5" t="s">
        <v>1828</v>
      </c>
    </row>
    <row r="410" spans="1:49" x14ac:dyDescent="0.55000000000000004">
      <c r="A410" s="5" t="str">
        <f>HYPERLINK("https://www.infodis.net/philips/net/Shipment/Details?InfodisNumber=4006933&amp;DomainCode=DAP", "4006933")</f>
        <v>4006933</v>
      </c>
      <c r="B410" s="5" t="s">
        <v>1856</v>
      </c>
      <c r="C410" s="5" t="s">
        <v>1857</v>
      </c>
      <c r="D410" s="5" t="s">
        <v>1858</v>
      </c>
      <c r="E410" s="5" t="s">
        <v>1857</v>
      </c>
      <c r="F410" s="5" t="s">
        <v>1859</v>
      </c>
      <c r="G410" s="5" t="s">
        <v>266</v>
      </c>
      <c r="H410" s="5" t="s">
        <v>267</v>
      </c>
      <c r="I410" s="5" t="s">
        <v>122</v>
      </c>
      <c r="J410" s="5" t="s">
        <v>194</v>
      </c>
      <c r="K410" s="5" t="s">
        <v>620</v>
      </c>
      <c r="L410" s="5" t="s">
        <v>180</v>
      </c>
      <c r="M410" s="5" t="s">
        <v>261</v>
      </c>
      <c r="N410" s="5"/>
      <c r="O410" s="5"/>
      <c r="P410" s="5" t="s">
        <v>1000</v>
      </c>
      <c r="Q410" s="5"/>
      <c r="R410" s="5" t="s">
        <v>613</v>
      </c>
      <c r="S410" s="6">
        <v>43494</v>
      </c>
      <c r="T410" s="6">
        <v>43494</v>
      </c>
      <c r="U410" s="6">
        <v>43494</v>
      </c>
      <c r="V410" s="6">
        <v>43499</v>
      </c>
      <c r="W410" s="6">
        <v>43514</v>
      </c>
      <c r="X410" s="6">
        <v>43553</v>
      </c>
      <c r="Y410" s="5" t="s">
        <v>66</v>
      </c>
      <c r="Z410" s="5" t="s">
        <v>1182</v>
      </c>
      <c r="AA410" s="5" t="s">
        <v>1182</v>
      </c>
      <c r="AB410" s="5" t="s">
        <v>68</v>
      </c>
      <c r="AC410" s="5" t="s">
        <v>67</v>
      </c>
      <c r="AD410" s="5" t="s">
        <v>67</v>
      </c>
      <c r="AE410" s="5" t="s">
        <v>162</v>
      </c>
      <c r="AF410" s="5" t="s">
        <v>70</v>
      </c>
      <c r="AG410" s="5" t="s">
        <v>71</v>
      </c>
      <c r="AH410" s="5" t="s">
        <v>72</v>
      </c>
      <c r="AI410" s="5" t="s">
        <v>73</v>
      </c>
      <c r="AJ410" s="5">
        <v>0</v>
      </c>
      <c r="AK410" s="5">
        <v>0</v>
      </c>
      <c r="AL410" s="5">
        <v>0</v>
      </c>
      <c r="AM410" s="5">
        <v>0</v>
      </c>
      <c r="AN410" s="5">
        <v>2</v>
      </c>
      <c r="AO410" s="5">
        <v>425.96</v>
      </c>
      <c r="AP410" s="5">
        <v>3.57</v>
      </c>
      <c r="AQ410" s="5" t="s">
        <v>713</v>
      </c>
      <c r="AR410" s="5" t="s">
        <v>1104</v>
      </c>
      <c r="AS410" s="5"/>
      <c r="AT410" s="5"/>
      <c r="AU410" s="5"/>
      <c r="AV410" s="5">
        <v>-1</v>
      </c>
      <c r="AW410" s="5" t="s">
        <v>1462</v>
      </c>
    </row>
    <row r="411" spans="1:49" x14ac:dyDescent="0.55000000000000004">
      <c r="A411" s="5" t="str">
        <f>HYPERLINK("https://www.infodis.net/philips/net/Shipment/Details?InfodisNumber=4070590&amp;DomainCode=DAP", "4070590")</f>
        <v>4070590</v>
      </c>
      <c r="B411" s="5" t="s">
        <v>1860</v>
      </c>
      <c r="C411" s="5" t="s">
        <v>1804</v>
      </c>
      <c r="D411" s="5" t="s">
        <v>1805</v>
      </c>
      <c r="E411" s="5" t="s">
        <v>1804</v>
      </c>
      <c r="F411" s="5" t="s">
        <v>1824</v>
      </c>
      <c r="G411" s="5" t="s">
        <v>619</v>
      </c>
      <c r="H411" s="5" t="s">
        <v>79</v>
      </c>
      <c r="I411" s="5" t="s">
        <v>122</v>
      </c>
      <c r="J411" s="5" t="s">
        <v>1825</v>
      </c>
      <c r="K411" s="5" t="s">
        <v>1161</v>
      </c>
      <c r="L411" s="5" t="s">
        <v>881</v>
      </c>
      <c r="M411" s="5" t="s">
        <v>261</v>
      </c>
      <c r="N411" s="5" t="s">
        <v>1861</v>
      </c>
      <c r="O411" s="5"/>
      <c r="P411" s="5" t="s">
        <v>623</v>
      </c>
      <c r="Q411" s="5"/>
      <c r="R411" s="5" t="s">
        <v>888</v>
      </c>
      <c r="S411" s="6">
        <v>43536</v>
      </c>
      <c r="T411" s="6">
        <v>43542</v>
      </c>
      <c r="U411" s="6">
        <v>43542</v>
      </c>
      <c r="V411" s="6">
        <v>43556</v>
      </c>
      <c r="W411" s="6">
        <v>43555</v>
      </c>
      <c r="X411" s="6">
        <v>43585</v>
      </c>
      <c r="Y411" s="5" t="s">
        <v>1182</v>
      </c>
      <c r="Z411" s="5" t="s">
        <v>1182</v>
      </c>
      <c r="AA411" s="5" t="s">
        <v>1182</v>
      </c>
      <c r="AB411" s="5" t="s">
        <v>67</v>
      </c>
      <c r="AC411" s="5" t="s">
        <v>67</v>
      </c>
      <c r="AD411" s="5" t="s">
        <v>67</v>
      </c>
      <c r="AE411" s="5" t="s">
        <v>69</v>
      </c>
      <c r="AF411" s="5" t="s">
        <v>70</v>
      </c>
      <c r="AG411" s="5" t="s">
        <v>71</v>
      </c>
      <c r="AH411" s="5" t="s">
        <v>72</v>
      </c>
      <c r="AI411" s="5" t="s">
        <v>73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4846</v>
      </c>
      <c r="AP411" s="5">
        <v>61</v>
      </c>
      <c r="AQ411" s="5" t="s">
        <v>713</v>
      </c>
      <c r="AR411" s="5" t="s">
        <v>1104</v>
      </c>
      <c r="AS411" s="5" t="s">
        <v>713</v>
      </c>
      <c r="AT411" s="6">
        <v>43796</v>
      </c>
      <c r="AU411" s="5" t="s">
        <v>1827</v>
      </c>
      <c r="AV411" s="5">
        <v>366</v>
      </c>
      <c r="AW411" s="5" t="s">
        <v>1828</v>
      </c>
    </row>
    <row r="412" spans="1:49" x14ac:dyDescent="0.55000000000000004">
      <c r="A412" s="5" t="str">
        <f>HYPERLINK("https://www.infodis.net/philips/net/Shipment/Details?InfodisNumber=4070600&amp;DomainCode=DAP", "4070600")</f>
        <v>4070600</v>
      </c>
      <c r="B412" s="5" t="s">
        <v>1862</v>
      </c>
      <c r="C412" s="5" t="s">
        <v>1804</v>
      </c>
      <c r="D412" s="5" t="s">
        <v>1805</v>
      </c>
      <c r="E412" s="5" t="s">
        <v>1804</v>
      </c>
      <c r="F412" s="5" t="s">
        <v>1824</v>
      </c>
      <c r="G412" s="5" t="s">
        <v>619</v>
      </c>
      <c r="H412" s="5" t="s">
        <v>79</v>
      </c>
      <c r="I412" s="5" t="s">
        <v>122</v>
      </c>
      <c r="J412" s="5" t="s">
        <v>1825</v>
      </c>
      <c r="K412" s="5" t="s">
        <v>1161</v>
      </c>
      <c r="L412" s="5" t="s">
        <v>881</v>
      </c>
      <c r="M412" s="5" t="s">
        <v>261</v>
      </c>
      <c r="N412" s="5" t="s">
        <v>1863</v>
      </c>
      <c r="O412" s="5" t="s">
        <v>1864</v>
      </c>
      <c r="P412" s="5" t="s">
        <v>623</v>
      </c>
      <c r="Q412" s="5"/>
      <c r="R412" s="5" t="s">
        <v>888</v>
      </c>
      <c r="S412" s="6">
        <v>43536</v>
      </c>
      <c r="T412" s="6">
        <v>43553</v>
      </c>
      <c r="U412" s="6">
        <v>43556</v>
      </c>
      <c r="V412" s="6">
        <v>43562</v>
      </c>
      <c r="W412" s="6">
        <v>43563</v>
      </c>
      <c r="X412" s="6">
        <v>43592</v>
      </c>
      <c r="Y412" s="5" t="s">
        <v>1182</v>
      </c>
      <c r="Z412" s="5" t="s">
        <v>1182</v>
      </c>
      <c r="AA412" s="5" t="s">
        <v>1182</v>
      </c>
      <c r="AB412" s="5" t="s">
        <v>67</v>
      </c>
      <c r="AC412" s="5" t="s">
        <v>67</v>
      </c>
      <c r="AD412" s="5" t="s">
        <v>67</v>
      </c>
      <c r="AE412" s="5" t="s">
        <v>69</v>
      </c>
      <c r="AF412" s="5" t="s">
        <v>70</v>
      </c>
      <c r="AG412" s="5" t="s">
        <v>71</v>
      </c>
      <c r="AH412" s="5" t="s">
        <v>72</v>
      </c>
      <c r="AI412" s="5" t="s">
        <v>73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5416</v>
      </c>
      <c r="AP412" s="5">
        <v>62</v>
      </c>
      <c r="AQ412" s="5" t="s">
        <v>713</v>
      </c>
      <c r="AR412" s="5" t="s">
        <v>1104</v>
      </c>
      <c r="AS412" s="5" t="s">
        <v>713</v>
      </c>
      <c r="AT412" s="6">
        <v>43796</v>
      </c>
      <c r="AU412" s="5" t="s">
        <v>1827</v>
      </c>
      <c r="AV412" s="5">
        <v>366</v>
      </c>
      <c r="AW412" s="5" t="s">
        <v>1828</v>
      </c>
    </row>
    <row r="413" spans="1:49" x14ac:dyDescent="0.55000000000000004">
      <c r="A413" s="5" t="str">
        <f>HYPERLINK("https://www.infodis.net/philips/net/Shipment/Details?InfodisNumber=4556363&amp;DomainCode=DAP", "4556363")</f>
        <v>4556363</v>
      </c>
      <c r="B413" s="5" t="s">
        <v>1865</v>
      </c>
      <c r="C413" s="5" t="s">
        <v>153</v>
      </c>
      <c r="D413" s="5" t="s">
        <v>154</v>
      </c>
      <c r="E413" s="5" t="s">
        <v>1866</v>
      </c>
      <c r="F413" s="5" t="s">
        <v>1866</v>
      </c>
      <c r="G413" s="5" t="s">
        <v>82</v>
      </c>
      <c r="H413" s="5" t="s">
        <v>83</v>
      </c>
      <c r="I413" s="5" t="s">
        <v>81</v>
      </c>
      <c r="J413" s="5" t="s">
        <v>283</v>
      </c>
      <c r="K413" s="5" t="s">
        <v>1867</v>
      </c>
      <c r="L413" s="5" t="s">
        <v>307</v>
      </c>
      <c r="M413" s="5" t="s">
        <v>84</v>
      </c>
      <c r="N413" s="5"/>
      <c r="O413" s="5" t="s">
        <v>1868</v>
      </c>
      <c r="P413" s="5" t="s">
        <v>87</v>
      </c>
      <c r="Q413" s="5"/>
      <c r="R413" s="5" t="s">
        <v>408</v>
      </c>
      <c r="S413" s="6">
        <v>44147</v>
      </c>
      <c r="T413" s="6">
        <v>44152</v>
      </c>
      <c r="U413" s="5"/>
      <c r="V413" s="6">
        <v>44157</v>
      </c>
      <c r="W413" s="5"/>
      <c r="X413" s="5"/>
      <c r="Y413" s="5" t="s">
        <v>1869</v>
      </c>
      <c r="Z413" s="5" t="s">
        <v>1869</v>
      </c>
      <c r="AA413" s="5" t="s">
        <v>1869</v>
      </c>
      <c r="AB413" s="5" t="s">
        <v>67</v>
      </c>
      <c r="AC413" s="5" t="s">
        <v>67</v>
      </c>
      <c r="AD413" s="5" t="s">
        <v>67</v>
      </c>
      <c r="AE413" s="5" t="s">
        <v>90</v>
      </c>
      <c r="AF413" s="5" t="s">
        <v>70</v>
      </c>
      <c r="AG413" s="5" t="s">
        <v>71</v>
      </c>
      <c r="AH413" s="5" t="s">
        <v>72</v>
      </c>
      <c r="AI413" s="5" t="s">
        <v>73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10000</v>
      </c>
      <c r="AP413" s="5">
        <v>45</v>
      </c>
      <c r="AQ413" s="5" t="s">
        <v>713</v>
      </c>
      <c r="AR413" s="5" t="s">
        <v>1104</v>
      </c>
      <c r="AS413" s="5"/>
      <c r="AT413" s="5"/>
      <c r="AU413" s="5"/>
      <c r="AV413" s="5">
        <v>-1</v>
      </c>
      <c r="AW413" s="5" t="s">
        <v>1110</v>
      </c>
    </row>
    <row r="414" spans="1:49" x14ac:dyDescent="0.55000000000000004">
      <c r="A414" s="5" t="str">
        <f>HYPERLINK("https://www.infodis.net/philips/net/Shipment/Details?InfodisNumber=5584337&amp;DomainCode=PHILIPSR1", "5584337")</f>
        <v>5584337</v>
      </c>
      <c r="B414" s="5" t="s">
        <v>1870</v>
      </c>
      <c r="C414" s="5" t="s">
        <v>607</v>
      </c>
      <c r="D414" s="5" t="s">
        <v>608</v>
      </c>
      <c r="E414" s="5" t="s">
        <v>458</v>
      </c>
      <c r="F414" s="5" t="s">
        <v>1710</v>
      </c>
      <c r="G414" s="5" t="s">
        <v>610</v>
      </c>
      <c r="H414" s="5" t="s">
        <v>180</v>
      </c>
      <c r="I414" s="5" t="s">
        <v>194</v>
      </c>
      <c r="J414" s="5" t="s">
        <v>1036</v>
      </c>
      <c r="K414" s="5" t="s">
        <v>1711</v>
      </c>
      <c r="L414" s="5" t="s">
        <v>132</v>
      </c>
      <c r="M414" s="5" t="s">
        <v>60</v>
      </c>
      <c r="N414" s="5" t="s">
        <v>1871</v>
      </c>
      <c r="O414" s="5"/>
      <c r="P414" s="5" t="s">
        <v>613</v>
      </c>
      <c r="Q414" s="5"/>
      <c r="R414" s="5" t="s">
        <v>1712</v>
      </c>
      <c r="S414" s="6">
        <v>43644</v>
      </c>
      <c r="T414" s="6">
        <v>43644</v>
      </c>
      <c r="U414" s="6">
        <v>43655</v>
      </c>
      <c r="V414" s="6">
        <v>43657</v>
      </c>
      <c r="W414" s="6">
        <v>43666</v>
      </c>
      <c r="X414" s="6">
        <v>43732</v>
      </c>
      <c r="Y414" s="5" t="s">
        <v>649</v>
      </c>
      <c r="Z414" s="5" t="s">
        <v>649</v>
      </c>
      <c r="AA414" s="5" t="s">
        <v>66</v>
      </c>
      <c r="AB414" s="5" t="s">
        <v>67</v>
      </c>
      <c r="AC414" s="5" t="s">
        <v>67</v>
      </c>
      <c r="AD414" s="5" t="s">
        <v>68</v>
      </c>
      <c r="AE414" s="5" t="s">
        <v>90</v>
      </c>
      <c r="AF414" s="5" t="s">
        <v>70</v>
      </c>
      <c r="AG414" s="5" t="s">
        <v>71</v>
      </c>
      <c r="AH414" s="5" t="s">
        <v>72</v>
      </c>
      <c r="AI414" s="5" t="s">
        <v>252</v>
      </c>
      <c r="AJ414" s="5">
        <v>0</v>
      </c>
      <c r="AK414" s="5">
        <v>0</v>
      </c>
      <c r="AL414" s="5">
        <v>0</v>
      </c>
      <c r="AM414" s="5">
        <v>0</v>
      </c>
      <c r="AN414" s="5">
        <v>18</v>
      </c>
      <c r="AO414" s="5">
        <v>4726.8900000000003</v>
      </c>
      <c r="AP414" s="5">
        <v>36.823999999999998</v>
      </c>
      <c r="AQ414" s="5" t="s">
        <v>713</v>
      </c>
      <c r="AR414" s="5" t="s">
        <v>1104</v>
      </c>
      <c r="AS414" s="5" t="s">
        <v>713</v>
      </c>
      <c r="AT414" s="6">
        <v>43790</v>
      </c>
      <c r="AU414" s="5" t="s">
        <v>1173</v>
      </c>
      <c r="AV414" s="5">
        <v>372</v>
      </c>
      <c r="AW414" s="5" t="s">
        <v>1448</v>
      </c>
    </row>
    <row r="415" spans="1:49" x14ac:dyDescent="0.55000000000000004">
      <c r="A415" s="5" t="str">
        <f>HYPERLINK("https://www.infodis.net/philips/net/Shipment/Details?InfodisNumber=4207629&amp;DomainCode=DAP", "4207629")</f>
        <v>4207629</v>
      </c>
      <c r="B415" s="5" t="s">
        <v>1872</v>
      </c>
      <c r="C415" s="5" t="s">
        <v>1594</v>
      </c>
      <c r="D415" s="5" t="s">
        <v>1595</v>
      </c>
      <c r="E415" s="5" t="s">
        <v>304</v>
      </c>
      <c r="F415" s="5" t="s">
        <v>449</v>
      </c>
      <c r="G415" s="5" t="s">
        <v>1873</v>
      </c>
      <c r="H415" s="5" t="s">
        <v>172</v>
      </c>
      <c r="I415" s="5" t="s">
        <v>1819</v>
      </c>
      <c r="J415" s="5" t="s">
        <v>451</v>
      </c>
      <c r="K415" s="5" t="s">
        <v>452</v>
      </c>
      <c r="L415" s="5" t="s">
        <v>453</v>
      </c>
      <c r="M415" s="5" t="s">
        <v>84</v>
      </c>
      <c r="N415" s="5"/>
      <c r="O415" s="5"/>
      <c r="P415" s="5" t="s">
        <v>1874</v>
      </c>
      <c r="Q415" s="5"/>
      <c r="R415" s="5" t="s">
        <v>454</v>
      </c>
      <c r="S415" s="6">
        <v>43629</v>
      </c>
      <c r="T415" s="6">
        <v>43633</v>
      </c>
      <c r="U415" s="5"/>
      <c r="V415" s="6">
        <v>43638</v>
      </c>
      <c r="W415" s="6">
        <v>43638</v>
      </c>
      <c r="X415" s="5"/>
      <c r="Y415" s="5" t="s">
        <v>65</v>
      </c>
      <c r="Z415" s="5" t="s">
        <v>65</v>
      </c>
      <c r="AA415" s="5" t="s">
        <v>65</v>
      </c>
      <c r="AB415" s="5" t="s">
        <v>67</v>
      </c>
      <c r="AC415" s="5" t="s">
        <v>67</v>
      </c>
      <c r="AD415" s="5" t="s">
        <v>67</v>
      </c>
      <c r="AE415" s="5" t="s">
        <v>69</v>
      </c>
      <c r="AF415" s="5" t="s">
        <v>70</v>
      </c>
      <c r="AG415" s="5" t="s">
        <v>71</v>
      </c>
      <c r="AH415" s="5" t="s">
        <v>72</v>
      </c>
      <c r="AI415" s="5" t="s">
        <v>73</v>
      </c>
      <c r="AJ415" s="5">
        <v>0</v>
      </c>
      <c r="AK415" s="5">
        <v>0</v>
      </c>
      <c r="AL415" s="5">
        <v>0</v>
      </c>
      <c r="AM415" s="5">
        <v>0</v>
      </c>
      <c r="AN415" s="5">
        <v>25</v>
      </c>
      <c r="AO415" s="5">
        <v>5000</v>
      </c>
      <c r="AP415" s="5">
        <v>50</v>
      </c>
      <c r="AQ415" s="5" t="s">
        <v>713</v>
      </c>
      <c r="AR415" s="5" t="s">
        <v>1104</v>
      </c>
      <c r="AS415" s="5" t="s">
        <v>713</v>
      </c>
      <c r="AT415" s="6">
        <v>43651</v>
      </c>
      <c r="AU415" s="5" t="s">
        <v>1875</v>
      </c>
      <c r="AV415" s="5">
        <v>511</v>
      </c>
      <c r="AW415" s="5" t="s">
        <v>1876</v>
      </c>
    </row>
    <row r="416" spans="1:49" x14ac:dyDescent="0.55000000000000004">
      <c r="A416" s="5" t="str">
        <f>HYPERLINK("https://www.infodis.net/philips/net/Shipment/Details?InfodisNumber=5576860&amp;DomainCode=PHILIPSR1", "5576860")</f>
        <v>5576860</v>
      </c>
      <c r="B416" s="5" t="s">
        <v>1877</v>
      </c>
      <c r="C416" s="5" t="s">
        <v>607</v>
      </c>
      <c r="D416" s="5" t="s">
        <v>608</v>
      </c>
      <c r="E416" s="5" t="s">
        <v>458</v>
      </c>
      <c r="F416" s="5" t="s">
        <v>1878</v>
      </c>
      <c r="G416" s="5" t="s">
        <v>610</v>
      </c>
      <c r="H416" s="5" t="s">
        <v>180</v>
      </c>
      <c r="I416" s="5" t="s">
        <v>652</v>
      </c>
      <c r="J416" s="5" t="s">
        <v>1071</v>
      </c>
      <c r="K416" s="5" t="s">
        <v>58</v>
      </c>
      <c r="L416" s="5" t="s">
        <v>59</v>
      </c>
      <c r="M416" s="5" t="s">
        <v>60</v>
      </c>
      <c r="N416" s="5" t="s">
        <v>1879</v>
      </c>
      <c r="O416" s="5"/>
      <c r="P416" s="5" t="s">
        <v>613</v>
      </c>
      <c r="Q416" s="5"/>
      <c r="R416" s="5" t="s">
        <v>64</v>
      </c>
      <c r="S416" s="6">
        <v>43642</v>
      </c>
      <c r="T416" s="6">
        <v>43643</v>
      </c>
      <c r="U416" s="6">
        <v>43648</v>
      </c>
      <c r="V416" s="6">
        <v>43650</v>
      </c>
      <c r="W416" s="6">
        <v>43667</v>
      </c>
      <c r="X416" s="6">
        <v>43689</v>
      </c>
      <c r="Y416" s="5" t="s">
        <v>649</v>
      </c>
      <c r="Z416" s="5" t="s">
        <v>649</v>
      </c>
      <c r="AA416" s="5" t="s">
        <v>649</v>
      </c>
      <c r="AB416" s="5" t="s">
        <v>67</v>
      </c>
      <c r="AC416" s="5" t="s">
        <v>67</v>
      </c>
      <c r="AD416" s="5" t="s">
        <v>67</v>
      </c>
      <c r="AE416" s="5" t="s">
        <v>162</v>
      </c>
      <c r="AF416" s="5" t="s">
        <v>70</v>
      </c>
      <c r="AG416" s="5" t="s">
        <v>71</v>
      </c>
      <c r="AH416" s="5" t="s">
        <v>72</v>
      </c>
      <c r="AI416" s="5" t="s">
        <v>252</v>
      </c>
      <c r="AJ416" s="5">
        <v>0</v>
      </c>
      <c r="AK416" s="5">
        <v>0</v>
      </c>
      <c r="AL416" s="5">
        <v>0</v>
      </c>
      <c r="AM416" s="5">
        <v>0</v>
      </c>
      <c r="AN416" s="5">
        <v>10</v>
      </c>
      <c r="AO416" s="5">
        <v>2544.65</v>
      </c>
      <c r="AP416" s="5">
        <v>18.878</v>
      </c>
      <c r="AQ416" s="5" t="s">
        <v>713</v>
      </c>
      <c r="AR416" s="5" t="s">
        <v>1104</v>
      </c>
      <c r="AS416" s="5" t="s">
        <v>713</v>
      </c>
      <c r="AT416" s="6">
        <v>43790</v>
      </c>
      <c r="AU416" s="5" t="s">
        <v>1173</v>
      </c>
      <c r="AV416" s="5">
        <v>372</v>
      </c>
      <c r="AW416" s="5" t="s">
        <v>1448</v>
      </c>
    </row>
    <row r="417" spans="1:49" x14ac:dyDescent="0.55000000000000004">
      <c r="A417" s="5" t="str">
        <f>HYPERLINK("https://www.infodis.net/philips/net/Shipment/Details?InfodisNumber=4204166&amp;DomainCode=DAP", "4204166")</f>
        <v>4204166</v>
      </c>
      <c r="B417" s="5" t="s">
        <v>1880</v>
      </c>
      <c r="C417" s="5" t="s">
        <v>1186</v>
      </c>
      <c r="D417" s="5" t="s">
        <v>878</v>
      </c>
      <c r="E417" s="5" t="s">
        <v>1187</v>
      </c>
      <c r="F417" s="5" t="s">
        <v>1606</v>
      </c>
      <c r="G417" s="5" t="s">
        <v>880</v>
      </c>
      <c r="H417" s="5" t="s">
        <v>881</v>
      </c>
      <c r="I417" s="5" t="s">
        <v>882</v>
      </c>
      <c r="J417" s="5" t="s">
        <v>1607</v>
      </c>
      <c r="K417" s="5" t="s">
        <v>1608</v>
      </c>
      <c r="L417" s="5" t="s">
        <v>1609</v>
      </c>
      <c r="M417" s="5" t="s">
        <v>60</v>
      </c>
      <c r="N417" s="5" t="s">
        <v>1881</v>
      </c>
      <c r="O417" s="5"/>
      <c r="P417" s="5" t="s">
        <v>888</v>
      </c>
      <c r="Q417" s="5"/>
      <c r="R417" s="5" t="s">
        <v>1611</v>
      </c>
      <c r="S417" s="6">
        <v>43627</v>
      </c>
      <c r="T417" s="6">
        <v>43627</v>
      </c>
      <c r="U417" s="6">
        <v>43634</v>
      </c>
      <c r="V417" s="6">
        <v>43637</v>
      </c>
      <c r="W417" s="6">
        <v>43639</v>
      </c>
      <c r="X417" s="6">
        <v>43669</v>
      </c>
      <c r="Y417" s="5" t="s">
        <v>1182</v>
      </c>
      <c r="Z417" s="5" t="s">
        <v>1182</v>
      </c>
      <c r="AA417" s="5" t="s">
        <v>1182</v>
      </c>
      <c r="AB417" s="5" t="s">
        <v>67</v>
      </c>
      <c r="AC417" s="5" t="s">
        <v>67</v>
      </c>
      <c r="AD417" s="5" t="s">
        <v>67</v>
      </c>
      <c r="AE417" s="5" t="s">
        <v>162</v>
      </c>
      <c r="AF417" s="5" t="s">
        <v>70</v>
      </c>
      <c r="AG417" s="5" t="s">
        <v>71</v>
      </c>
      <c r="AH417" s="5" t="s">
        <v>72</v>
      </c>
      <c r="AI417" s="5" t="s">
        <v>73</v>
      </c>
      <c r="AJ417" s="5">
        <v>0</v>
      </c>
      <c r="AK417" s="5">
        <v>0</v>
      </c>
      <c r="AL417" s="5">
        <v>0</v>
      </c>
      <c r="AM417" s="5">
        <v>0</v>
      </c>
      <c r="AN417" s="5">
        <v>12</v>
      </c>
      <c r="AO417" s="5">
        <v>2526</v>
      </c>
      <c r="AP417" s="5">
        <v>22.38</v>
      </c>
      <c r="AQ417" s="5" t="s">
        <v>713</v>
      </c>
      <c r="AR417" s="5" t="s">
        <v>1104</v>
      </c>
      <c r="AS417" s="5" t="s">
        <v>713</v>
      </c>
      <c r="AT417" s="6">
        <v>43796</v>
      </c>
      <c r="AU417" s="5" t="s">
        <v>1882</v>
      </c>
      <c r="AV417" s="5">
        <v>366</v>
      </c>
      <c r="AW417" s="5" t="s">
        <v>1883</v>
      </c>
    </row>
    <row r="418" spans="1:49" x14ac:dyDescent="0.55000000000000004">
      <c r="A418" s="5" t="str">
        <f>HYPERLINK("https://www.infodis.net/philips/net/Shipment/Details?InfodisNumber=4192678&amp;DomainCode=DAP", "4192678")</f>
        <v>4192678</v>
      </c>
      <c r="B418" s="5" t="s">
        <v>1884</v>
      </c>
      <c r="C418" s="5" t="s">
        <v>1176</v>
      </c>
      <c r="D418" s="5" t="s">
        <v>1177</v>
      </c>
      <c r="E418" s="5" t="s">
        <v>1176</v>
      </c>
      <c r="F418" s="5" t="s">
        <v>1178</v>
      </c>
      <c r="G418" s="5" t="s">
        <v>667</v>
      </c>
      <c r="H418" s="5" t="s">
        <v>79</v>
      </c>
      <c r="I418" s="5" t="s">
        <v>122</v>
      </c>
      <c r="J418" s="5" t="s">
        <v>194</v>
      </c>
      <c r="K418" s="5" t="s">
        <v>1179</v>
      </c>
      <c r="L418" s="5" t="s">
        <v>180</v>
      </c>
      <c r="M418" s="5" t="s">
        <v>84</v>
      </c>
      <c r="N418" s="5"/>
      <c r="O418" s="5"/>
      <c r="P418" s="5" t="s">
        <v>1180</v>
      </c>
      <c r="Q418" s="5"/>
      <c r="R418" s="5" t="s">
        <v>1181</v>
      </c>
      <c r="S418" s="6">
        <v>43620</v>
      </c>
      <c r="T418" s="6">
        <v>43636</v>
      </c>
      <c r="U418" s="5"/>
      <c r="V418" s="6">
        <v>43641</v>
      </c>
      <c r="W418" s="5"/>
      <c r="X418" s="5"/>
      <c r="Y418" s="5" t="s">
        <v>66</v>
      </c>
      <c r="Z418" s="5" t="s">
        <v>1182</v>
      </c>
      <c r="AA418" s="5" t="s">
        <v>1182</v>
      </c>
      <c r="AB418" s="5" t="s">
        <v>68</v>
      </c>
      <c r="AC418" s="5" t="s">
        <v>67</v>
      </c>
      <c r="AD418" s="5" t="s">
        <v>67</v>
      </c>
      <c r="AE418" s="5" t="s">
        <v>162</v>
      </c>
      <c r="AF418" s="5" t="s">
        <v>70</v>
      </c>
      <c r="AG418" s="5" t="s">
        <v>71</v>
      </c>
      <c r="AH418" s="5" t="s">
        <v>72</v>
      </c>
      <c r="AI418" s="5" t="s">
        <v>73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2332</v>
      </c>
      <c r="AP418" s="5">
        <v>18.02</v>
      </c>
      <c r="AQ418" s="5" t="s">
        <v>713</v>
      </c>
      <c r="AR418" s="5" t="s">
        <v>1104</v>
      </c>
      <c r="AS418" s="5" t="s">
        <v>713</v>
      </c>
      <c r="AT418" s="6">
        <v>43791</v>
      </c>
      <c r="AU418" s="5" t="s">
        <v>1183</v>
      </c>
      <c r="AV418" s="5">
        <v>371</v>
      </c>
      <c r="AW418" s="5" t="s">
        <v>1184</v>
      </c>
    </row>
    <row r="419" spans="1:49" x14ac:dyDescent="0.55000000000000004">
      <c r="A419" s="5" t="str">
        <f>HYPERLINK("https://www.infodis.net/philips/net/Shipment/Details?InfodisNumber=4179640&amp;DomainCode=DAP", "4179640")</f>
        <v>4179640</v>
      </c>
      <c r="B419" s="5" t="s">
        <v>1885</v>
      </c>
      <c r="C419" s="5" t="s">
        <v>1594</v>
      </c>
      <c r="D419" s="5" t="s">
        <v>1595</v>
      </c>
      <c r="E419" s="5" t="s">
        <v>304</v>
      </c>
      <c r="F419" s="5" t="s">
        <v>1886</v>
      </c>
      <c r="G419" s="5" t="s">
        <v>1733</v>
      </c>
      <c r="H419" s="5" t="s">
        <v>846</v>
      </c>
      <c r="I419" s="5" t="s">
        <v>844</v>
      </c>
      <c r="J419" s="5" t="s">
        <v>268</v>
      </c>
      <c r="K419" s="5" t="s">
        <v>394</v>
      </c>
      <c r="L419" s="5" t="s">
        <v>79</v>
      </c>
      <c r="M419" s="5" t="s">
        <v>133</v>
      </c>
      <c r="N419" s="5"/>
      <c r="O419" s="5"/>
      <c r="P419" s="5" t="s">
        <v>1734</v>
      </c>
      <c r="Q419" s="5"/>
      <c r="R419" s="5" t="s">
        <v>398</v>
      </c>
      <c r="S419" s="6">
        <v>43609</v>
      </c>
      <c r="T419" s="6">
        <v>43613</v>
      </c>
      <c r="U419" s="5"/>
      <c r="V419" s="6">
        <v>43618</v>
      </c>
      <c r="W419" s="6">
        <v>43618</v>
      </c>
      <c r="X419" s="5"/>
      <c r="Y419" s="5" t="s">
        <v>1735</v>
      </c>
      <c r="Z419" s="5" t="s">
        <v>1887</v>
      </c>
      <c r="AA419" s="5" t="s">
        <v>66</v>
      </c>
      <c r="AB419" s="5" t="s">
        <v>67</v>
      </c>
      <c r="AC419" s="5" t="s">
        <v>67</v>
      </c>
      <c r="AD419" s="5" t="s">
        <v>68</v>
      </c>
      <c r="AE419" s="5" t="s">
        <v>90</v>
      </c>
      <c r="AF419" s="5" t="s">
        <v>70</v>
      </c>
      <c r="AG419" s="5" t="s">
        <v>71</v>
      </c>
      <c r="AH419" s="5" t="s">
        <v>72</v>
      </c>
      <c r="AI419" s="5" t="s">
        <v>73</v>
      </c>
      <c r="AJ419" s="5">
        <v>0</v>
      </c>
      <c r="AK419" s="5">
        <v>0</v>
      </c>
      <c r="AL419" s="5">
        <v>0</v>
      </c>
      <c r="AM419" s="5">
        <v>0</v>
      </c>
      <c r="AN419" s="5">
        <v>29</v>
      </c>
      <c r="AO419" s="5">
        <v>5000</v>
      </c>
      <c r="AP419" s="5">
        <v>50</v>
      </c>
      <c r="AQ419" s="5" t="s">
        <v>713</v>
      </c>
      <c r="AR419" s="5" t="s">
        <v>1104</v>
      </c>
      <c r="AS419" s="5" t="s">
        <v>713</v>
      </c>
      <c r="AT419" s="6">
        <v>43670</v>
      </c>
      <c r="AU419" s="5" t="s">
        <v>1888</v>
      </c>
      <c r="AV419" s="5">
        <v>492</v>
      </c>
      <c r="AW419" s="5" t="s">
        <v>1889</v>
      </c>
    </row>
    <row r="420" spans="1:49" x14ac:dyDescent="0.55000000000000004">
      <c r="A420" s="5" t="str">
        <f>HYPERLINK("https://www.infodis.net/philips/net/Shipment/Details?InfodisNumber=4070595&amp;DomainCode=DAP", "4070595")</f>
        <v>4070595</v>
      </c>
      <c r="B420" s="5" t="s">
        <v>1890</v>
      </c>
      <c r="C420" s="5" t="s">
        <v>1804</v>
      </c>
      <c r="D420" s="5" t="s">
        <v>1805</v>
      </c>
      <c r="E420" s="5" t="s">
        <v>1804</v>
      </c>
      <c r="F420" s="5" t="s">
        <v>1824</v>
      </c>
      <c r="G420" s="5" t="s">
        <v>619</v>
      </c>
      <c r="H420" s="5" t="s">
        <v>79</v>
      </c>
      <c r="I420" s="5" t="s">
        <v>122</v>
      </c>
      <c r="J420" s="5" t="s">
        <v>1825</v>
      </c>
      <c r="K420" s="5" t="s">
        <v>1161</v>
      </c>
      <c r="L420" s="5" t="s">
        <v>881</v>
      </c>
      <c r="M420" s="5" t="s">
        <v>261</v>
      </c>
      <c r="N420" s="5" t="s">
        <v>1891</v>
      </c>
      <c r="O420" s="5"/>
      <c r="P420" s="5" t="s">
        <v>623</v>
      </c>
      <c r="Q420" s="5"/>
      <c r="R420" s="5" t="s">
        <v>888</v>
      </c>
      <c r="S420" s="6">
        <v>43536</v>
      </c>
      <c r="T420" s="6">
        <v>43546</v>
      </c>
      <c r="U420" s="6">
        <v>43545</v>
      </c>
      <c r="V420" s="6">
        <v>43557</v>
      </c>
      <c r="W420" s="6">
        <v>43555</v>
      </c>
      <c r="X420" s="6">
        <v>43584</v>
      </c>
      <c r="Y420" s="5" t="s">
        <v>1182</v>
      </c>
      <c r="Z420" s="5" t="s">
        <v>1182</v>
      </c>
      <c r="AA420" s="5" t="s">
        <v>1182</v>
      </c>
      <c r="AB420" s="5" t="s">
        <v>67</v>
      </c>
      <c r="AC420" s="5" t="s">
        <v>67</v>
      </c>
      <c r="AD420" s="5" t="s">
        <v>67</v>
      </c>
      <c r="AE420" s="5" t="s">
        <v>69</v>
      </c>
      <c r="AF420" s="5" t="s">
        <v>70</v>
      </c>
      <c r="AG420" s="5" t="s">
        <v>71</v>
      </c>
      <c r="AH420" s="5" t="s">
        <v>72</v>
      </c>
      <c r="AI420" s="5" t="s">
        <v>73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4692</v>
      </c>
      <c r="AP420" s="5">
        <v>54</v>
      </c>
      <c r="AQ420" s="5" t="s">
        <v>713</v>
      </c>
      <c r="AR420" s="5" t="s">
        <v>1104</v>
      </c>
      <c r="AS420" s="5" t="s">
        <v>713</v>
      </c>
      <c r="AT420" s="6">
        <v>43796</v>
      </c>
      <c r="AU420" s="5" t="s">
        <v>1827</v>
      </c>
      <c r="AV420" s="5">
        <v>366</v>
      </c>
      <c r="AW420" s="5" t="s">
        <v>1828</v>
      </c>
    </row>
    <row r="421" spans="1:49" x14ac:dyDescent="0.55000000000000004">
      <c r="A421" s="5" t="str">
        <f>HYPERLINK("https://www.infodis.net/philips/net/Shipment/Details?InfodisNumber=4177730&amp;DomainCode=DAP", "4177730")</f>
        <v>4177730</v>
      </c>
      <c r="B421" s="5" t="s">
        <v>1892</v>
      </c>
      <c r="C421" s="5" t="s">
        <v>1893</v>
      </c>
      <c r="D421" s="5" t="s">
        <v>608</v>
      </c>
      <c r="E421" s="5" t="s">
        <v>458</v>
      </c>
      <c r="F421" s="5" t="s">
        <v>1894</v>
      </c>
      <c r="G421" s="5" t="s">
        <v>610</v>
      </c>
      <c r="H421" s="5" t="s">
        <v>180</v>
      </c>
      <c r="I421" s="5" t="s">
        <v>1678</v>
      </c>
      <c r="J421" s="5" t="s">
        <v>1301</v>
      </c>
      <c r="K421" s="5" t="s">
        <v>1895</v>
      </c>
      <c r="L421" s="5" t="s">
        <v>1303</v>
      </c>
      <c r="M421" s="5" t="s">
        <v>385</v>
      </c>
      <c r="N421" s="5" t="s">
        <v>1896</v>
      </c>
      <c r="O421" s="5"/>
      <c r="P421" s="5" t="s">
        <v>613</v>
      </c>
      <c r="Q421" s="5"/>
      <c r="R421" s="5"/>
      <c r="S421" s="6">
        <v>43608</v>
      </c>
      <c r="T421" s="6">
        <v>43633</v>
      </c>
      <c r="U421" s="6">
        <v>43613</v>
      </c>
      <c r="V421" s="6">
        <v>43623</v>
      </c>
      <c r="W421" s="6">
        <v>43639</v>
      </c>
      <c r="X421" s="6">
        <v>43686</v>
      </c>
      <c r="Y421" s="5" t="s">
        <v>1182</v>
      </c>
      <c r="Z421" s="5" t="s">
        <v>1182</v>
      </c>
      <c r="AA421" s="5" t="s">
        <v>1182</v>
      </c>
      <c r="AB421" s="5" t="s">
        <v>67</v>
      </c>
      <c r="AC421" s="5" t="s">
        <v>67</v>
      </c>
      <c r="AD421" s="5" t="s">
        <v>67</v>
      </c>
      <c r="AE421" s="5" t="s">
        <v>162</v>
      </c>
      <c r="AF421" s="5" t="s">
        <v>70</v>
      </c>
      <c r="AG421" s="5" t="s">
        <v>71</v>
      </c>
      <c r="AH421" s="5" t="s">
        <v>72</v>
      </c>
      <c r="AI421" s="5" t="s">
        <v>73</v>
      </c>
      <c r="AJ421" s="5">
        <v>0</v>
      </c>
      <c r="AK421" s="5">
        <v>0</v>
      </c>
      <c r="AL421" s="5">
        <v>0</v>
      </c>
      <c r="AM421" s="5">
        <v>0</v>
      </c>
      <c r="AN421" s="5">
        <v>10</v>
      </c>
      <c r="AO421" s="5">
        <v>2868.97</v>
      </c>
      <c r="AP421" s="5">
        <v>22.402000000000001</v>
      </c>
      <c r="AQ421" s="5" t="s">
        <v>713</v>
      </c>
      <c r="AR421" s="5" t="s">
        <v>1104</v>
      </c>
      <c r="AS421" s="5" t="s">
        <v>713</v>
      </c>
      <c r="AT421" s="6">
        <v>43790</v>
      </c>
      <c r="AU421" s="5" t="s">
        <v>1173</v>
      </c>
      <c r="AV421" s="5">
        <v>372</v>
      </c>
      <c r="AW421" s="5" t="s">
        <v>1448</v>
      </c>
    </row>
    <row r="422" spans="1:49" x14ac:dyDescent="0.55000000000000004">
      <c r="A422" s="5" t="str">
        <f>HYPERLINK("https://www.infodis.net/philips/net/Shipment/Details?InfodisNumber=4143127&amp;DomainCode=DAP", "4143127")</f>
        <v>4143127</v>
      </c>
      <c r="B422" s="5" t="s">
        <v>1897</v>
      </c>
      <c r="C422" s="5" t="s">
        <v>1893</v>
      </c>
      <c r="D422" s="5" t="s">
        <v>608</v>
      </c>
      <c r="E422" s="5" t="s">
        <v>458</v>
      </c>
      <c r="F422" s="5" t="s">
        <v>1878</v>
      </c>
      <c r="G422" s="5" t="s">
        <v>610</v>
      </c>
      <c r="H422" s="5" t="s">
        <v>180</v>
      </c>
      <c r="I422" s="5" t="s">
        <v>652</v>
      </c>
      <c r="J422" s="5" t="s">
        <v>1071</v>
      </c>
      <c r="K422" s="5" t="s">
        <v>58</v>
      </c>
      <c r="L422" s="5" t="s">
        <v>59</v>
      </c>
      <c r="M422" s="5" t="s">
        <v>60</v>
      </c>
      <c r="N422" s="5" t="s">
        <v>1898</v>
      </c>
      <c r="O422" s="5"/>
      <c r="P422" s="5" t="s">
        <v>613</v>
      </c>
      <c r="Q422" s="5"/>
      <c r="R422" s="5" t="s">
        <v>64</v>
      </c>
      <c r="S422" s="6">
        <v>43584</v>
      </c>
      <c r="T422" s="6">
        <v>43591</v>
      </c>
      <c r="U422" s="6">
        <v>43593</v>
      </c>
      <c r="V422" s="6">
        <v>43596</v>
      </c>
      <c r="W422" s="6">
        <v>43602</v>
      </c>
      <c r="X422" s="6">
        <v>43643</v>
      </c>
      <c r="Y422" s="5" t="s">
        <v>1182</v>
      </c>
      <c r="Z422" s="5" t="s">
        <v>1182</v>
      </c>
      <c r="AA422" s="5" t="s">
        <v>1182</v>
      </c>
      <c r="AB422" s="5" t="s">
        <v>67</v>
      </c>
      <c r="AC422" s="5" t="s">
        <v>67</v>
      </c>
      <c r="AD422" s="5" t="s">
        <v>67</v>
      </c>
      <c r="AE422" s="5" t="s">
        <v>90</v>
      </c>
      <c r="AF422" s="5" t="s">
        <v>70</v>
      </c>
      <c r="AG422" s="5" t="s">
        <v>71</v>
      </c>
      <c r="AH422" s="5" t="s">
        <v>72</v>
      </c>
      <c r="AI422" s="5" t="s">
        <v>73</v>
      </c>
      <c r="AJ422" s="5">
        <v>0</v>
      </c>
      <c r="AK422" s="5">
        <v>0</v>
      </c>
      <c r="AL422" s="5">
        <v>0</v>
      </c>
      <c r="AM422" s="5">
        <v>0</v>
      </c>
      <c r="AN422" s="5">
        <v>15</v>
      </c>
      <c r="AO422" s="5">
        <v>2106.94</v>
      </c>
      <c r="AP422" s="5">
        <v>23.006</v>
      </c>
      <c r="AQ422" s="5" t="s">
        <v>713</v>
      </c>
      <c r="AR422" s="5" t="s">
        <v>1104</v>
      </c>
      <c r="AS422" s="5" t="s">
        <v>713</v>
      </c>
      <c r="AT422" s="6">
        <v>43790</v>
      </c>
      <c r="AU422" s="5" t="s">
        <v>1173</v>
      </c>
      <c r="AV422" s="5">
        <v>372</v>
      </c>
      <c r="AW422" s="5" t="s">
        <v>1448</v>
      </c>
    </row>
    <row r="423" spans="1:49" x14ac:dyDescent="0.55000000000000004">
      <c r="A423" s="5" t="str">
        <f>HYPERLINK("https://www.infodis.net/philips/net/Shipment/Details?InfodisNumber=4139282&amp;DomainCode=DAP", "4139282")</f>
        <v>4139282</v>
      </c>
      <c r="B423" s="5" t="s">
        <v>1899</v>
      </c>
      <c r="C423" s="5" t="s">
        <v>1893</v>
      </c>
      <c r="D423" s="5" t="s">
        <v>608</v>
      </c>
      <c r="E423" s="5" t="s">
        <v>458</v>
      </c>
      <c r="F423" s="5" t="s">
        <v>1464</v>
      </c>
      <c r="G423" s="5" t="s">
        <v>610</v>
      </c>
      <c r="H423" s="5" t="s">
        <v>180</v>
      </c>
      <c r="I423" s="5" t="s">
        <v>652</v>
      </c>
      <c r="J423" s="5" t="s">
        <v>1071</v>
      </c>
      <c r="K423" s="5" t="s">
        <v>1465</v>
      </c>
      <c r="L423" s="5" t="s">
        <v>59</v>
      </c>
      <c r="M423" s="5" t="s">
        <v>60</v>
      </c>
      <c r="N423" s="5" t="s">
        <v>1900</v>
      </c>
      <c r="O423" s="5"/>
      <c r="P423" s="5" t="s">
        <v>613</v>
      </c>
      <c r="Q423" s="5"/>
      <c r="R423" s="5" t="s">
        <v>1466</v>
      </c>
      <c r="S423" s="6">
        <v>43580</v>
      </c>
      <c r="T423" s="6">
        <v>43580</v>
      </c>
      <c r="U423" s="6">
        <v>43587</v>
      </c>
      <c r="V423" s="6">
        <v>43590</v>
      </c>
      <c r="W423" s="6">
        <v>43602</v>
      </c>
      <c r="X423" s="6">
        <v>43647</v>
      </c>
      <c r="Y423" s="5" t="s">
        <v>1182</v>
      </c>
      <c r="Z423" s="5" t="s">
        <v>1182</v>
      </c>
      <c r="AA423" s="5" t="s">
        <v>1182</v>
      </c>
      <c r="AB423" s="5" t="s">
        <v>67</v>
      </c>
      <c r="AC423" s="5" t="s">
        <v>67</v>
      </c>
      <c r="AD423" s="5" t="s">
        <v>67</v>
      </c>
      <c r="AE423" s="5" t="s">
        <v>162</v>
      </c>
      <c r="AF423" s="5" t="s">
        <v>70</v>
      </c>
      <c r="AG423" s="5" t="s">
        <v>71</v>
      </c>
      <c r="AH423" s="5" t="s">
        <v>72</v>
      </c>
      <c r="AI423" s="5" t="s">
        <v>73</v>
      </c>
      <c r="AJ423" s="5">
        <v>0</v>
      </c>
      <c r="AK423" s="5">
        <v>0</v>
      </c>
      <c r="AL423" s="5">
        <v>0</v>
      </c>
      <c r="AM423" s="5">
        <v>0</v>
      </c>
      <c r="AN423" s="5">
        <v>9</v>
      </c>
      <c r="AO423" s="5">
        <v>2487.0500000000002</v>
      </c>
      <c r="AP423" s="5">
        <v>18.802</v>
      </c>
      <c r="AQ423" s="5" t="s">
        <v>713</v>
      </c>
      <c r="AR423" s="5" t="s">
        <v>1104</v>
      </c>
      <c r="AS423" s="5" t="s">
        <v>713</v>
      </c>
      <c r="AT423" s="6">
        <v>43790</v>
      </c>
      <c r="AU423" s="5" t="s">
        <v>1173</v>
      </c>
      <c r="AV423" s="5">
        <v>372</v>
      </c>
      <c r="AW423" s="5" t="s">
        <v>1448</v>
      </c>
    </row>
    <row r="424" spans="1:49" x14ac:dyDescent="0.55000000000000004">
      <c r="A424" s="5" t="str">
        <f>HYPERLINK("https://www.infodis.net/philips/net/Shipment/Details?InfodisNumber=4136759&amp;DomainCode=DAP", "4136759")</f>
        <v>4136759</v>
      </c>
      <c r="B424" s="5" t="s">
        <v>1901</v>
      </c>
      <c r="C424" s="5" t="s">
        <v>1893</v>
      </c>
      <c r="D424" s="5" t="s">
        <v>608</v>
      </c>
      <c r="E424" s="5" t="s">
        <v>458</v>
      </c>
      <c r="F424" s="5" t="s">
        <v>1543</v>
      </c>
      <c r="G424" s="5" t="s">
        <v>610</v>
      </c>
      <c r="H424" s="5" t="s">
        <v>180</v>
      </c>
      <c r="I424" s="5" t="s">
        <v>652</v>
      </c>
      <c r="J424" s="5" t="s">
        <v>1071</v>
      </c>
      <c r="K424" s="5" t="s">
        <v>58</v>
      </c>
      <c r="L424" s="5" t="s">
        <v>59</v>
      </c>
      <c r="M424" s="5" t="s">
        <v>60</v>
      </c>
      <c r="N424" s="5" t="s">
        <v>1902</v>
      </c>
      <c r="O424" s="5"/>
      <c r="P424" s="5" t="s">
        <v>613</v>
      </c>
      <c r="Q424" s="5"/>
      <c r="R424" s="5" t="s">
        <v>1544</v>
      </c>
      <c r="S424" s="6">
        <v>43579</v>
      </c>
      <c r="T424" s="6">
        <v>43594</v>
      </c>
      <c r="U424" s="6">
        <v>43593</v>
      </c>
      <c r="V424" s="6">
        <v>43596</v>
      </c>
      <c r="W424" s="6">
        <v>43602</v>
      </c>
      <c r="X424" s="6">
        <v>43647</v>
      </c>
      <c r="Y424" s="5" t="s">
        <v>1182</v>
      </c>
      <c r="Z424" s="5" t="s">
        <v>1182</v>
      </c>
      <c r="AA424" s="5" t="s">
        <v>1182</v>
      </c>
      <c r="AB424" s="5" t="s">
        <v>67</v>
      </c>
      <c r="AC424" s="5" t="s">
        <v>67</v>
      </c>
      <c r="AD424" s="5" t="s">
        <v>67</v>
      </c>
      <c r="AE424" s="5" t="s">
        <v>162</v>
      </c>
      <c r="AF424" s="5" t="s">
        <v>70</v>
      </c>
      <c r="AG424" s="5" t="s">
        <v>71</v>
      </c>
      <c r="AH424" s="5" t="s">
        <v>72</v>
      </c>
      <c r="AI424" s="5" t="s">
        <v>73</v>
      </c>
      <c r="AJ424" s="5">
        <v>0</v>
      </c>
      <c r="AK424" s="5">
        <v>0</v>
      </c>
      <c r="AL424" s="5">
        <v>0</v>
      </c>
      <c r="AM424" s="5">
        <v>0</v>
      </c>
      <c r="AN424" s="5">
        <v>9</v>
      </c>
      <c r="AO424" s="5">
        <v>1688.72</v>
      </c>
      <c r="AP424" s="5">
        <v>13.315</v>
      </c>
      <c r="AQ424" s="5" t="s">
        <v>713</v>
      </c>
      <c r="AR424" s="5" t="s">
        <v>1104</v>
      </c>
      <c r="AS424" s="5" t="s">
        <v>713</v>
      </c>
      <c r="AT424" s="6">
        <v>43790</v>
      </c>
      <c r="AU424" s="5" t="s">
        <v>1173</v>
      </c>
      <c r="AV424" s="5">
        <v>372</v>
      </c>
      <c r="AW424" s="5" t="s">
        <v>1448</v>
      </c>
    </row>
    <row r="425" spans="1:49" x14ac:dyDescent="0.55000000000000004">
      <c r="A425" s="5" t="str">
        <f>HYPERLINK("https://www.infodis.net/philips/net/Shipment/Details?InfodisNumber=4132606&amp;DomainCode=DAP", "4132606")</f>
        <v>4132606</v>
      </c>
      <c r="B425" s="5" t="s">
        <v>1903</v>
      </c>
      <c r="C425" s="5" t="s">
        <v>1893</v>
      </c>
      <c r="D425" s="5" t="s">
        <v>608</v>
      </c>
      <c r="E425" s="5" t="s">
        <v>458</v>
      </c>
      <c r="F425" s="5" t="s">
        <v>1677</v>
      </c>
      <c r="G425" s="5" t="s">
        <v>610</v>
      </c>
      <c r="H425" s="5" t="s">
        <v>180</v>
      </c>
      <c r="I425" s="5" t="s">
        <v>1678</v>
      </c>
      <c r="J425" s="5" t="s">
        <v>382</v>
      </c>
      <c r="K425" s="5" t="s">
        <v>1679</v>
      </c>
      <c r="L425" s="5" t="s">
        <v>384</v>
      </c>
      <c r="M425" s="5" t="s">
        <v>60</v>
      </c>
      <c r="N425" s="5" t="s">
        <v>1904</v>
      </c>
      <c r="O425" s="5"/>
      <c r="P425" s="5" t="s">
        <v>613</v>
      </c>
      <c r="Q425" s="5"/>
      <c r="R425" s="5" t="s">
        <v>1680</v>
      </c>
      <c r="S425" s="6">
        <v>43577</v>
      </c>
      <c r="T425" s="6">
        <v>43581</v>
      </c>
      <c r="U425" s="6">
        <v>43605</v>
      </c>
      <c r="V425" s="6">
        <v>43607</v>
      </c>
      <c r="W425" s="6">
        <v>43610</v>
      </c>
      <c r="X425" s="6">
        <v>43636</v>
      </c>
      <c r="Y425" s="5" t="s">
        <v>1182</v>
      </c>
      <c r="Z425" s="5" t="s">
        <v>1182</v>
      </c>
      <c r="AA425" s="5" t="s">
        <v>1182</v>
      </c>
      <c r="AB425" s="5" t="s">
        <v>67</v>
      </c>
      <c r="AC425" s="5" t="s">
        <v>67</v>
      </c>
      <c r="AD425" s="5" t="s">
        <v>67</v>
      </c>
      <c r="AE425" s="5" t="s">
        <v>90</v>
      </c>
      <c r="AF425" s="5" t="s">
        <v>70</v>
      </c>
      <c r="AG425" s="5" t="s">
        <v>71</v>
      </c>
      <c r="AH425" s="5" t="s">
        <v>72</v>
      </c>
      <c r="AI425" s="5" t="s">
        <v>73</v>
      </c>
      <c r="AJ425" s="5">
        <v>0</v>
      </c>
      <c r="AK425" s="5">
        <v>0</v>
      </c>
      <c r="AL425" s="5">
        <v>0</v>
      </c>
      <c r="AM425" s="5">
        <v>0</v>
      </c>
      <c r="AN425" s="5">
        <v>18</v>
      </c>
      <c r="AO425" s="5">
        <v>4799.91</v>
      </c>
      <c r="AP425" s="5">
        <v>35.39</v>
      </c>
      <c r="AQ425" s="5" t="s">
        <v>713</v>
      </c>
      <c r="AR425" s="5" t="s">
        <v>1104</v>
      </c>
      <c r="AS425" s="5" t="s">
        <v>713</v>
      </c>
      <c r="AT425" s="6">
        <v>43790</v>
      </c>
      <c r="AU425" s="5" t="s">
        <v>1173</v>
      </c>
      <c r="AV425" s="5">
        <v>372</v>
      </c>
      <c r="AW425" s="5" t="s">
        <v>1448</v>
      </c>
    </row>
    <row r="426" spans="1:49" x14ac:dyDescent="0.55000000000000004">
      <c r="A426" s="5" t="str">
        <f>HYPERLINK("https://www.infodis.net/philips/net/Shipment/Details?InfodisNumber=4122135&amp;DomainCode=DAP", "4122135")</f>
        <v>4122135</v>
      </c>
      <c r="B426" s="5" t="s">
        <v>1905</v>
      </c>
      <c r="C426" s="5" t="s">
        <v>1486</v>
      </c>
      <c r="D426" s="5" t="s">
        <v>1487</v>
      </c>
      <c r="E426" s="5" t="s">
        <v>1906</v>
      </c>
      <c r="F426" s="5" t="s">
        <v>1837</v>
      </c>
      <c r="G426" s="5" t="s">
        <v>855</v>
      </c>
      <c r="H426" s="5" t="s">
        <v>267</v>
      </c>
      <c r="I426" s="5" t="s">
        <v>268</v>
      </c>
      <c r="J426" s="5" t="s">
        <v>194</v>
      </c>
      <c r="K426" s="5" t="s">
        <v>1838</v>
      </c>
      <c r="L426" s="5" t="s">
        <v>180</v>
      </c>
      <c r="M426" s="5" t="s">
        <v>261</v>
      </c>
      <c r="N426" s="5"/>
      <c r="O426" s="5"/>
      <c r="P426" s="5" t="s">
        <v>1839</v>
      </c>
      <c r="Q426" s="5"/>
      <c r="R426" s="5" t="s">
        <v>1840</v>
      </c>
      <c r="S426" s="6">
        <v>43570</v>
      </c>
      <c r="T426" s="6">
        <v>43573</v>
      </c>
      <c r="U426" s="6">
        <v>43573</v>
      </c>
      <c r="V426" s="6">
        <v>43584</v>
      </c>
      <c r="W426" s="6">
        <v>43584</v>
      </c>
      <c r="X426" s="6">
        <v>43616</v>
      </c>
      <c r="Y426" s="5" t="s">
        <v>1182</v>
      </c>
      <c r="Z426" s="5" t="s">
        <v>1182</v>
      </c>
      <c r="AA426" s="5" t="s">
        <v>1182</v>
      </c>
      <c r="AB426" s="5" t="s">
        <v>67</v>
      </c>
      <c r="AC426" s="5" t="s">
        <v>67</v>
      </c>
      <c r="AD426" s="5" t="s">
        <v>67</v>
      </c>
      <c r="AE426" s="5" t="s">
        <v>162</v>
      </c>
      <c r="AF426" s="5" t="s">
        <v>70</v>
      </c>
      <c r="AG426" s="5" t="s">
        <v>71</v>
      </c>
      <c r="AH426" s="5" t="s">
        <v>72</v>
      </c>
      <c r="AI426" s="5" t="s">
        <v>73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2820</v>
      </c>
      <c r="AP426" s="5">
        <v>19.399999999999999</v>
      </c>
      <c r="AQ426" s="5" t="s">
        <v>713</v>
      </c>
      <c r="AR426" s="5" t="s">
        <v>1104</v>
      </c>
      <c r="AS426" s="5"/>
      <c r="AT426" s="5"/>
      <c r="AU426" s="5"/>
      <c r="AV426" s="5">
        <v>-1</v>
      </c>
      <c r="AW426" s="5" t="s">
        <v>1462</v>
      </c>
    </row>
    <row r="427" spans="1:49" x14ac:dyDescent="0.55000000000000004">
      <c r="A427" s="5" t="str">
        <f>HYPERLINK("https://www.infodis.net/philips/net/Shipment/Details?InfodisNumber=4118409&amp;DomainCode=DAP", "4118409")</f>
        <v>4118409</v>
      </c>
      <c r="B427" s="5" t="s">
        <v>1907</v>
      </c>
      <c r="C427" s="5" t="s">
        <v>1893</v>
      </c>
      <c r="D427" s="5" t="s">
        <v>608</v>
      </c>
      <c r="E427" s="5" t="s">
        <v>458</v>
      </c>
      <c r="F427" s="5" t="s">
        <v>1627</v>
      </c>
      <c r="G427" s="5" t="s">
        <v>610</v>
      </c>
      <c r="H427" s="5" t="s">
        <v>180</v>
      </c>
      <c r="I427" s="5" t="s">
        <v>547</v>
      </c>
      <c r="J427" s="5" t="s">
        <v>1628</v>
      </c>
      <c r="K427" s="5" t="s">
        <v>1629</v>
      </c>
      <c r="L427" s="5" t="s">
        <v>207</v>
      </c>
      <c r="M427" s="5" t="s">
        <v>60</v>
      </c>
      <c r="N427" s="5" t="s">
        <v>1908</v>
      </c>
      <c r="O427" s="5"/>
      <c r="P427" s="5" t="s">
        <v>613</v>
      </c>
      <c r="Q427" s="5"/>
      <c r="R427" s="5" t="s">
        <v>1631</v>
      </c>
      <c r="S427" s="6">
        <v>43566</v>
      </c>
      <c r="T427" s="6">
        <v>43571</v>
      </c>
      <c r="U427" s="6">
        <v>43578</v>
      </c>
      <c r="V427" s="6">
        <v>43580</v>
      </c>
      <c r="W427" s="6">
        <v>43591</v>
      </c>
      <c r="X427" s="6">
        <v>43628</v>
      </c>
      <c r="Y427" s="5" t="s">
        <v>1182</v>
      </c>
      <c r="Z427" s="5" t="s">
        <v>1182</v>
      </c>
      <c r="AA427" s="5" t="s">
        <v>1182</v>
      </c>
      <c r="AB427" s="5" t="s">
        <v>67</v>
      </c>
      <c r="AC427" s="5" t="s">
        <v>67</v>
      </c>
      <c r="AD427" s="5" t="s">
        <v>67</v>
      </c>
      <c r="AE427" s="5" t="s">
        <v>90</v>
      </c>
      <c r="AF427" s="5" t="s">
        <v>70</v>
      </c>
      <c r="AG427" s="5" t="s">
        <v>71</v>
      </c>
      <c r="AH427" s="5" t="s">
        <v>72</v>
      </c>
      <c r="AI427" s="5" t="s">
        <v>73</v>
      </c>
      <c r="AJ427" s="5">
        <v>0</v>
      </c>
      <c r="AK427" s="5">
        <v>0</v>
      </c>
      <c r="AL427" s="5">
        <v>0</v>
      </c>
      <c r="AM427" s="5">
        <v>0</v>
      </c>
      <c r="AN427" s="5">
        <v>20</v>
      </c>
      <c r="AO427" s="5">
        <v>3649.6</v>
      </c>
      <c r="AP427" s="5">
        <v>31.614000000000001</v>
      </c>
      <c r="AQ427" s="5" t="s">
        <v>713</v>
      </c>
      <c r="AR427" s="5" t="s">
        <v>1104</v>
      </c>
      <c r="AS427" s="5" t="s">
        <v>713</v>
      </c>
      <c r="AT427" s="6">
        <v>43790</v>
      </c>
      <c r="AU427" s="5" t="s">
        <v>1173</v>
      </c>
      <c r="AV427" s="5">
        <v>372</v>
      </c>
      <c r="AW427" s="5" t="s">
        <v>1448</v>
      </c>
    </row>
    <row r="428" spans="1:49" x14ac:dyDescent="0.55000000000000004">
      <c r="A428" s="5" t="str">
        <f>HYPERLINK("https://www.infodis.net/philips/net/Shipment/Details?InfodisNumber=4083244&amp;DomainCode=DAP", "4083244")</f>
        <v>4083244</v>
      </c>
      <c r="B428" s="5" t="s">
        <v>1909</v>
      </c>
      <c r="C428" s="5" t="s">
        <v>1176</v>
      </c>
      <c r="D428" s="5" t="s">
        <v>1177</v>
      </c>
      <c r="E428" s="5" t="s">
        <v>1176</v>
      </c>
      <c r="F428" s="5" t="s">
        <v>1178</v>
      </c>
      <c r="G428" s="5" t="s">
        <v>667</v>
      </c>
      <c r="H428" s="5" t="s">
        <v>79</v>
      </c>
      <c r="I428" s="5" t="s">
        <v>122</v>
      </c>
      <c r="J428" s="5" t="s">
        <v>194</v>
      </c>
      <c r="K428" s="5" t="s">
        <v>1179</v>
      </c>
      <c r="L428" s="5" t="s">
        <v>180</v>
      </c>
      <c r="M428" s="5" t="s">
        <v>84</v>
      </c>
      <c r="N428" s="5" t="s">
        <v>1810</v>
      </c>
      <c r="O428" s="5" t="s">
        <v>1910</v>
      </c>
      <c r="P428" s="5" t="s">
        <v>1180</v>
      </c>
      <c r="Q428" s="5"/>
      <c r="R428" s="5" t="s">
        <v>1181</v>
      </c>
      <c r="S428" s="6">
        <v>43544</v>
      </c>
      <c r="T428" s="6">
        <v>43588</v>
      </c>
      <c r="U428" s="5"/>
      <c r="V428" s="6">
        <v>43593</v>
      </c>
      <c r="W428" s="5"/>
      <c r="X428" s="5"/>
      <c r="Y428" s="5" t="s">
        <v>66</v>
      </c>
      <c r="Z428" s="5" t="s">
        <v>1182</v>
      </c>
      <c r="AA428" s="5" t="s">
        <v>1182</v>
      </c>
      <c r="AB428" s="5" t="s">
        <v>67</v>
      </c>
      <c r="AC428" s="5" t="s">
        <v>67</v>
      </c>
      <c r="AD428" s="5" t="s">
        <v>67</v>
      </c>
      <c r="AE428" s="5" t="s">
        <v>162</v>
      </c>
      <c r="AF428" s="5" t="s">
        <v>70</v>
      </c>
      <c r="AG428" s="5" t="s">
        <v>71</v>
      </c>
      <c r="AH428" s="5" t="s">
        <v>72</v>
      </c>
      <c r="AI428" s="5" t="s">
        <v>73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2332</v>
      </c>
      <c r="AP428" s="5">
        <v>18.02</v>
      </c>
      <c r="AQ428" s="5" t="s">
        <v>713</v>
      </c>
      <c r="AR428" s="5" t="s">
        <v>1104</v>
      </c>
      <c r="AS428" s="5" t="s">
        <v>713</v>
      </c>
      <c r="AT428" s="6">
        <v>43791</v>
      </c>
      <c r="AU428" s="5" t="s">
        <v>1183</v>
      </c>
      <c r="AV428" s="5">
        <v>371</v>
      </c>
      <c r="AW428" s="5" t="s">
        <v>1184</v>
      </c>
    </row>
    <row r="429" spans="1:49" x14ac:dyDescent="0.55000000000000004">
      <c r="A429" s="5" t="str">
        <f>HYPERLINK("https://www.infodis.net/philips/net/Shipment/Details?InfodisNumber=4145875&amp;DomainCode=DAP", "4145875")</f>
        <v>4145875</v>
      </c>
      <c r="B429" s="5" t="s">
        <v>1911</v>
      </c>
      <c r="C429" s="5" t="s">
        <v>1186</v>
      </c>
      <c r="D429" s="5" t="s">
        <v>878</v>
      </c>
      <c r="E429" s="5" t="s">
        <v>1186</v>
      </c>
      <c r="F429" s="5" t="s">
        <v>1912</v>
      </c>
      <c r="G429" s="5" t="s">
        <v>880</v>
      </c>
      <c r="H429" s="5" t="s">
        <v>881</v>
      </c>
      <c r="I429" s="5" t="s">
        <v>917</v>
      </c>
      <c r="J429" s="5" t="s">
        <v>1913</v>
      </c>
      <c r="K429" s="5" t="s">
        <v>1914</v>
      </c>
      <c r="L429" s="5" t="s">
        <v>1915</v>
      </c>
      <c r="M429" s="5" t="s">
        <v>385</v>
      </c>
      <c r="N429" s="5" t="s">
        <v>1916</v>
      </c>
      <c r="O429" s="5"/>
      <c r="P429" s="5" t="s">
        <v>888</v>
      </c>
      <c r="Q429" s="5"/>
      <c r="R429" s="5" t="s">
        <v>1917</v>
      </c>
      <c r="S429" s="6">
        <v>43586</v>
      </c>
      <c r="T429" s="6">
        <v>43579</v>
      </c>
      <c r="U429" s="6">
        <v>43579</v>
      </c>
      <c r="V429" s="6">
        <v>43590</v>
      </c>
      <c r="W429" s="6">
        <v>43594</v>
      </c>
      <c r="X429" s="6">
        <v>43615</v>
      </c>
      <c r="Y429" s="5" t="s">
        <v>1182</v>
      </c>
      <c r="Z429" s="5" t="s">
        <v>1182</v>
      </c>
      <c r="AA429" s="5" t="s">
        <v>1182</v>
      </c>
      <c r="AB429" s="5" t="s">
        <v>67</v>
      </c>
      <c r="AC429" s="5" t="s">
        <v>67</v>
      </c>
      <c r="AD429" s="5" t="s">
        <v>67</v>
      </c>
      <c r="AE429" s="5" t="s">
        <v>90</v>
      </c>
      <c r="AF429" s="5" t="s">
        <v>70</v>
      </c>
      <c r="AG429" s="5" t="s">
        <v>71</v>
      </c>
      <c r="AH429" s="5" t="s">
        <v>72</v>
      </c>
      <c r="AI429" s="5" t="s">
        <v>73</v>
      </c>
      <c r="AJ429" s="5">
        <v>0</v>
      </c>
      <c r="AK429" s="5">
        <v>0</v>
      </c>
      <c r="AL429" s="5">
        <v>0</v>
      </c>
      <c r="AM429" s="5">
        <v>0</v>
      </c>
      <c r="AN429" s="5">
        <v>19</v>
      </c>
      <c r="AO429" s="5">
        <v>7961</v>
      </c>
      <c r="AP429" s="5">
        <v>28.86</v>
      </c>
      <c r="AQ429" s="5" t="s">
        <v>713</v>
      </c>
      <c r="AR429" s="5" t="s">
        <v>1104</v>
      </c>
      <c r="AS429" s="5" t="s">
        <v>713</v>
      </c>
      <c r="AT429" s="6">
        <v>43798</v>
      </c>
      <c r="AU429" s="5" t="s">
        <v>1918</v>
      </c>
      <c r="AV429" s="5">
        <v>364</v>
      </c>
      <c r="AW429" s="5" t="s">
        <v>1919</v>
      </c>
    </row>
    <row r="430" spans="1:49" x14ac:dyDescent="0.55000000000000004">
      <c r="A430" s="5" t="str">
        <f>HYPERLINK("https://www.infodis.net/philips/net/Shipment/Details?InfodisNumber=4229720&amp;DomainCode=DAP", "4229720")</f>
        <v>4229720</v>
      </c>
      <c r="B430" s="5" t="s">
        <v>1920</v>
      </c>
      <c r="C430" s="5" t="s">
        <v>1921</v>
      </c>
      <c r="D430" s="5" t="s">
        <v>1922</v>
      </c>
      <c r="E430" s="5" t="s">
        <v>304</v>
      </c>
      <c r="F430" s="5" t="s">
        <v>191</v>
      </c>
      <c r="G430" s="5" t="s">
        <v>760</v>
      </c>
      <c r="H430" s="5" t="s">
        <v>260</v>
      </c>
      <c r="I430" s="5" t="s">
        <v>786</v>
      </c>
      <c r="J430" s="5" t="s">
        <v>547</v>
      </c>
      <c r="K430" s="5" t="s">
        <v>308</v>
      </c>
      <c r="L430" s="5" t="s">
        <v>180</v>
      </c>
      <c r="M430" s="5" t="s">
        <v>60</v>
      </c>
      <c r="N430" s="5"/>
      <c r="O430" s="5"/>
      <c r="P430" s="5" t="s">
        <v>761</v>
      </c>
      <c r="Q430" s="5"/>
      <c r="R430" s="5" t="s">
        <v>313</v>
      </c>
      <c r="S430" s="6">
        <v>43649</v>
      </c>
      <c r="T430" s="6">
        <v>43654</v>
      </c>
      <c r="U430" s="6">
        <v>43654</v>
      </c>
      <c r="V430" s="6">
        <v>43659</v>
      </c>
      <c r="W430" s="5"/>
      <c r="X430" s="5"/>
      <c r="Y430" s="5" t="s">
        <v>940</v>
      </c>
      <c r="Z430" s="5" t="s">
        <v>940</v>
      </c>
      <c r="AA430" s="5" t="s">
        <v>198</v>
      </c>
      <c r="AB430" s="5" t="s">
        <v>67</v>
      </c>
      <c r="AC430" s="5" t="s">
        <v>67</v>
      </c>
      <c r="AD430" s="5" t="s">
        <v>67</v>
      </c>
      <c r="AE430" s="5"/>
      <c r="AF430" s="5" t="s">
        <v>70</v>
      </c>
      <c r="AG430" s="5" t="s">
        <v>71</v>
      </c>
      <c r="AH430" s="5" t="s">
        <v>199</v>
      </c>
      <c r="AI430" s="5" t="s">
        <v>73</v>
      </c>
      <c r="AJ430" s="5">
        <v>0</v>
      </c>
      <c r="AK430" s="5">
        <v>0</v>
      </c>
      <c r="AL430" s="5">
        <v>0</v>
      </c>
      <c r="AM430" s="5">
        <v>0</v>
      </c>
      <c r="AN430" s="5">
        <v>2</v>
      </c>
      <c r="AO430" s="5">
        <v>190</v>
      </c>
      <c r="AP430" s="5">
        <v>1.2210000000000001</v>
      </c>
      <c r="AQ430" s="5" t="s">
        <v>713</v>
      </c>
      <c r="AR430" s="5" t="s">
        <v>1104</v>
      </c>
      <c r="AS430" s="5"/>
      <c r="AT430" s="5"/>
      <c r="AU430" s="5"/>
      <c r="AV430" s="5">
        <v>-1</v>
      </c>
      <c r="AW430" s="5" t="s">
        <v>1498</v>
      </c>
    </row>
    <row r="431" spans="1:49" x14ac:dyDescent="0.55000000000000004">
      <c r="A431" s="5" t="str">
        <f>HYPERLINK("https://www.infodis.net/philips/net/Shipment/Details?InfodisNumber=3993162&amp;DomainCode=DAP", "3993162")</f>
        <v>3993162</v>
      </c>
      <c r="B431" s="5" t="s">
        <v>1923</v>
      </c>
      <c r="C431" s="5" t="s">
        <v>1857</v>
      </c>
      <c r="D431" s="5" t="s">
        <v>1858</v>
      </c>
      <c r="E431" s="5" t="s">
        <v>1857</v>
      </c>
      <c r="F431" s="5" t="s">
        <v>1859</v>
      </c>
      <c r="G431" s="5" t="s">
        <v>266</v>
      </c>
      <c r="H431" s="5" t="s">
        <v>267</v>
      </c>
      <c r="I431" s="5" t="s">
        <v>268</v>
      </c>
      <c r="J431" s="5" t="s">
        <v>547</v>
      </c>
      <c r="K431" s="5" t="s">
        <v>620</v>
      </c>
      <c r="L431" s="5" t="s">
        <v>180</v>
      </c>
      <c r="M431" s="5" t="s">
        <v>261</v>
      </c>
      <c r="N431" s="5" t="s">
        <v>1924</v>
      </c>
      <c r="O431" s="5"/>
      <c r="P431" s="5" t="s">
        <v>1000</v>
      </c>
      <c r="Q431" s="5"/>
      <c r="R431" s="5" t="s">
        <v>613</v>
      </c>
      <c r="S431" s="6">
        <v>43486</v>
      </c>
      <c r="T431" s="6">
        <v>43472</v>
      </c>
      <c r="U431" s="6">
        <v>43472</v>
      </c>
      <c r="V431" s="6">
        <v>43477</v>
      </c>
      <c r="W431" s="6">
        <v>43479</v>
      </c>
      <c r="X431" s="6">
        <v>43522</v>
      </c>
      <c r="Y431" s="5" t="s">
        <v>66</v>
      </c>
      <c r="Z431" s="5" t="s">
        <v>1182</v>
      </c>
      <c r="AA431" s="5" t="s">
        <v>1182</v>
      </c>
      <c r="AB431" s="5" t="s">
        <v>68</v>
      </c>
      <c r="AC431" s="5" t="s">
        <v>67</v>
      </c>
      <c r="AD431" s="5" t="s">
        <v>67</v>
      </c>
      <c r="AE431" s="5" t="s">
        <v>69</v>
      </c>
      <c r="AF431" s="5" t="s">
        <v>70</v>
      </c>
      <c r="AG431" s="5" t="s">
        <v>71</v>
      </c>
      <c r="AH431" s="5" t="s">
        <v>72</v>
      </c>
      <c r="AI431" s="5" t="s">
        <v>73</v>
      </c>
      <c r="AJ431" s="5">
        <v>0</v>
      </c>
      <c r="AK431" s="5">
        <v>0</v>
      </c>
      <c r="AL431" s="5">
        <v>0</v>
      </c>
      <c r="AM431" s="5">
        <v>0</v>
      </c>
      <c r="AN431" s="5">
        <v>3</v>
      </c>
      <c r="AO431" s="5">
        <v>686</v>
      </c>
      <c r="AP431" s="5">
        <v>7.19</v>
      </c>
      <c r="AQ431" s="5" t="s">
        <v>713</v>
      </c>
      <c r="AR431" s="5" t="s">
        <v>1104</v>
      </c>
      <c r="AS431" s="5"/>
      <c r="AT431" s="5"/>
      <c r="AU431" s="5"/>
      <c r="AV431" s="5">
        <v>-1</v>
      </c>
      <c r="AW431" s="5" t="s">
        <v>1462</v>
      </c>
    </row>
    <row r="432" spans="1:49" x14ac:dyDescent="0.55000000000000004">
      <c r="A432" s="5" t="str">
        <f>HYPERLINK("https://www.infodis.net/philips/net/Shipment/Details?InfodisNumber=3980370&amp;DomainCode=DAP", "3980370")</f>
        <v>3980370</v>
      </c>
      <c r="B432" s="5" t="s">
        <v>1925</v>
      </c>
      <c r="C432" s="5" t="s">
        <v>1486</v>
      </c>
      <c r="D432" s="5" t="s">
        <v>1487</v>
      </c>
      <c r="E432" s="5" t="s">
        <v>1486</v>
      </c>
      <c r="F432" s="5" t="s">
        <v>1926</v>
      </c>
      <c r="G432" s="5" t="s">
        <v>292</v>
      </c>
      <c r="H432" s="5" t="s">
        <v>207</v>
      </c>
      <c r="I432" s="5" t="s">
        <v>1927</v>
      </c>
      <c r="J432" s="5" t="s">
        <v>268</v>
      </c>
      <c r="K432" s="5" t="s">
        <v>1452</v>
      </c>
      <c r="L432" s="5" t="s">
        <v>267</v>
      </c>
      <c r="M432" s="5" t="s">
        <v>1489</v>
      </c>
      <c r="N432" s="5"/>
      <c r="O432" s="5"/>
      <c r="P432" s="5" t="s">
        <v>299</v>
      </c>
      <c r="Q432" s="5"/>
      <c r="R432" s="5" t="s">
        <v>268</v>
      </c>
      <c r="S432" s="6">
        <v>43476</v>
      </c>
      <c r="T432" s="6">
        <v>43479</v>
      </c>
      <c r="U432" s="6">
        <v>43484</v>
      </c>
      <c r="V432" s="6">
        <v>43489</v>
      </c>
      <c r="W432" s="6">
        <v>43488</v>
      </c>
      <c r="X432" s="6">
        <v>43495</v>
      </c>
      <c r="Y432" s="5" t="s">
        <v>1182</v>
      </c>
      <c r="Z432" s="5" t="s">
        <v>1182</v>
      </c>
      <c r="AA432" s="5" t="s">
        <v>1182</v>
      </c>
      <c r="AB432" s="5" t="s">
        <v>67</v>
      </c>
      <c r="AC432" s="5" t="s">
        <v>67</v>
      </c>
      <c r="AD432" s="5" t="s">
        <v>67</v>
      </c>
      <c r="AE432" s="5" t="s">
        <v>90</v>
      </c>
      <c r="AF432" s="5" t="s">
        <v>70</v>
      </c>
      <c r="AG432" s="5" t="s">
        <v>71</v>
      </c>
      <c r="AH432" s="5" t="s">
        <v>72</v>
      </c>
      <c r="AI432" s="5" t="s">
        <v>73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10460.16</v>
      </c>
      <c r="AP432" s="5">
        <v>112.9</v>
      </c>
      <c r="AQ432" s="5" t="s">
        <v>713</v>
      </c>
      <c r="AR432" s="5" t="s">
        <v>1104</v>
      </c>
      <c r="AS432" s="5" t="s">
        <v>713</v>
      </c>
      <c r="AT432" s="6">
        <v>43803</v>
      </c>
      <c r="AU432" s="5" t="s">
        <v>1928</v>
      </c>
      <c r="AV432" s="5">
        <v>359</v>
      </c>
      <c r="AW432" s="5" t="s">
        <v>1929</v>
      </c>
    </row>
    <row r="433" spans="1:49" x14ac:dyDescent="0.55000000000000004">
      <c r="A433" s="5" t="str">
        <f>HYPERLINK("https://www.infodis.net/philips/net/Shipment/Details?InfodisNumber=4559118&amp;DomainCode=DAP", "4559118")</f>
        <v>4559118</v>
      </c>
      <c r="B433" s="5" t="s">
        <v>1930</v>
      </c>
      <c r="C433" s="5" t="s">
        <v>585</v>
      </c>
      <c r="D433" s="5" t="s">
        <v>586</v>
      </c>
      <c r="E433" s="5" t="s">
        <v>393</v>
      </c>
      <c r="F433" s="5" t="s">
        <v>256</v>
      </c>
      <c r="G433" s="5" t="s">
        <v>394</v>
      </c>
      <c r="H433" s="5" t="s">
        <v>79</v>
      </c>
      <c r="I433" s="5" t="s">
        <v>122</v>
      </c>
      <c r="J433" s="5" t="s">
        <v>258</v>
      </c>
      <c r="K433" s="5" t="s">
        <v>259</v>
      </c>
      <c r="L433" s="5" t="s">
        <v>260</v>
      </c>
      <c r="M433" s="5" t="s">
        <v>309</v>
      </c>
      <c r="N433" s="5"/>
      <c r="O433" s="5"/>
      <c r="P433" s="5" t="s">
        <v>398</v>
      </c>
      <c r="Q433" s="5"/>
      <c r="R433" s="5" t="s">
        <v>262</v>
      </c>
      <c r="S433" s="6">
        <v>44152</v>
      </c>
      <c r="T433" s="6">
        <v>44180</v>
      </c>
      <c r="U433" s="5"/>
      <c r="V433" s="6">
        <v>44193</v>
      </c>
      <c r="W433" s="5"/>
      <c r="X433" s="5"/>
      <c r="Y433" s="5" t="s">
        <v>399</v>
      </c>
      <c r="Z433" s="5" t="s">
        <v>273</v>
      </c>
      <c r="AA433" s="5" t="s">
        <v>273</v>
      </c>
      <c r="AB433" s="5" t="s">
        <v>67</v>
      </c>
      <c r="AC433" s="5" t="s">
        <v>67</v>
      </c>
      <c r="AD433" s="5" t="s">
        <v>67</v>
      </c>
      <c r="AE433" s="5" t="s">
        <v>90</v>
      </c>
      <c r="AF433" s="5" t="s">
        <v>70</v>
      </c>
      <c r="AG433" s="5" t="s">
        <v>71</v>
      </c>
      <c r="AH433" s="5" t="s">
        <v>72</v>
      </c>
      <c r="AI433" s="5" t="s">
        <v>73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1</v>
      </c>
      <c r="AP433" s="5">
        <v>0</v>
      </c>
      <c r="AQ433" s="5" t="s">
        <v>713</v>
      </c>
      <c r="AR433" s="5" t="s">
        <v>1104</v>
      </c>
      <c r="AS433" s="5"/>
      <c r="AT433" s="5"/>
      <c r="AU433" s="5"/>
      <c r="AV433" s="5">
        <v>-1</v>
      </c>
      <c r="AW433" s="5" t="s">
        <v>1931</v>
      </c>
    </row>
    <row r="434" spans="1:49" x14ac:dyDescent="0.55000000000000004">
      <c r="A434" s="5" t="str">
        <f>HYPERLINK("https://www.infodis.net/philips/net/Shipment/Details?InfodisNumber=4266418&amp;DomainCode=DAP", "4266418")</f>
        <v>4266418</v>
      </c>
      <c r="B434" s="5" t="s">
        <v>1932</v>
      </c>
      <c r="C434" s="5" t="s">
        <v>302</v>
      </c>
      <c r="D434" s="5" t="s">
        <v>303</v>
      </c>
      <c r="E434" s="5" t="s">
        <v>304</v>
      </c>
      <c r="F434" s="5" t="s">
        <v>1933</v>
      </c>
      <c r="G434" s="5" t="s">
        <v>306</v>
      </c>
      <c r="H434" s="5" t="s">
        <v>307</v>
      </c>
      <c r="I434" s="5" t="s">
        <v>283</v>
      </c>
      <c r="J434" s="5" t="s">
        <v>80</v>
      </c>
      <c r="K434" s="5" t="s">
        <v>546</v>
      </c>
      <c r="L434" s="5" t="s">
        <v>79</v>
      </c>
      <c r="M434" s="5" t="s">
        <v>133</v>
      </c>
      <c r="N434" s="5"/>
      <c r="O434" s="5"/>
      <c r="P434" s="5" t="s">
        <v>312</v>
      </c>
      <c r="Q434" s="5"/>
      <c r="R434" s="5" t="s">
        <v>1934</v>
      </c>
      <c r="S434" s="6">
        <v>43691</v>
      </c>
      <c r="T434" s="6">
        <v>43697</v>
      </c>
      <c r="U434" s="5"/>
      <c r="V434" s="6">
        <v>43702</v>
      </c>
      <c r="W434" s="6">
        <v>43701</v>
      </c>
      <c r="X434" s="5"/>
      <c r="Y434" s="5" t="s">
        <v>857</v>
      </c>
      <c r="Z434" s="5" t="s">
        <v>857</v>
      </c>
      <c r="AA434" s="5" t="s">
        <v>66</v>
      </c>
      <c r="AB434" s="5" t="s">
        <v>67</v>
      </c>
      <c r="AC434" s="5" t="s">
        <v>67</v>
      </c>
      <c r="AD434" s="5" t="s">
        <v>68</v>
      </c>
      <c r="AE434" s="5" t="s">
        <v>162</v>
      </c>
      <c r="AF434" s="5" t="s">
        <v>70</v>
      </c>
      <c r="AG434" s="5" t="s">
        <v>71</v>
      </c>
      <c r="AH434" s="5" t="s">
        <v>72</v>
      </c>
      <c r="AI434" s="5" t="s">
        <v>73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565</v>
      </c>
      <c r="AP434" s="5">
        <v>3.0819999999999999</v>
      </c>
      <c r="AQ434" s="5" t="s">
        <v>713</v>
      </c>
      <c r="AR434" s="5" t="s">
        <v>1104</v>
      </c>
      <c r="AS434" s="5" t="s">
        <v>713</v>
      </c>
      <c r="AT434" s="6">
        <v>43962</v>
      </c>
      <c r="AU434" s="5" t="s">
        <v>1935</v>
      </c>
      <c r="AV434" s="5">
        <v>200</v>
      </c>
      <c r="AW434" s="5" t="s">
        <v>1936</v>
      </c>
    </row>
    <row r="435" spans="1:49" x14ac:dyDescent="0.55000000000000004">
      <c r="A435" s="5" t="str">
        <f>HYPERLINK("https://www.infodis.net/philips/net/Shipment/Details?InfodisNumber=4559059&amp;DomainCode=DAP", "4559059")</f>
        <v>4559059</v>
      </c>
      <c r="B435" s="5" t="s">
        <v>1937</v>
      </c>
      <c r="C435" s="5" t="s">
        <v>585</v>
      </c>
      <c r="D435" s="5" t="s">
        <v>586</v>
      </c>
      <c r="E435" s="5" t="s">
        <v>393</v>
      </c>
      <c r="F435" s="5" t="s">
        <v>1102</v>
      </c>
      <c r="G435" s="5" t="s">
        <v>394</v>
      </c>
      <c r="H435" s="5" t="s">
        <v>79</v>
      </c>
      <c r="I435" s="5" t="s">
        <v>587</v>
      </c>
      <c r="J435" s="5" t="s">
        <v>1103</v>
      </c>
      <c r="K435" s="5" t="s">
        <v>797</v>
      </c>
      <c r="L435" s="5" t="s">
        <v>55</v>
      </c>
      <c r="M435" s="5" t="s">
        <v>309</v>
      </c>
      <c r="N435" s="5"/>
      <c r="O435" s="5"/>
      <c r="P435" s="5" t="s">
        <v>398</v>
      </c>
      <c r="Q435" s="5"/>
      <c r="R435" s="5" t="s">
        <v>615</v>
      </c>
      <c r="S435" s="6">
        <v>44152</v>
      </c>
      <c r="T435" s="6">
        <v>44159</v>
      </c>
      <c r="U435" s="5"/>
      <c r="V435" s="6">
        <v>44164</v>
      </c>
      <c r="W435" s="5"/>
      <c r="X435" s="5"/>
      <c r="Y435" s="5" t="s">
        <v>399</v>
      </c>
      <c r="Z435" s="5" t="s">
        <v>65</v>
      </c>
      <c r="AA435" s="5" t="s">
        <v>65</v>
      </c>
      <c r="AB435" s="5" t="s">
        <v>67</v>
      </c>
      <c r="AC435" s="5" t="s">
        <v>67</v>
      </c>
      <c r="AD435" s="5" t="s">
        <v>67</v>
      </c>
      <c r="AE435" s="5" t="s">
        <v>69</v>
      </c>
      <c r="AF435" s="5" t="s">
        <v>70</v>
      </c>
      <c r="AG435" s="5" t="s">
        <v>71</v>
      </c>
      <c r="AH435" s="5" t="s">
        <v>72</v>
      </c>
      <c r="AI435" s="5" t="s">
        <v>73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1</v>
      </c>
      <c r="AP435" s="5">
        <v>0</v>
      </c>
      <c r="AQ435" s="5" t="s">
        <v>713</v>
      </c>
      <c r="AR435" s="5" t="s">
        <v>1104</v>
      </c>
      <c r="AS435" s="5"/>
      <c r="AT435" s="5"/>
      <c r="AU435" s="5"/>
      <c r="AV435" s="5">
        <v>-1</v>
      </c>
      <c r="AW435" s="5" t="s">
        <v>1105</v>
      </c>
    </row>
    <row r="436" spans="1:49" x14ac:dyDescent="0.55000000000000004">
      <c r="A436" s="5" t="str">
        <f>HYPERLINK("https://www.infodis.net/philips/net/Shipment/Details?InfodisNumber=6109620&amp;DomainCode=PHILIPSR1", "6109620")</f>
        <v>6109620</v>
      </c>
      <c r="B436" s="5" t="s">
        <v>1938</v>
      </c>
      <c r="C436" s="5" t="s">
        <v>1065</v>
      </c>
      <c r="D436" s="5" t="s">
        <v>1066</v>
      </c>
      <c r="E436" s="5" t="s">
        <v>1067</v>
      </c>
      <c r="F436" s="5" t="s">
        <v>1939</v>
      </c>
      <c r="G436" s="5" t="s">
        <v>1069</v>
      </c>
      <c r="H436" s="5" t="s">
        <v>180</v>
      </c>
      <c r="I436" s="5" t="s">
        <v>1070</v>
      </c>
      <c r="J436" s="5" t="s">
        <v>996</v>
      </c>
      <c r="K436" s="5" t="s">
        <v>1940</v>
      </c>
      <c r="L436" s="5" t="s">
        <v>998</v>
      </c>
      <c r="M436" s="5" t="s">
        <v>60</v>
      </c>
      <c r="N436" s="5"/>
      <c r="O436" s="5"/>
      <c r="P436" s="5" t="s">
        <v>1072</v>
      </c>
      <c r="Q436" s="5"/>
      <c r="R436" s="5" t="s">
        <v>1941</v>
      </c>
      <c r="S436" s="6">
        <v>43832</v>
      </c>
      <c r="T436" s="6">
        <v>43833</v>
      </c>
      <c r="U436" s="6">
        <v>43847</v>
      </c>
      <c r="V436" s="6">
        <v>43871</v>
      </c>
      <c r="W436" s="6">
        <v>43860</v>
      </c>
      <c r="X436" s="6">
        <v>43888</v>
      </c>
      <c r="Y436" s="5" t="s">
        <v>649</v>
      </c>
      <c r="Z436" s="5" t="s">
        <v>649</v>
      </c>
      <c r="AA436" s="5" t="s">
        <v>66</v>
      </c>
      <c r="AB436" s="5" t="s">
        <v>67</v>
      </c>
      <c r="AC436" s="5" t="s">
        <v>67</v>
      </c>
      <c r="AD436" s="5" t="s">
        <v>68</v>
      </c>
      <c r="AE436" s="5" t="s">
        <v>69</v>
      </c>
      <c r="AF436" s="5" t="s">
        <v>70</v>
      </c>
      <c r="AG436" s="5" t="s">
        <v>71</v>
      </c>
      <c r="AH436" s="5" t="s">
        <v>72</v>
      </c>
      <c r="AI436" s="5" t="s">
        <v>252</v>
      </c>
      <c r="AJ436" s="5">
        <v>0</v>
      </c>
      <c r="AK436" s="5">
        <v>0</v>
      </c>
      <c r="AL436" s="5">
        <v>0</v>
      </c>
      <c r="AM436" s="5">
        <v>0</v>
      </c>
      <c r="AN436" s="5">
        <v>17</v>
      </c>
      <c r="AO436" s="5">
        <v>1632.93</v>
      </c>
      <c r="AP436" s="5">
        <v>1.5629999999999999</v>
      </c>
      <c r="AQ436" s="5" t="s">
        <v>713</v>
      </c>
      <c r="AR436" s="5" t="s">
        <v>1104</v>
      </c>
      <c r="AS436" s="5"/>
      <c r="AT436" s="6">
        <v>43846</v>
      </c>
      <c r="AU436" s="5"/>
      <c r="AV436" s="5">
        <v>316</v>
      </c>
      <c r="AW436" s="5" t="s">
        <v>1493</v>
      </c>
    </row>
    <row r="437" spans="1:49" x14ac:dyDescent="0.55000000000000004">
      <c r="A437" s="5" t="str">
        <f>HYPERLINK("https://www.infodis.net/philips/net/Shipment/Details?InfodisNumber=5698382&amp;DomainCode=PHILIPSR1", "5698382")</f>
        <v>5698382</v>
      </c>
      <c r="B437" s="5" t="s">
        <v>1942</v>
      </c>
      <c r="C437" s="5" t="s">
        <v>1716</v>
      </c>
      <c r="D437" s="5" t="s">
        <v>1717</v>
      </c>
      <c r="E437" s="5" t="s">
        <v>1664</v>
      </c>
      <c r="F437" s="5" t="s">
        <v>1554</v>
      </c>
      <c r="G437" s="5" t="s">
        <v>1052</v>
      </c>
      <c r="H437" s="5" t="s">
        <v>180</v>
      </c>
      <c r="I437" s="5" t="s">
        <v>194</v>
      </c>
      <c r="J437" s="5" t="s">
        <v>844</v>
      </c>
      <c r="K437" s="5" t="s">
        <v>1555</v>
      </c>
      <c r="L437" s="5" t="s">
        <v>846</v>
      </c>
      <c r="M437" s="5" t="s">
        <v>60</v>
      </c>
      <c r="N437" s="5" t="s">
        <v>1943</v>
      </c>
      <c r="O437" s="5"/>
      <c r="P437" s="5" t="s">
        <v>1055</v>
      </c>
      <c r="Q437" s="5"/>
      <c r="R437" s="5" t="s">
        <v>1557</v>
      </c>
      <c r="S437" s="6">
        <v>43689</v>
      </c>
      <c r="T437" s="6">
        <v>43693</v>
      </c>
      <c r="U437" s="6">
        <v>43699</v>
      </c>
      <c r="V437" s="6">
        <v>43722</v>
      </c>
      <c r="W437" s="6">
        <v>43719</v>
      </c>
      <c r="X437" s="6">
        <v>43740</v>
      </c>
      <c r="Y437" s="5" t="s">
        <v>649</v>
      </c>
      <c r="Z437" s="5" t="s">
        <v>649</v>
      </c>
      <c r="AA437" s="5" t="s">
        <v>649</v>
      </c>
      <c r="AB437" s="5" t="s">
        <v>67</v>
      </c>
      <c r="AC437" s="5" t="s">
        <v>67</v>
      </c>
      <c r="AD437" s="5" t="s">
        <v>67</v>
      </c>
      <c r="AE437" s="5" t="s">
        <v>69</v>
      </c>
      <c r="AF437" s="5" t="s">
        <v>70</v>
      </c>
      <c r="AG437" s="5" t="s">
        <v>71</v>
      </c>
      <c r="AH437" s="5" t="s">
        <v>72</v>
      </c>
      <c r="AI437" s="5" t="s">
        <v>252</v>
      </c>
      <c r="AJ437" s="5">
        <v>0</v>
      </c>
      <c r="AK437" s="5">
        <v>0</v>
      </c>
      <c r="AL437" s="5">
        <v>0</v>
      </c>
      <c r="AM437" s="5">
        <v>0</v>
      </c>
      <c r="AN437" s="5">
        <v>23</v>
      </c>
      <c r="AO437" s="5">
        <v>3632.82</v>
      </c>
      <c r="AP437" s="5">
        <v>36.246000000000002</v>
      </c>
      <c r="AQ437" s="5" t="s">
        <v>713</v>
      </c>
      <c r="AR437" s="5" t="s">
        <v>1104</v>
      </c>
      <c r="AS437" s="5" t="s">
        <v>713</v>
      </c>
      <c r="AT437" s="6">
        <v>43796</v>
      </c>
      <c r="AU437" s="5" t="s">
        <v>1719</v>
      </c>
      <c r="AV437" s="5">
        <v>366</v>
      </c>
      <c r="AW437" s="5" t="s">
        <v>1769</v>
      </c>
    </row>
    <row r="438" spans="1:49" x14ac:dyDescent="0.55000000000000004">
      <c r="A438" s="5" t="str">
        <f>HYPERLINK("https://www.infodis.net/philips/net/Shipment/Details?InfodisNumber=5698379&amp;DomainCode=PHILIPSR1", "5698379")</f>
        <v>5698379</v>
      </c>
      <c r="B438" s="5" t="s">
        <v>1944</v>
      </c>
      <c r="C438" s="5" t="s">
        <v>1716</v>
      </c>
      <c r="D438" s="5" t="s">
        <v>1717</v>
      </c>
      <c r="E438" s="5" t="s">
        <v>1664</v>
      </c>
      <c r="F438" s="5" t="s">
        <v>1554</v>
      </c>
      <c r="G438" s="5" t="s">
        <v>1052</v>
      </c>
      <c r="H438" s="5" t="s">
        <v>180</v>
      </c>
      <c r="I438" s="5" t="s">
        <v>194</v>
      </c>
      <c r="J438" s="5" t="s">
        <v>844</v>
      </c>
      <c r="K438" s="5" t="s">
        <v>1555</v>
      </c>
      <c r="L438" s="5" t="s">
        <v>846</v>
      </c>
      <c r="M438" s="5" t="s">
        <v>60</v>
      </c>
      <c r="N438" s="5" t="s">
        <v>1945</v>
      </c>
      <c r="O438" s="5"/>
      <c r="P438" s="5" t="s">
        <v>1055</v>
      </c>
      <c r="Q438" s="5"/>
      <c r="R438" s="5" t="s">
        <v>1557</v>
      </c>
      <c r="S438" s="6">
        <v>43689</v>
      </c>
      <c r="T438" s="6">
        <v>43690</v>
      </c>
      <c r="U438" s="6">
        <v>43703</v>
      </c>
      <c r="V438" s="6">
        <v>43727</v>
      </c>
      <c r="W438" s="6">
        <v>43715</v>
      </c>
      <c r="X438" s="6">
        <v>43735</v>
      </c>
      <c r="Y438" s="5" t="s">
        <v>649</v>
      </c>
      <c r="Z438" s="5" t="s">
        <v>649</v>
      </c>
      <c r="AA438" s="5" t="s">
        <v>66</v>
      </c>
      <c r="AB438" s="5" t="s">
        <v>67</v>
      </c>
      <c r="AC438" s="5" t="s">
        <v>67</v>
      </c>
      <c r="AD438" s="5" t="s">
        <v>68</v>
      </c>
      <c r="AE438" s="5" t="s">
        <v>69</v>
      </c>
      <c r="AF438" s="5" t="s">
        <v>70</v>
      </c>
      <c r="AG438" s="5" t="s">
        <v>71</v>
      </c>
      <c r="AH438" s="5" t="s">
        <v>72</v>
      </c>
      <c r="AI438" s="5" t="s">
        <v>252</v>
      </c>
      <c r="AJ438" s="5">
        <v>0</v>
      </c>
      <c r="AK438" s="5">
        <v>0</v>
      </c>
      <c r="AL438" s="5">
        <v>0</v>
      </c>
      <c r="AM438" s="5">
        <v>0</v>
      </c>
      <c r="AN438" s="5">
        <v>23</v>
      </c>
      <c r="AO438" s="5">
        <v>3675.91</v>
      </c>
      <c r="AP438" s="5">
        <v>36.246000000000002</v>
      </c>
      <c r="AQ438" s="5" t="s">
        <v>713</v>
      </c>
      <c r="AR438" s="5" t="s">
        <v>1104</v>
      </c>
      <c r="AS438" s="5" t="s">
        <v>713</v>
      </c>
      <c r="AT438" s="6">
        <v>43796</v>
      </c>
      <c r="AU438" s="5" t="s">
        <v>1719</v>
      </c>
      <c r="AV438" s="5">
        <v>366</v>
      </c>
      <c r="AW438" s="5" t="s">
        <v>1720</v>
      </c>
    </row>
    <row r="439" spans="1:49" x14ac:dyDescent="0.55000000000000004">
      <c r="A439" s="5" t="str">
        <f>HYPERLINK("https://www.infodis.net/philips/net/Shipment/Details?InfodisNumber=4292442&amp;DomainCode=DAP", "4292442")</f>
        <v>4292442</v>
      </c>
      <c r="B439" s="5" t="s">
        <v>1946</v>
      </c>
      <c r="C439" s="5" t="s">
        <v>1947</v>
      </c>
      <c r="D439" s="5" t="s">
        <v>1948</v>
      </c>
      <c r="E439" s="5" t="s">
        <v>304</v>
      </c>
      <c r="F439" s="5" t="s">
        <v>1949</v>
      </c>
      <c r="G439" s="5" t="s">
        <v>284</v>
      </c>
      <c r="H439" s="5" t="s">
        <v>285</v>
      </c>
      <c r="I439" s="5" t="s">
        <v>1950</v>
      </c>
      <c r="J439" s="5" t="s">
        <v>529</v>
      </c>
      <c r="K439" s="5" t="s">
        <v>530</v>
      </c>
      <c r="L439" s="5" t="s">
        <v>73</v>
      </c>
      <c r="M439" s="5" t="s">
        <v>385</v>
      </c>
      <c r="N439" s="5" t="s">
        <v>1951</v>
      </c>
      <c r="O439" s="5" t="s">
        <v>1952</v>
      </c>
      <c r="P439" s="5" t="s">
        <v>287</v>
      </c>
      <c r="Q439" s="5"/>
      <c r="R439" s="5" t="s">
        <v>531</v>
      </c>
      <c r="S439" s="6">
        <v>43721</v>
      </c>
      <c r="T439" s="6">
        <v>43726</v>
      </c>
      <c r="U439" s="5"/>
      <c r="V439" s="6">
        <v>43747</v>
      </c>
      <c r="W439" s="6">
        <v>43747</v>
      </c>
      <c r="X439" s="6">
        <v>43798</v>
      </c>
      <c r="Y439" s="5" t="s">
        <v>238</v>
      </c>
      <c r="Z439" s="5" t="s">
        <v>238</v>
      </c>
      <c r="AA439" s="5" t="s">
        <v>66</v>
      </c>
      <c r="AB439" s="5" t="s">
        <v>67</v>
      </c>
      <c r="AC439" s="5" t="s">
        <v>67</v>
      </c>
      <c r="AD439" s="5" t="s">
        <v>68</v>
      </c>
      <c r="AE439" s="5" t="s">
        <v>162</v>
      </c>
      <c r="AF439" s="5" t="s">
        <v>70</v>
      </c>
      <c r="AG439" s="5" t="s">
        <v>71</v>
      </c>
      <c r="AH439" s="5" t="s">
        <v>72</v>
      </c>
      <c r="AI439" s="5" t="s">
        <v>73</v>
      </c>
      <c r="AJ439" s="5">
        <v>0</v>
      </c>
      <c r="AK439" s="5">
        <v>0</v>
      </c>
      <c r="AL439" s="5">
        <v>0</v>
      </c>
      <c r="AM439" s="5">
        <v>0</v>
      </c>
      <c r="AN439" s="5">
        <v>11</v>
      </c>
      <c r="AO439" s="5">
        <v>3654</v>
      </c>
      <c r="AP439" s="5">
        <v>21.672999999999998</v>
      </c>
      <c r="AQ439" s="5" t="s">
        <v>713</v>
      </c>
      <c r="AR439" s="5" t="s">
        <v>1104</v>
      </c>
      <c r="AS439" s="5"/>
      <c r="AT439" s="5"/>
      <c r="AU439" s="5"/>
      <c r="AV439" s="5">
        <v>-1</v>
      </c>
      <c r="AW439" s="5" t="s">
        <v>1953</v>
      </c>
    </row>
    <row r="440" spans="1:49" x14ac:dyDescent="0.55000000000000004">
      <c r="A440" s="5" t="str">
        <f>HYPERLINK("https://www.infodis.net/philips/net/Shipment/Details?InfodisNumber=4559119&amp;DomainCode=DAP", "4559119")</f>
        <v>4559119</v>
      </c>
      <c r="B440" s="5" t="s">
        <v>1954</v>
      </c>
      <c r="C440" s="5" t="s">
        <v>585</v>
      </c>
      <c r="D440" s="5" t="s">
        <v>586</v>
      </c>
      <c r="E440" s="5" t="s">
        <v>393</v>
      </c>
      <c r="F440" s="5" t="s">
        <v>256</v>
      </c>
      <c r="G440" s="5" t="s">
        <v>394</v>
      </c>
      <c r="H440" s="5" t="s">
        <v>79</v>
      </c>
      <c r="I440" s="5" t="s">
        <v>122</v>
      </c>
      <c r="J440" s="5" t="s">
        <v>759</v>
      </c>
      <c r="K440" s="5" t="s">
        <v>259</v>
      </c>
      <c r="L440" s="5" t="s">
        <v>260</v>
      </c>
      <c r="M440" s="5" t="s">
        <v>309</v>
      </c>
      <c r="N440" s="5"/>
      <c r="O440" s="5"/>
      <c r="P440" s="5" t="s">
        <v>398</v>
      </c>
      <c r="Q440" s="5"/>
      <c r="R440" s="5" t="s">
        <v>262</v>
      </c>
      <c r="S440" s="6">
        <v>44152</v>
      </c>
      <c r="T440" s="6">
        <v>44153</v>
      </c>
      <c r="U440" s="5"/>
      <c r="V440" s="6">
        <v>44165</v>
      </c>
      <c r="W440" s="5"/>
      <c r="X440" s="5"/>
      <c r="Y440" s="5" t="s">
        <v>399</v>
      </c>
      <c r="Z440" s="5" t="s">
        <v>273</v>
      </c>
      <c r="AA440" s="5" t="s">
        <v>273</v>
      </c>
      <c r="AB440" s="5" t="s">
        <v>67</v>
      </c>
      <c r="AC440" s="5" t="s">
        <v>67</v>
      </c>
      <c r="AD440" s="5" t="s">
        <v>67</v>
      </c>
      <c r="AE440" s="5" t="s">
        <v>90</v>
      </c>
      <c r="AF440" s="5" t="s">
        <v>70</v>
      </c>
      <c r="AG440" s="5" t="s">
        <v>71</v>
      </c>
      <c r="AH440" s="5" t="s">
        <v>72</v>
      </c>
      <c r="AI440" s="5" t="s">
        <v>73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1</v>
      </c>
      <c r="AP440" s="5">
        <v>0</v>
      </c>
      <c r="AQ440" s="5" t="s">
        <v>713</v>
      </c>
      <c r="AR440" s="5" t="s">
        <v>1104</v>
      </c>
      <c r="AS440" s="5"/>
      <c r="AT440" s="5"/>
      <c r="AU440" s="5"/>
      <c r="AV440" s="5">
        <v>-1</v>
      </c>
      <c r="AW440" s="5" t="s">
        <v>1931</v>
      </c>
    </row>
    <row r="441" spans="1:49" x14ac:dyDescent="0.55000000000000004">
      <c r="A441" s="5" t="str">
        <f>HYPERLINK("https://www.infodis.net/philips/net/Shipment/Details?InfodisNumber=5808023&amp;DomainCode=PHILIPSR1", "5808023")</f>
        <v>5808023</v>
      </c>
      <c r="B441" s="5" t="s">
        <v>1955</v>
      </c>
      <c r="C441" s="5" t="s">
        <v>607</v>
      </c>
      <c r="D441" s="5" t="s">
        <v>608</v>
      </c>
      <c r="E441" s="5" t="s">
        <v>458</v>
      </c>
      <c r="F441" s="5" t="s">
        <v>1878</v>
      </c>
      <c r="G441" s="5" t="s">
        <v>610</v>
      </c>
      <c r="H441" s="5" t="s">
        <v>180</v>
      </c>
      <c r="I441" s="5" t="s">
        <v>1956</v>
      </c>
      <c r="J441" s="5" t="s">
        <v>113</v>
      </c>
      <c r="K441" s="5" t="s">
        <v>58</v>
      </c>
      <c r="L441" s="5" t="s">
        <v>59</v>
      </c>
      <c r="M441" s="5" t="s">
        <v>60</v>
      </c>
      <c r="N441" s="5" t="s">
        <v>1957</v>
      </c>
      <c r="O441" s="5"/>
      <c r="P441" s="5" t="s">
        <v>613</v>
      </c>
      <c r="Q441" s="5"/>
      <c r="R441" s="5" t="s">
        <v>64</v>
      </c>
      <c r="S441" s="6">
        <v>43727</v>
      </c>
      <c r="T441" s="6">
        <v>43732</v>
      </c>
      <c r="U441" s="6">
        <v>43735</v>
      </c>
      <c r="V441" s="6">
        <v>43752</v>
      </c>
      <c r="W441" s="6">
        <v>43752</v>
      </c>
      <c r="X441" s="6">
        <v>43775</v>
      </c>
      <c r="Y441" s="5" t="s">
        <v>649</v>
      </c>
      <c r="Z441" s="5" t="s">
        <v>649</v>
      </c>
      <c r="AA441" s="5" t="s">
        <v>649</v>
      </c>
      <c r="AB441" s="5" t="s">
        <v>67</v>
      </c>
      <c r="AC441" s="5" t="s">
        <v>67</v>
      </c>
      <c r="AD441" s="5" t="s">
        <v>67</v>
      </c>
      <c r="AE441" s="5" t="s">
        <v>90</v>
      </c>
      <c r="AF441" s="5" t="s">
        <v>70</v>
      </c>
      <c r="AG441" s="5" t="s">
        <v>71</v>
      </c>
      <c r="AH441" s="5" t="s">
        <v>72</v>
      </c>
      <c r="AI441" s="5" t="s">
        <v>252</v>
      </c>
      <c r="AJ441" s="5">
        <v>0</v>
      </c>
      <c r="AK441" s="5">
        <v>0</v>
      </c>
      <c r="AL441" s="5">
        <v>0</v>
      </c>
      <c r="AM441" s="5">
        <v>0</v>
      </c>
      <c r="AN441" s="5">
        <v>20</v>
      </c>
      <c r="AO441" s="5">
        <v>2825.88</v>
      </c>
      <c r="AP441" s="5">
        <v>32.296999999999997</v>
      </c>
      <c r="AQ441" s="5" t="s">
        <v>713</v>
      </c>
      <c r="AR441" s="5" t="s">
        <v>1104</v>
      </c>
      <c r="AS441" s="5" t="s">
        <v>713</v>
      </c>
      <c r="AT441" s="6">
        <v>43790</v>
      </c>
      <c r="AU441" s="5" t="s">
        <v>1173</v>
      </c>
      <c r="AV441" s="5">
        <v>372</v>
      </c>
      <c r="AW441" s="5" t="s">
        <v>1448</v>
      </c>
    </row>
    <row r="442" spans="1:49" x14ac:dyDescent="0.55000000000000004">
      <c r="A442" s="5" t="str">
        <f>HYPERLINK("https://www.infodis.net/philips/net/Shipment/Details?InfodisNumber=4383128&amp;DomainCode=DAP", "4383128")</f>
        <v>4383128</v>
      </c>
      <c r="B442" s="5" t="s">
        <v>1958</v>
      </c>
      <c r="C442" s="5" t="s">
        <v>1959</v>
      </c>
      <c r="D442" s="5" t="s">
        <v>1960</v>
      </c>
      <c r="E442" s="5" t="s">
        <v>1959</v>
      </c>
      <c r="F442" s="5" t="s">
        <v>393</v>
      </c>
      <c r="G442" s="5" t="s">
        <v>1961</v>
      </c>
      <c r="H442" s="5" t="s">
        <v>180</v>
      </c>
      <c r="I442" s="5" t="s">
        <v>1962</v>
      </c>
      <c r="J442" s="5" t="s">
        <v>268</v>
      </c>
      <c r="K442" s="5" t="s">
        <v>266</v>
      </c>
      <c r="L442" s="5" t="s">
        <v>267</v>
      </c>
      <c r="M442" s="5" t="s">
        <v>84</v>
      </c>
      <c r="N442" s="5" t="s">
        <v>1963</v>
      </c>
      <c r="O442" s="5" t="s">
        <v>1964</v>
      </c>
      <c r="P442" s="5" t="s">
        <v>1965</v>
      </c>
      <c r="Q442" s="5"/>
      <c r="R442" s="5" t="s">
        <v>268</v>
      </c>
      <c r="S442" s="6">
        <v>43851</v>
      </c>
      <c r="T442" s="6">
        <v>43852</v>
      </c>
      <c r="U442" s="5"/>
      <c r="V442" s="6">
        <v>43866</v>
      </c>
      <c r="W442" s="6">
        <v>43866</v>
      </c>
      <c r="X442" s="6">
        <v>43917</v>
      </c>
      <c r="Y442" s="5" t="s">
        <v>135</v>
      </c>
      <c r="Z442" s="5" t="s">
        <v>135</v>
      </c>
      <c r="AA442" s="5" t="s">
        <v>135</v>
      </c>
      <c r="AB442" s="5" t="s">
        <v>67</v>
      </c>
      <c r="AC442" s="5" t="s">
        <v>67</v>
      </c>
      <c r="AD442" s="5" t="s">
        <v>67</v>
      </c>
      <c r="AE442" s="5" t="s">
        <v>90</v>
      </c>
      <c r="AF442" s="5" t="s">
        <v>70</v>
      </c>
      <c r="AG442" s="5" t="s">
        <v>71</v>
      </c>
      <c r="AH442" s="5" t="s">
        <v>72</v>
      </c>
      <c r="AI442" s="5" t="s">
        <v>73</v>
      </c>
      <c r="AJ442" s="5">
        <v>0</v>
      </c>
      <c r="AK442" s="5">
        <v>0</v>
      </c>
      <c r="AL442" s="5">
        <v>0</v>
      </c>
      <c r="AM442" s="5">
        <v>0</v>
      </c>
      <c r="AN442" s="5">
        <v>26</v>
      </c>
      <c r="AO442" s="5">
        <v>5240</v>
      </c>
      <c r="AP442" s="5">
        <v>32</v>
      </c>
      <c r="AQ442" s="5" t="s">
        <v>713</v>
      </c>
      <c r="AR442" s="5" t="s">
        <v>1104</v>
      </c>
      <c r="AS442" s="5"/>
      <c r="AT442" s="5"/>
      <c r="AU442" s="5"/>
      <c r="AV442" s="5">
        <v>-1</v>
      </c>
      <c r="AW442" s="5" t="s">
        <v>1802</v>
      </c>
    </row>
    <row r="443" spans="1:49" x14ac:dyDescent="0.55000000000000004">
      <c r="A443" s="5" t="str">
        <f>HYPERLINK("https://www.infodis.net/philips/net/Shipment/Details?InfodisNumber=4414801&amp;DomainCode=DAP", "4414801")</f>
        <v>4414801</v>
      </c>
      <c r="B443" s="5" t="s">
        <v>1966</v>
      </c>
      <c r="C443" s="5" t="s">
        <v>1165</v>
      </c>
      <c r="D443" s="5" t="s">
        <v>1166</v>
      </c>
      <c r="E443" s="5" t="s">
        <v>1165</v>
      </c>
      <c r="F443" s="5" t="s">
        <v>77</v>
      </c>
      <c r="G443" s="5" t="s">
        <v>667</v>
      </c>
      <c r="H443" s="5" t="s">
        <v>79</v>
      </c>
      <c r="I443" s="5" t="s">
        <v>268</v>
      </c>
      <c r="J443" s="5" t="s">
        <v>81</v>
      </c>
      <c r="K443" s="5" t="s">
        <v>82</v>
      </c>
      <c r="L443" s="5" t="s">
        <v>83</v>
      </c>
      <c r="M443" s="5" t="s">
        <v>84</v>
      </c>
      <c r="N443" s="5"/>
      <c r="O443" s="5"/>
      <c r="P443" s="5" t="s">
        <v>1168</v>
      </c>
      <c r="Q443" s="5"/>
      <c r="R443" s="5" t="s">
        <v>87</v>
      </c>
      <c r="S443" s="6">
        <v>43909</v>
      </c>
      <c r="T443" s="6">
        <v>43910</v>
      </c>
      <c r="U443" s="5"/>
      <c r="V443" s="6">
        <v>43915</v>
      </c>
      <c r="W443" s="6">
        <v>43913</v>
      </c>
      <c r="X443" s="5"/>
      <c r="Y443" s="5" t="s">
        <v>66</v>
      </c>
      <c r="Z443" s="5" t="s">
        <v>1182</v>
      </c>
      <c r="AA443" s="5" t="s">
        <v>1182</v>
      </c>
      <c r="AB443" s="5" t="s">
        <v>68</v>
      </c>
      <c r="AC443" s="5" t="s">
        <v>67</v>
      </c>
      <c r="AD443" s="5" t="s">
        <v>67</v>
      </c>
      <c r="AE443" s="5" t="s">
        <v>162</v>
      </c>
      <c r="AF443" s="5" t="s">
        <v>70</v>
      </c>
      <c r="AG443" s="5" t="s">
        <v>71</v>
      </c>
      <c r="AH443" s="5" t="s">
        <v>72</v>
      </c>
      <c r="AI443" s="5" t="s">
        <v>73</v>
      </c>
      <c r="AJ443" s="5">
        <v>0</v>
      </c>
      <c r="AK443" s="5">
        <v>0</v>
      </c>
      <c r="AL443" s="5">
        <v>0</v>
      </c>
      <c r="AM443" s="5">
        <v>0</v>
      </c>
      <c r="AN443" s="5">
        <v>18</v>
      </c>
      <c r="AO443" s="5">
        <v>3726</v>
      </c>
      <c r="AP443" s="5">
        <v>21.902000000000001</v>
      </c>
      <c r="AQ443" s="5" t="s">
        <v>713</v>
      </c>
      <c r="AR443" s="5" t="s">
        <v>1104</v>
      </c>
      <c r="AS443" s="5" t="s">
        <v>713</v>
      </c>
      <c r="AT443" s="6">
        <v>43910</v>
      </c>
      <c r="AU443" s="5" t="s">
        <v>1967</v>
      </c>
      <c r="AV443" s="5">
        <v>252</v>
      </c>
      <c r="AW443" s="5" t="s">
        <v>1968</v>
      </c>
    </row>
    <row r="444" spans="1:49" x14ac:dyDescent="0.55000000000000004">
      <c r="A444" s="5" t="str">
        <f>HYPERLINK("https://www.infodis.net/philips/net/Shipment/Details?InfodisNumber=5553775&amp;DomainCode=PHILIPSR1", "5553775")</f>
        <v>5553775</v>
      </c>
      <c r="B444" s="5" t="s">
        <v>1969</v>
      </c>
      <c r="C444" s="5" t="s">
        <v>607</v>
      </c>
      <c r="D444" s="5" t="s">
        <v>608</v>
      </c>
      <c r="E444" s="5" t="s">
        <v>458</v>
      </c>
      <c r="F444" s="5" t="s">
        <v>1878</v>
      </c>
      <c r="G444" s="5" t="s">
        <v>610</v>
      </c>
      <c r="H444" s="5" t="s">
        <v>180</v>
      </c>
      <c r="I444" s="5" t="s">
        <v>652</v>
      </c>
      <c r="J444" s="5" t="s">
        <v>1071</v>
      </c>
      <c r="K444" s="5" t="s">
        <v>58</v>
      </c>
      <c r="L444" s="5" t="s">
        <v>59</v>
      </c>
      <c r="M444" s="5" t="s">
        <v>60</v>
      </c>
      <c r="N444" s="5" t="s">
        <v>1970</v>
      </c>
      <c r="O444" s="5"/>
      <c r="P444" s="5" t="s">
        <v>613</v>
      </c>
      <c r="Q444" s="5"/>
      <c r="R444" s="5" t="s">
        <v>64</v>
      </c>
      <c r="S444" s="6">
        <v>43634</v>
      </c>
      <c r="T444" s="6">
        <v>43640</v>
      </c>
      <c r="U444" s="6">
        <v>43637</v>
      </c>
      <c r="V444" s="6">
        <v>43645</v>
      </c>
      <c r="W444" s="6">
        <v>43669</v>
      </c>
      <c r="X444" s="6">
        <v>43689</v>
      </c>
      <c r="Y444" s="5" t="s">
        <v>649</v>
      </c>
      <c r="Z444" s="5" t="s">
        <v>649</v>
      </c>
      <c r="AA444" s="5" t="s">
        <v>649</v>
      </c>
      <c r="AB444" s="5" t="s">
        <v>67</v>
      </c>
      <c r="AC444" s="5" t="s">
        <v>67</v>
      </c>
      <c r="AD444" s="5" t="s">
        <v>67</v>
      </c>
      <c r="AE444" s="5" t="s">
        <v>90</v>
      </c>
      <c r="AF444" s="5" t="s">
        <v>70</v>
      </c>
      <c r="AG444" s="5" t="s">
        <v>71</v>
      </c>
      <c r="AH444" s="5" t="s">
        <v>72</v>
      </c>
      <c r="AI444" s="5" t="s">
        <v>252</v>
      </c>
      <c r="AJ444" s="5">
        <v>0</v>
      </c>
      <c r="AK444" s="5">
        <v>0</v>
      </c>
      <c r="AL444" s="5">
        <v>0</v>
      </c>
      <c r="AM444" s="5">
        <v>0</v>
      </c>
      <c r="AN444" s="5">
        <v>17</v>
      </c>
      <c r="AO444" s="5">
        <v>2681.64</v>
      </c>
      <c r="AP444" s="5">
        <v>25.8</v>
      </c>
      <c r="AQ444" s="5" t="s">
        <v>713</v>
      </c>
      <c r="AR444" s="5" t="s">
        <v>1104</v>
      </c>
      <c r="AS444" s="5" t="s">
        <v>713</v>
      </c>
      <c r="AT444" s="6">
        <v>43790</v>
      </c>
      <c r="AU444" s="5" t="s">
        <v>1173</v>
      </c>
      <c r="AV444" s="5">
        <v>372</v>
      </c>
      <c r="AW444" s="5" t="s">
        <v>1448</v>
      </c>
    </row>
    <row r="445" spans="1:49" x14ac:dyDescent="0.55000000000000004">
      <c r="A445" s="5" t="str">
        <f>HYPERLINK("https://www.infodis.net/philips/net/Shipment/Details?InfodisNumber=4362282&amp;DomainCode=DAP", "4362282")</f>
        <v>4362282</v>
      </c>
      <c r="B445" s="5" t="s">
        <v>1971</v>
      </c>
      <c r="C445" s="5" t="s">
        <v>1972</v>
      </c>
      <c r="D445" s="5" t="s">
        <v>1973</v>
      </c>
      <c r="E445" s="5" t="s">
        <v>1974</v>
      </c>
      <c r="F445" s="5" t="s">
        <v>1974</v>
      </c>
      <c r="G445" s="5" t="s">
        <v>546</v>
      </c>
      <c r="H445" s="5" t="s">
        <v>79</v>
      </c>
      <c r="I445" s="5" t="s">
        <v>80</v>
      </c>
      <c r="J445" s="5" t="s">
        <v>258</v>
      </c>
      <c r="K445" s="5" t="s">
        <v>1975</v>
      </c>
      <c r="L445" s="5" t="s">
        <v>260</v>
      </c>
      <c r="M445" s="5" t="s">
        <v>261</v>
      </c>
      <c r="N445" s="5"/>
      <c r="O445" s="5"/>
      <c r="P445" s="5" t="s">
        <v>1976</v>
      </c>
      <c r="Q445" s="5"/>
      <c r="R445" s="5" t="s">
        <v>1977</v>
      </c>
      <c r="S445" s="6">
        <v>43816</v>
      </c>
      <c r="T445" s="6">
        <v>43827</v>
      </c>
      <c r="U445" s="5"/>
      <c r="V445" s="6">
        <v>43831</v>
      </c>
      <c r="W445" s="5"/>
      <c r="X445" s="5"/>
      <c r="Y445" s="5" t="s">
        <v>66</v>
      </c>
      <c r="Z445" s="5" t="s">
        <v>65</v>
      </c>
      <c r="AA445" s="5" t="s">
        <v>65</v>
      </c>
      <c r="AB445" s="5" t="s">
        <v>67</v>
      </c>
      <c r="AC445" s="5" t="s">
        <v>67</v>
      </c>
      <c r="AD445" s="5" t="s">
        <v>67</v>
      </c>
      <c r="AE445" s="5" t="s">
        <v>69</v>
      </c>
      <c r="AF445" s="5" t="s">
        <v>70</v>
      </c>
      <c r="AG445" s="5" t="s">
        <v>71</v>
      </c>
      <c r="AH445" s="5" t="s">
        <v>72</v>
      </c>
      <c r="AI445" s="5" t="s">
        <v>73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5912.28</v>
      </c>
      <c r="AP445" s="5">
        <v>57.19</v>
      </c>
      <c r="AQ445" s="5" t="s">
        <v>713</v>
      </c>
      <c r="AR445" s="5" t="s">
        <v>1104</v>
      </c>
      <c r="AS445" s="5" t="s">
        <v>713</v>
      </c>
      <c r="AT445" s="6">
        <v>43816</v>
      </c>
      <c r="AU445" s="5" t="s">
        <v>1978</v>
      </c>
      <c r="AV445" s="5">
        <v>346</v>
      </c>
      <c r="AW445" s="5" t="s">
        <v>1979</v>
      </c>
    </row>
    <row r="446" spans="1:49" x14ac:dyDescent="0.55000000000000004">
      <c r="A446" s="5" t="str">
        <f>HYPERLINK("https://www.infodis.net/philips/net/Shipment/Details?InfodisNumber=6098856&amp;DomainCode=PHILIPSR1", "6098856")</f>
        <v>6098856</v>
      </c>
      <c r="B446" s="5" t="s">
        <v>1980</v>
      </c>
      <c r="C446" s="5" t="s">
        <v>607</v>
      </c>
      <c r="D446" s="5" t="s">
        <v>608</v>
      </c>
      <c r="E446" s="5" t="s">
        <v>458</v>
      </c>
      <c r="F446" s="5" t="s">
        <v>1722</v>
      </c>
      <c r="G446" s="5" t="s">
        <v>610</v>
      </c>
      <c r="H446" s="5" t="s">
        <v>180</v>
      </c>
      <c r="I446" s="5" t="s">
        <v>194</v>
      </c>
      <c r="J446" s="5" t="s">
        <v>1036</v>
      </c>
      <c r="K446" s="5" t="s">
        <v>1723</v>
      </c>
      <c r="L446" s="5" t="s">
        <v>132</v>
      </c>
      <c r="M446" s="5" t="s">
        <v>60</v>
      </c>
      <c r="N446" s="5"/>
      <c r="O446" s="5"/>
      <c r="P446" s="5" t="s">
        <v>613</v>
      </c>
      <c r="Q446" s="5"/>
      <c r="R446" s="5" t="s">
        <v>1724</v>
      </c>
      <c r="S446" s="6">
        <v>43827</v>
      </c>
      <c r="T446" s="6">
        <v>43827</v>
      </c>
      <c r="U446" s="6">
        <v>43827</v>
      </c>
      <c r="V446" s="6">
        <v>43847</v>
      </c>
      <c r="W446" s="6">
        <v>43845</v>
      </c>
      <c r="X446" s="5"/>
      <c r="Y446" s="5" t="s">
        <v>649</v>
      </c>
      <c r="Z446" s="5" t="s">
        <v>649</v>
      </c>
      <c r="AA446" s="5" t="s">
        <v>649</v>
      </c>
      <c r="AB446" s="5" t="s">
        <v>67</v>
      </c>
      <c r="AC446" s="5" t="s">
        <v>67</v>
      </c>
      <c r="AD446" s="5" t="s">
        <v>67</v>
      </c>
      <c r="AE446" s="5" t="s">
        <v>90</v>
      </c>
      <c r="AF446" s="5" t="s">
        <v>70</v>
      </c>
      <c r="AG446" s="5" t="s">
        <v>71</v>
      </c>
      <c r="AH446" s="5" t="s">
        <v>72</v>
      </c>
      <c r="AI446" s="5" t="s">
        <v>252</v>
      </c>
      <c r="AJ446" s="5">
        <v>0</v>
      </c>
      <c r="AK446" s="5">
        <v>0</v>
      </c>
      <c r="AL446" s="5">
        <v>0</v>
      </c>
      <c r="AM446" s="5">
        <v>0</v>
      </c>
      <c r="AN446" s="5">
        <v>14</v>
      </c>
      <c r="AO446" s="5">
        <v>4010.2440000000001</v>
      </c>
      <c r="AP446" s="5">
        <v>31.061</v>
      </c>
      <c r="AQ446" s="5" t="s">
        <v>713</v>
      </c>
      <c r="AR446" s="5" t="s">
        <v>1104</v>
      </c>
      <c r="AS446" s="5"/>
      <c r="AT446" s="6">
        <v>43846</v>
      </c>
      <c r="AU446" s="5"/>
      <c r="AV446" s="5">
        <v>316</v>
      </c>
      <c r="AW446" s="5" t="s">
        <v>1493</v>
      </c>
    </row>
    <row r="447" spans="1:49" x14ac:dyDescent="0.55000000000000004">
      <c r="A447" s="5" t="str">
        <f>HYPERLINK("https://www.infodis.net/philips/net/Shipment/Details?InfodisNumber=6098263&amp;DomainCode=PHILIPSR1", "6098263")</f>
        <v>6098263</v>
      </c>
      <c r="B447" s="5" t="s">
        <v>1981</v>
      </c>
      <c r="C447" s="5" t="s">
        <v>607</v>
      </c>
      <c r="D447" s="5" t="s">
        <v>608</v>
      </c>
      <c r="E447" s="5" t="s">
        <v>458</v>
      </c>
      <c r="F447" s="5" t="s">
        <v>1527</v>
      </c>
      <c r="G447" s="5" t="s">
        <v>610</v>
      </c>
      <c r="H447" s="5" t="s">
        <v>180</v>
      </c>
      <c r="I447" s="5" t="s">
        <v>194</v>
      </c>
      <c r="J447" s="5" t="s">
        <v>130</v>
      </c>
      <c r="K447" s="5" t="s">
        <v>1528</v>
      </c>
      <c r="L447" s="5" t="s">
        <v>132</v>
      </c>
      <c r="M447" s="5" t="s">
        <v>60</v>
      </c>
      <c r="N447" s="5"/>
      <c r="O447" s="5" t="s">
        <v>1982</v>
      </c>
      <c r="P447" s="5" t="s">
        <v>613</v>
      </c>
      <c r="Q447" s="5"/>
      <c r="R447" s="5" t="s">
        <v>1529</v>
      </c>
      <c r="S447" s="6">
        <v>43827</v>
      </c>
      <c r="T447" s="6">
        <v>43829</v>
      </c>
      <c r="U447" s="6">
        <v>43847</v>
      </c>
      <c r="V447" s="6">
        <v>43855</v>
      </c>
      <c r="W447" s="6">
        <v>43855</v>
      </c>
      <c r="X447" s="6">
        <v>43892</v>
      </c>
      <c r="Y447" s="5" t="s">
        <v>649</v>
      </c>
      <c r="Z447" s="5" t="s">
        <v>649</v>
      </c>
      <c r="AA447" s="5" t="s">
        <v>649</v>
      </c>
      <c r="AB447" s="5" t="s">
        <v>67</v>
      </c>
      <c r="AC447" s="5" t="s">
        <v>67</v>
      </c>
      <c r="AD447" s="5" t="s">
        <v>67</v>
      </c>
      <c r="AE447" s="5" t="s">
        <v>90</v>
      </c>
      <c r="AF447" s="5" t="s">
        <v>70</v>
      </c>
      <c r="AG447" s="5" t="s">
        <v>71</v>
      </c>
      <c r="AH447" s="5" t="s">
        <v>72</v>
      </c>
      <c r="AI447" s="5" t="s">
        <v>252</v>
      </c>
      <c r="AJ447" s="5">
        <v>0</v>
      </c>
      <c r="AK447" s="5">
        <v>0</v>
      </c>
      <c r="AL447" s="5">
        <v>0</v>
      </c>
      <c r="AM447" s="5">
        <v>0</v>
      </c>
      <c r="AN447" s="5">
        <v>20</v>
      </c>
      <c r="AO447" s="5">
        <v>4921.335</v>
      </c>
      <c r="AP447" s="5">
        <v>36.75</v>
      </c>
      <c r="AQ447" s="5" t="s">
        <v>713</v>
      </c>
      <c r="AR447" s="5" t="s">
        <v>1104</v>
      </c>
      <c r="AS447" s="5"/>
      <c r="AT447" s="6">
        <v>43846</v>
      </c>
      <c r="AU447" s="5"/>
      <c r="AV447" s="5">
        <v>316</v>
      </c>
      <c r="AW447" s="5" t="s">
        <v>1493</v>
      </c>
    </row>
    <row r="448" spans="1:49" x14ac:dyDescent="0.55000000000000004">
      <c r="A448" s="5" t="str">
        <f>HYPERLINK("https://www.infodis.net/philips/net/Shipment/Details?InfodisNumber=4338748&amp;DomainCode=DAP", "4338748")</f>
        <v>4338748</v>
      </c>
      <c r="B448" s="5" t="s">
        <v>1983</v>
      </c>
      <c r="C448" s="5" t="s">
        <v>756</v>
      </c>
      <c r="D448" s="5" t="s">
        <v>757</v>
      </c>
      <c r="E448" s="5" t="s">
        <v>191</v>
      </c>
      <c r="F448" s="5" t="s">
        <v>1984</v>
      </c>
      <c r="G448" s="5" t="s">
        <v>269</v>
      </c>
      <c r="H448" s="5" t="s">
        <v>180</v>
      </c>
      <c r="I448" s="5" t="s">
        <v>194</v>
      </c>
      <c r="J448" s="5" t="s">
        <v>1985</v>
      </c>
      <c r="K448" s="5" t="s">
        <v>1986</v>
      </c>
      <c r="L448" s="5" t="s">
        <v>1987</v>
      </c>
      <c r="M448" s="5" t="s">
        <v>60</v>
      </c>
      <c r="N448" s="5"/>
      <c r="O448" s="5"/>
      <c r="P448" s="5" t="s">
        <v>271</v>
      </c>
      <c r="Q448" s="5"/>
      <c r="R448" s="5" t="s">
        <v>1988</v>
      </c>
      <c r="S448" s="6">
        <v>43782</v>
      </c>
      <c r="T448" s="6">
        <v>43782</v>
      </c>
      <c r="U448" s="5"/>
      <c r="V448" s="6">
        <v>43787</v>
      </c>
      <c r="W448" s="5"/>
      <c r="X448" s="5"/>
      <c r="Y448" s="5" t="s">
        <v>1182</v>
      </c>
      <c r="Z448" s="5" t="s">
        <v>1182</v>
      </c>
      <c r="AA448" s="5" t="s">
        <v>1182</v>
      </c>
      <c r="AB448" s="5" t="s">
        <v>67</v>
      </c>
      <c r="AC448" s="5" t="s">
        <v>67</v>
      </c>
      <c r="AD448" s="5" t="s">
        <v>67</v>
      </c>
      <c r="AE448" s="5" t="s">
        <v>162</v>
      </c>
      <c r="AF448" s="5" t="s">
        <v>70</v>
      </c>
      <c r="AG448" s="5" t="s">
        <v>71</v>
      </c>
      <c r="AH448" s="5" t="s">
        <v>72</v>
      </c>
      <c r="AI448" s="5" t="s">
        <v>73</v>
      </c>
      <c r="AJ448" s="5">
        <v>0</v>
      </c>
      <c r="AK448" s="5">
        <v>0</v>
      </c>
      <c r="AL448" s="5">
        <v>0</v>
      </c>
      <c r="AM448" s="5">
        <v>0</v>
      </c>
      <c r="AN448" s="5">
        <v>7</v>
      </c>
      <c r="AO448" s="5">
        <v>2168</v>
      </c>
      <c r="AP448" s="5">
        <v>18.72</v>
      </c>
      <c r="AQ448" s="5" t="s">
        <v>713</v>
      </c>
      <c r="AR448" s="5" t="s">
        <v>1104</v>
      </c>
      <c r="AS448" s="5" t="s">
        <v>713</v>
      </c>
      <c r="AT448" s="6">
        <v>43796</v>
      </c>
      <c r="AU448" s="5" t="s">
        <v>1989</v>
      </c>
      <c r="AV448" s="5">
        <v>366</v>
      </c>
      <c r="AW448" s="5" t="s">
        <v>1990</v>
      </c>
    </row>
    <row r="449" spans="1:49" x14ac:dyDescent="0.55000000000000004">
      <c r="A449" s="5" t="str">
        <f>HYPERLINK("https://www.infodis.net/philips/net/Shipment/Details?InfodisNumber=5787172&amp;DomainCode=PHILIPSR1", "5787172")</f>
        <v>5787172</v>
      </c>
      <c r="B449" s="5" t="s">
        <v>1991</v>
      </c>
      <c r="C449" s="5" t="s">
        <v>607</v>
      </c>
      <c r="D449" s="5" t="s">
        <v>608</v>
      </c>
      <c r="E449" s="5" t="s">
        <v>458</v>
      </c>
      <c r="F449" s="5" t="s">
        <v>1992</v>
      </c>
      <c r="G449" s="5" t="s">
        <v>610</v>
      </c>
      <c r="H449" s="5" t="s">
        <v>180</v>
      </c>
      <c r="I449" s="5" t="s">
        <v>652</v>
      </c>
      <c r="J449" s="5" t="s">
        <v>1201</v>
      </c>
      <c r="K449" s="5" t="s">
        <v>1993</v>
      </c>
      <c r="L449" s="5" t="s">
        <v>1203</v>
      </c>
      <c r="M449" s="5" t="s">
        <v>60</v>
      </c>
      <c r="N449" s="5" t="s">
        <v>1994</v>
      </c>
      <c r="O449" s="5"/>
      <c r="P449" s="5" t="s">
        <v>613</v>
      </c>
      <c r="Q449" s="5"/>
      <c r="R449" s="5" t="s">
        <v>1995</v>
      </c>
      <c r="S449" s="6">
        <v>43720</v>
      </c>
      <c r="T449" s="6">
        <v>43727</v>
      </c>
      <c r="U449" s="6">
        <v>43725</v>
      </c>
      <c r="V449" s="6">
        <v>43742</v>
      </c>
      <c r="W449" s="6">
        <v>43739</v>
      </c>
      <c r="X449" s="6">
        <v>43790</v>
      </c>
      <c r="Y449" s="5" t="s">
        <v>649</v>
      </c>
      <c r="Z449" s="5" t="s">
        <v>649</v>
      </c>
      <c r="AA449" s="5" t="s">
        <v>649</v>
      </c>
      <c r="AB449" s="5" t="s">
        <v>67</v>
      </c>
      <c r="AC449" s="5" t="s">
        <v>67</v>
      </c>
      <c r="AD449" s="5" t="s">
        <v>67</v>
      </c>
      <c r="AE449" s="5" t="s">
        <v>1996</v>
      </c>
      <c r="AF449" s="5" t="s">
        <v>70</v>
      </c>
      <c r="AG449" s="5" t="s">
        <v>71</v>
      </c>
      <c r="AH449" s="5" t="s">
        <v>72</v>
      </c>
      <c r="AI449" s="5" t="s">
        <v>252</v>
      </c>
      <c r="AJ449" s="5">
        <v>0</v>
      </c>
      <c r="AK449" s="5">
        <v>0</v>
      </c>
      <c r="AL449" s="5">
        <v>0</v>
      </c>
      <c r="AM449" s="5">
        <v>0</v>
      </c>
      <c r="AN449" s="5">
        <v>22</v>
      </c>
      <c r="AO449" s="5">
        <v>3979.82</v>
      </c>
      <c r="AP449" s="5">
        <v>34.509</v>
      </c>
      <c r="AQ449" s="5" t="s">
        <v>713</v>
      </c>
      <c r="AR449" s="5" t="s">
        <v>1104</v>
      </c>
      <c r="AS449" s="5" t="s">
        <v>713</v>
      </c>
      <c r="AT449" s="6">
        <v>43790</v>
      </c>
      <c r="AU449" s="5" t="s">
        <v>1173</v>
      </c>
      <c r="AV449" s="5">
        <v>372</v>
      </c>
      <c r="AW449" s="5" t="s">
        <v>1448</v>
      </c>
    </row>
    <row r="450" spans="1:49" x14ac:dyDescent="0.55000000000000004">
      <c r="A450" s="5" t="str">
        <f>HYPERLINK("https://www.infodis.net/philips/net/Shipment/Details?InfodisNumber=3993154&amp;DomainCode=DAP", "3993154")</f>
        <v>3993154</v>
      </c>
      <c r="B450" s="5" t="s">
        <v>1997</v>
      </c>
      <c r="C450" s="5" t="s">
        <v>1998</v>
      </c>
      <c r="D450" s="5" t="s">
        <v>1999</v>
      </c>
      <c r="E450" s="5" t="s">
        <v>1998</v>
      </c>
      <c r="F450" s="5" t="s">
        <v>2000</v>
      </c>
      <c r="G450" s="5" t="s">
        <v>667</v>
      </c>
      <c r="H450" s="5" t="s">
        <v>79</v>
      </c>
      <c r="I450" s="5" t="s">
        <v>122</v>
      </c>
      <c r="J450" s="5" t="s">
        <v>194</v>
      </c>
      <c r="K450" s="5" t="s">
        <v>1852</v>
      </c>
      <c r="L450" s="5" t="s">
        <v>180</v>
      </c>
      <c r="M450" s="5" t="s">
        <v>1489</v>
      </c>
      <c r="N450" s="5" t="s">
        <v>2001</v>
      </c>
      <c r="O450" s="5"/>
      <c r="P450" s="5" t="s">
        <v>2002</v>
      </c>
      <c r="Q450" s="5"/>
      <c r="R450" s="5" t="s">
        <v>1854</v>
      </c>
      <c r="S450" s="6">
        <v>43486</v>
      </c>
      <c r="T450" s="6">
        <v>43487</v>
      </c>
      <c r="U450" s="6">
        <v>43488</v>
      </c>
      <c r="V450" s="6">
        <v>43492</v>
      </c>
      <c r="W450" s="6">
        <v>43494</v>
      </c>
      <c r="X450" s="5"/>
      <c r="Y450" s="5" t="s">
        <v>1182</v>
      </c>
      <c r="Z450" s="5" t="s">
        <v>1182</v>
      </c>
      <c r="AA450" s="5" t="s">
        <v>1182</v>
      </c>
      <c r="AB450" s="5" t="s">
        <v>67</v>
      </c>
      <c r="AC450" s="5" t="s">
        <v>67</v>
      </c>
      <c r="AD450" s="5" t="s">
        <v>67</v>
      </c>
      <c r="AE450" s="5" t="s">
        <v>162</v>
      </c>
      <c r="AF450" s="5" t="s">
        <v>70</v>
      </c>
      <c r="AG450" s="5" t="s">
        <v>71</v>
      </c>
      <c r="AH450" s="5" t="s">
        <v>72</v>
      </c>
      <c r="AI450" s="5" t="s">
        <v>73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667.5</v>
      </c>
      <c r="AP450" s="5">
        <v>16.84</v>
      </c>
      <c r="AQ450" s="5" t="s">
        <v>713</v>
      </c>
      <c r="AR450" s="5" t="s">
        <v>1104</v>
      </c>
      <c r="AS450" s="5"/>
      <c r="AT450" s="5"/>
      <c r="AU450" s="5"/>
      <c r="AV450" s="5">
        <v>-1</v>
      </c>
      <c r="AW450" s="5" t="s">
        <v>1462</v>
      </c>
    </row>
    <row r="451" spans="1:49" x14ac:dyDescent="0.55000000000000004">
      <c r="A451" s="5" t="str">
        <f>HYPERLINK("https://www.infodis.net/philips/net/Shipment/Details?InfodisNumber=4559120&amp;DomainCode=DAP", "4559120")</f>
        <v>4559120</v>
      </c>
      <c r="B451" s="5" t="s">
        <v>2003</v>
      </c>
      <c r="C451" s="5" t="s">
        <v>585</v>
      </c>
      <c r="D451" s="5" t="s">
        <v>586</v>
      </c>
      <c r="E451" s="5" t="s">
        <v>393</v>
      </c>
      <c r="F451" s="5" t="s">
        <v>256</v>
      </c>
      <c r="G451" s="5" t="s">
        <v>394</v>
      </c>
      <c r="H451" s="5" t="s">
        <v>79</v>
      </c>
      <c r="I451" s="5" t="s">
        <v>122</v>
      </c>
      <c r="J451" s="5" t="s">
        <v>258</v>
      </c>
      <c r="K451" s="5" t="s">
        <v>259</v>
      </c>
      <c r="L451" s="5" t="s">
        <v>260</v>
      </c>
      <c r="M451" s="5" t="s">
        <v>309</v>
      </c>
      <c r="N451" s="5"/>
      <c r="O451" s="5"/>
      <c r="P451" s="5" t="s">
        <v>398</v>
      </c>
      <c r="Q451" s="5"/>
      <c r="R451" s="5" t="s">
        <v>262</v>
      </c>
      <c r="S451" s="6">
        <v>44152</v>
      </c>
      <c r="T451" s="6">
        <v>44153</v>
      </c>
      <c r="U451" s="5"/>
      <c r="V451" s="6">
        <v>44186</v>
      </c>
      <c r="W451" s="5"/>
      <c r="X451" s="5"/>
      <c r="Y451" s="5" t="s">
        <v>399</v>
      </c>
      <c r="Z451" s="5" t="s">
        <v>273</v>
      </c>
      <c r="AA451" s="5" t="s">
        <v>273</v>
      </c>
      <c r="AB451" s="5" t="s">
        <v>67</v>
      </c>
      <c r="AC451" s="5" t="s">
        <v>67</v>
      </c>
      <c r="AD451" s="5" t="s">
        <v>67</v>
      </c>
      <c r="AE451" s="5" t="s">
        <v>90</v>
      </c>
      <c r="AF451" s="5" t="s">
        <v>70</v>
      </c>
      <c r="AG451" s="5" t="s">
        <v>71</v>
      </c>
      <c r="AH451" s="5" t="s">
        <v>72</v>
      </c>
      <c r="AI451" s="5" t="s">
        <v>73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1</v>
      </c>
      <c r="AP451" s="5">
        <v>0</v>
      </c>
      <c r="AQ451" s="5" t="s">
        <v>713</v>
      </c>
      <c r="AR451" s="5" t="s">
        <v>1104</v>
      </c>
      <c r="AS451" s="5"/>
      <c r="AT451" s="5"/>
      <c r="AU451" s="5"/>
      <c r="AV451" s="5">
        <v>-1</v>
      </c>
      <c r="AW451" s="5" t="s">
        <v>1931</v>
      </c>
    </row>
    <row r="452" spans="1:49" x14ac:dyDescent="0.55000000000000004">
      <c r="A452" s="5" t="str">
        <f>HYPERLINK("https://www.infodis.net/philips/net/Shipment/Details?InfodisNumber=4559104&amp;DomainCode=DAP", "4559104")</f>
        <v>4559104</v>
      </c>
      <c r="B452" s="5" t="s">
        <v>2004</v>
      </c>
      <c r="C452" s="5" t="s">
        <v>585</v>
      </c>
      <c r="D452" s="5" t="s">
        <v>586</v>
      </c>
      <c r="E452" s="5" t="s">
        <v>393</v>
      </c>
      <c r="F452" s="5" t="s">
        <v>256</v>
      </c>
      <c r="G452" s="5" t="s">
        <v>394</v>
      </c>
      <c r="H452" s="5" t="s">
        <v>79</v>
      </c>
      <c r="I452" s="5" t="s">
        <v>122</v>
      </c>
      <c r="J452" s="5" t="s">
        <v>258</v>
      </c>
      <c r="K452" s="5" t="s">
        <v>259</v>
      </c>
      <c r="L452" s="5" t="s">
        <v>260</v>
      </c>
      <c r="M452" s="5" t="s">
        <v>309</v>
      </c>
      <c r="N452" s="5"/>
      <c r="O452" s="5"/>
      <c r="P452" s="5" t="s">
        <v>398</v>
      </c>
      <c r="Q452" s="5"/>
      <c r="R452" s="5" t="s">
        <v>262</v>
      </c>
      <c r="S452" s="6">
        <v>44152</v>
      </c>
      <c r="T452" s="6">
        <v>44159</v>
      </c>
      <c r="U452" s="5"/>
      <c r="V452" s="6">
        <v>44172</v>
      </c>
      <c r="W452" s="5"/>
      <c r="X452" s="5"/>
      <c r="Y452" s="5" t="s">
        <v>399</v>
      </c>
      <c r="Z452" s="5" t="s">
        <v>273</v>
      </c>
      <c r="AA452" s="5" t="s">
        <v>273</v>
      </c>
      <c r="AB452" s="5" t="s">
        <v>67</v>
      </c>
      <c r="AC452" s="5" t="s">
        <v>67</v>
      </c>
      <c r="AD452" s="5" t="s">
        <v>67</v>
      </c>
      <c r="AE452" s="5" t="s">
        <v>90</v>
      </c>
      <c r="AF452" s="5" t="s">
        <v>70</v>
      </c>
      <c r="AG452" s="5" t="s">
        <v>71</v>
      </c>
      <c r="AH452" s="5" t="s">
        <v>72</v>
      </c>
      <c r="AI452" s="5" t="s">
        <v>73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1</v>
      </c>
      <c r="AP452" s="5">
        <v>0</v>
      </c>
      <c r="AQ452" s="5" t="s">
        <v>713</v>
      </c>
      <c r="AR452" s="5" t="s">
        <v>1104</v>
      </c>
      <c r="AS452" s="5"/>
      <c r="AT452" s="5"/>
      <c r="AU452" s="5"/>
      <c r="AV452" s="5">
        <v>-1</v>
      </c>
      <c r="AW452" s="5" t="s">
        <v>1931</v>
      </c>
    </row>
    <row r="453" spans="1:49" x14ac:dyDescent="0.55000000000000004">
      <c r="A453" s="5" t="str">
        <f>HYPERLINK("https://www.infodis.net/philips/net/Shipment/Details?InfodisNumber=3976274&amp;DomainCode=DAP", "3976274")</f>
        <v>3976274</v>
      </c>
      <c r="B453" s="5" t="s">
        <v>2005</v>
      </c>
      <c r="C453" s="5" t="s">
        <v>1176</v>
      </c>
      <c r="D453" s="5" t="s">
        <v>1177</v>
      </c>
      <c r="E453" s="5" t="s">
        <v>1178</v>
      </c>
      <c r="F453" s="5" t="s">
        <v>1178</v>
      </c>
      <c r="G453" s="5" t="s">
        <v>667</v>
      </c>
      <c r="H453" s="5" t="s">
        <v>79</v>
      </c>
      <c r="I453" s="5" t="s">
        <v>122</v>
      </c>
      <c r="J453" s="5" t="s">
        <v>194</v>
      </c>
      <c r="K453" s="5" t="s">
        <v>1179</v>
      </c>
      <c r="L453" s="5" t="s">
        <v>180</v>
      </c>
      <c r="M453" s="5" t="s">
        <v>261</v>
      </c>
      <c r="N453" s="5" t="s">
        <v>2006</v>
      </c>
      <c r="O453" s="5" t="s">
        <v>2007</v>
      </c>
      <c r="P453" s="5" t="s">
        <v>1180</v>
      </c>
      <c r="Q453" s="5"/>
      <c r="R453" s="5" t="s">
        <v>1181</v>
      </c>
      <c r="S453" s="6">
        <v>43474</v>
      </c>
      <c r="T453" s="6">
        <v>43490</v>
      </c>
      <c r="U453" s="5"/>
      <c r="V453" s="6">
        <v>43495</v>
      </c>
      <c r="W453" s="5"/>
      <c r="X453" s="5"/>
      <c r="Y453" s="5" t="s">
        <v>66</v>
      </c>
      <c r="Z453" s="5" t="s">
        <v>1182</v>
      </c>
      <c r="AA453" s="5" t="s">
        <v>1182</v>
      </c>
      <c r="AB453" s="5" t="s">
        <v>68</v>
      </c>
      <c r="AC453" s="5" t="s">
        <v>67</v>
      </c>
      <c r="AD453" s="5" t="s">
        <v>67</v>
      </c>
      <c r="AE453" s="5" t="s">
        <v>162</v>
      </c>
      <c r="AF453" s="5" t="s">
        <v>70</v>
      </c>
      <c r="AG453" s="5" t="s">
        <v>71</v>
      </c>
      <c r="AH453" s="5" t="s">
        <v>72</v>
      </c>
      <c r="AI453" s="5" t="s">
        <v>73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2332</v>
      </c>
      <c r="AP453" s="5">
        <v>17.600000000000001</v>
      </c>
      <c r="AQ453" s="5" t="s">
        <v>713</v>
      </c>
      <c r="AR453" s="5" t="s">
        <v>1104</v>
      </c>
      <c r="AS453" s="5" t="s">
        <v>713</v>
      </c>
      <c r="AT453" s="6">
        <v>43791</v>
      </c>
      <c r="AU453" s="5" t="s">
        <v>1183</v>
      </c>
      <c r="AV453" s="5">
        <v>371</v>
      </c>
      <c r="AW453" s="5" t="s">
        <v>1184</v>
      </c>
    </row>
    <row r="454" spans="1:49" x14ac:dyDescent="0.55000000000000004">
      <c r="A454" s="5" t="str">
        <f>HYPERLINK("https://www.infodis.net/philips/net/Shipment/Details?InfodisNumber=3969812&amp;DomainCode=DAP", "3969812")</f>
        <v>3969812</v>
      </c>
      <c r="B454" s="5" t="s">
        <v>2008</v>
      </c>
      <c r="C454" s="5" t="s">
        <v>2009</v>
      </c>
      <c r="D454" s="5" t="s">
        <v>1717</v>
      </c>
      <c r="E454" s="5" t="s">
        <v>1664</v>
      </c>
      <c r="F454" s="5" t="s">
        <v>1554</v>
      </c>
      <c r="G454" s="5" t="s">
        <v>1052</v>
      </c>
      <c r="H454" s="5" t="s">
        <v>180</v>
      </c>
      <c r="I454" s="5" t="s">
        <v>194</v>
      </c>
      <c r="J454" s="5" t="s">
        <v>844</v>
      </c>
      <c r="K454" s="5" t="s">
        <v>1555</v>
      </c>
      <c r="L454" s="5" t="s">
        <v>846</v>
      </c>
      <c r="M454" s="5" t="s">
        <v>60</v>
      </c>
      <c r="N454" s="5" t="s">
        <v>2010</v>
      </c>
      <c r="O454" s="5"/>
      <c r="P454" s="5" t="s">
        <v>1055</v>
      </c>
      <c r="Q454" s="5"/>
      <c r="R454" s="5" t="s">
        <v>1557</v>
      </c>
      <c r="S454" s="6">
        <v>43469</v>
      </c>
      <c r="T454" s="6">
        <v>43468</v>
      </c>
      <c r="U454" s="6">
        <v>43468</v>
      </c>
      <c r="V454" s="6">
        <v>43470</v>
      </c>
      <c r="W454" s="6">
        <v>43505</v>
      </c>
      <c r="X454" s="6">
        <v>43494</v>
      </c>
      <c r="Y454" s="5" t="s">
        <v>1182</v>
      </c>
      <c r="Z454" s="5" t="s">
        <v>1182</v>
      </c>
      <c r="AA454" s="5" t="s">
        <v>1182</v>
      </c>
      <c r="AB454" s="5" t="s">
        <v>67</v>
      </c>
      <c r="AC454" s="5" t="s">
        <v>67</v>
      </c>
      <c r="AD454" s="5" t="s">
        <v>67</v>
      </c>
      <c r="AE454" s="5" t="s">
        <v>69</v>
      </c>
      <c r="AF454" s="5" t="s">
        <v>70</v>
      </c>
      <c r="AG454" s="5" t="s">
        <v>71</v>
      </c>
      <c r="AH454" s="5" t="s">
        <v>72</v>
      </c>
      <c r="AI454" s="5" t="s">
        <v>73</v>
      </c>
      <c r="AJ454" s="5">
        <v>0</v>
      </c>
      <c r="AK454" s="5">
        <v>0</v>
      </c>
      <c r="AL454" s="5">
        <v>0</v>
      </c>
      <c r="AM454" s="5">
        <v>0</v>
      </c>
      <c r="AN454" s="5">
        <v>23</v>
      </c>
      <c r="AO454" s="5">
        <v>3674.1</v>
      </c>
      <c r="AP454" s="5">
        <v>36.246000000000002</v>
      </c>
      <c r="AQ454" s="5" t="s">
        <v>713</v>
      </c>
      <c r="AR454" s="5" t="s">
        <v>1104</v>
      </c>
      <c r="AS454" s="5" t="s">
        <v>713</v>
      </c>
      <c r="AT454" s="6">
        <v>43796</v>
      </c>
      <c r="AU454" s="5" t="s">
        <v>1719</v>
      </c>
      <c r="AV454" s="5">
        <v>366</v>
      </c>
      <c r="AW454" s="5" t="s">
        <v>1769</v>
      </c>
    </row>
    <row r="455" spans="1:49" x14ac:dyDescent="0.55000000000000004">
      <c r="A455" s="5" t="str">
        <f>HYPERLINK("https://www.infodis.net/philips/net/Shipment/Details?InfodisNumber=3986055&amp;DomainCode=DAP", "3986055")</f>
        <v>3986055</v>
      </c>
      <c r="B455" s="5" t="s">
        <v>2011</v>
      </c>
      <c r="C455" s="5" t="s">
        <v>1486</v>
      </c>
      <c r="D455" s="5" t="s">
        <v>1487</v>
      </c>
      <c r="E455" s="5" t="s">
        <v>1486</v>
      </c>
      <c r="F455" s="5" t="s">
        <v>458</v>
      </c>
      <c r="G455" s="5" t="s">
        <v>292</v>
      </c>
      <c r="H455" s="5" t="s">
        <v>207</v>
      </c>
      <c r="I455" s="5" t="s">
        <v>1927</v>
      </c>
      <c r="J455" s="5" t="s">
        <v>194</v>
      </c>
      <c r="K455" s="5" t="s">
        <v>620</v>
      </c>
      <c r="L455" s="5" t="s">
        <v>180</v>
      </c>
      <c r="M455" s="5" t="s">
        <v>1489</v>
      </c>
      <c r="N455" s="5"/>
      <c r="O455" s="5"/>
      <c r="P455" s="5" t="s">
        <v>299</v>
      </c>
      <c r="Q455" s="5"/>
      <c r="R455" s="5" t="s">
        <v>613</v>
      </c>
      <c r="S455" s="6">
        <v>43481</v>
      </c>
      <c r="T455" s="6">
        <v>43482</v>
      </c>
      <c r="U455" s="6">
        <v>43503</v>
      </c>
      <c r="V455" s="6">
        <v>43512</v>
      </c>
      <c r="W455" s="6">
        <v>43513</v>
      </c>
      <c r="X455" s="6">
        <v>43563</v>
      </c>
      <c r="Y455" s="5" t="s">
        <v>1182</v>
      </c>
      <c r="Z455" s="5" t="s">
        <v>1182</v>
      </c>
      <c r="AA455" s="5" t="s">
        <v>1182</v>
      </c>
      <c r="AB455" s="5" t="s">
        <v>67</v>
      </c>
      <c r="AC455" s="5" t="s">
        <v>67</v>
      </c>
      <c r="AD455" s="5" t="s">
        <v>67</v>
      </c>
      <c r="AE455" s="5" t="s">
        <v>69</v>
      </c>
      <c r="AF455" s="5" t="s">
        <v>70</v>
      </c>
      <c r="AG455" s="5" t="s">
        <v>71</v>
      </c>
      <c r="AH455" s="5" t="s">
        <v>72</v>
      </c>
      <c r="AI455" s="5" t="s">
        <v>73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5457</v>
      </c>
      <c r="AP455" s="5">
        <v>3.41</v>
      </c>
      <c r="AQ455" s="5" t="s">
        <v>713</v>
      </c>
      <c r="AR455" s="5" t="s">
        <v>1104</v>
      </c>
      <c r="AS455" s="5"/>
      <c r="AT455" s="5"/>
      <c r="AU455" s="5"/>
      <c r="AV455" s="5">
        <v>-1</v>
      </c>
      <c r="AW455" s="5" t="s">
        <v>1462</v>
      </c>
    </row>
    <row r="456" spans="1:49" x14ac:dyDescent="0.55000000000000004">
      <c r="A456" s="5" t="str">
        <f>HYPERLINK("https://www.infodis.net/philips/net/Shipment/Details?InfodisNumber=4559896&amp;DomainCode=DAP", "4559896")</f>
        <v>4559896</v>
      </c>
      <c r="B456" s="5" t="s">
        <v>2012</v>
      </c>
      <c r="C456" s="5" t="s">
        <v>1193</v>
      </c>
      <c r="D456" s="5" t="s">
        <v>1194</v>
      </c>
      <c r="E456" s="5" t="s">
        <v>1193</v>
      </c>
      <c r="F456" s="5" t="s">
        <v>77</v>
      </c>
      <c r="G456" s="5" t="s">
        <v>945</v>
      </c>
      <c r="H456" s="5" t="s">
        <v>938</v>
      </c>
      <c r="I456" s="5" t="s">
        <v>293</v>
      </c>
      <c r="J456" s="5" t="s">
        <v>81</v>
      </c>
      <c r="K456" s="5" t="s">
        <v>82</v>
      </c>
      <c r="L456" s="5" t="s">
        <v>83</v>
      </c>
      <c r="M456" s="5" t="s">
        <v>84</v>
      </c>
      <c r="N456" s="5" t="s">
        <v>2013</v>
      </c>
      <c r="O456" s="5"/>
      <c r="P456" s="5" t="s">
        <v>1196</v>
      </c>
      <c r="Q456" s="5"/>
      <c r="R456" s="5" t="s">
        <v>87</v>
      </c>
      <c r="S456" s="6">
        <v>44153</v>
      </c>
      <c r="T456" s="6">
        <v>44174</v>
      </c>
      <c r="U456" s="5"/>
      <c r="V456" s="6">
        <v>44179</v>
      </c>
      <c r="W456" s="5"/>
      <c r="X456" s="5"/>
      <c r="Y456" s="5" t="s">
        <v>66</v>
      </c>
      <c r="Z456" s="5" t="s">
        <v>2014</v>
      </c>
      <c r="AA456" s="5" t="s">
        <v>1481</v>
      </c>
      <c r="AB456" s="5" t="s">
        <v>68</v>
      </c>
      <c r="AC456" s="5" t="s">
        <v>67</v>
      </c>
      <c r="AD456" s="5" t="s">
        <v>67</v>
      </c>
      <c r="AE456" s="5" t="s">
        <v>162</v>
      </c>
      <c r="AF456" s="5" t="s">
        <v>70</v>
      </c>
      <c r="AG456" s="5" t="s">
        <v>71</v>
      </c>
      <c r="AH456" s="5" t="s">
        <v>72</v>
      </c>
      <c r="AI456" s="5" t="s">
        <v>73</v>
      </c>
      <c r="AJ456" s="5">
        <v>0</v>
      </c>
      <c r="AK456" s="5">
        <v>0</v>
      </c>
      <c r="AL456" s="5">
        <v>0</v>
      </c>
      <c r="AM456" s="5">
        <v>0</v>
      </c>
      <c r="AN456" s="5">
        <v>20</v>
      </c>
      <c r="AO456" s="5">
        <v>9560</v>
      </c>
      <c r="AP456" s="5">
        <v>15.96</v>
      </c>
      <c r="AQ456" s="5" t="s">
        <v>713</v>
      </c>
      <c r="AR456" s="5" t="s">
        <v>1104</v>
      </c>
      <c r="AS456" s="5"/>
      <c r="AT456" s="5"/>
      <c r="AU456" s="5"/>
      <c r="AV456" s="5">
        <v>-1</v>
      </c>
      <c r="AW456" s="5" t="s">
        <v>1269</v>
      </c>
    </row>
    <row r="457" spans="1:49" x14ac:dyDescent="0.55000000000000004">
      <c r="A457" s="5" t="str">
        <f>HYPERLINK("https://www.infodis.net/philips/net/Shipment/Details?InfodisNumber=4358519&amp;DomainCode=DAP", "4358519")</f>
        <v>4358519</v>
      </c>
      <c r="B457" s="5" t="s">
        <v>2015</v>
      </c>
      <c r="C457" s="5" t="s">
        <v>1193</v>
      </c>
      <c r="D457" s="5" t="s">
        <v>1194</v>
      </c>
      <c r="E457" s="5" t="s">
        <v>1193</v>
      </c>
      <c r="F457" s="5" t="s">
        <v>77</v>
      </c>
      <c r="G457" s="5" t="s">
        <v>945</v>
      </c>
      <c r="H457" s="5" t="s">
        <v>938</v>
      </c>
      <c r="I457" s="5" t="s">
        <v>293</v>
      </c>
      <c r="J457" s="5" t="s">
        <v>81</v>
      </c>
      <c r="K457" s="5" t="s">
        <v>82</v>
      </c>
      <c r="L457" s="5" t="s">
        <v>83</v>
      </c>
      <c r="M457" s="5" t="s">
        <v>84</v>
      </c>
      <c r="N457" s="5" t="s">
        <v>2016</v>
      </c>
      <c r="O457" s="5" t="s">
        <v>2017</v>
      </c>
      <c r="P457" s="5" t="s">
        <v>1196</v>
      </c>
      <c r="Q457" s="5"/>
      <c r="R457" s="5" t="s">
        <v>87</v>
      </c>
      <c r="S457" s="6">
        <v>43810</v>
      </c>
      <c r="T457" s="6">
        <v>43831</v>
      </c>
      <c r="U457" s="5"/>
      <c r="V457" s="6">
        <v>43836</v>
      </c>
      <c r="W457" s="6">
        <v>43826</v>
      </c>
      <c r="X457" s="6">
        <v>43827</v>
      </c>
      <c r="Y457" s="5" t="s">
        <v>66</v>
      </c>
      <c r="Z457" s="5" t="s">
        <v>273</v>
      </c>
      <c r="AA457" s="5" t="s">
        <v>1481</v>
      </c>
      <c r="AB457" s="5" t="s">
        <v>68</v>
      </c>
      <c r="AC457" s="5" t="s">
        <v>67</v>
      </c>
      <c r="AD457" s="5" t="s">
        <v>67</v>
      </c>
      <c r="AE457" s="5" t="s">
        <v>162</v>
      </c>
      <c r="AF457" s="5" t="s">
        <v>70</v>
      </c>
      <c r="AG457" s="5" t="s">
        <v>71</v>
      </c>
      <c r="AH457" s="5" t="s">
        <v>72</v>
      </c>
      <c r="AI457" s="5" t="s">
        <v>73</v>
      </c>
      <c r="AJ457" s="5">
        <v>0</v>
      </c>
      <c r="AK457" s="5">
        <v>0</v>
      </c>
      <c r="AL457" s="5">
        <v>0</v>
      </c>
      <c r="AM457" s="5">
        <v>0</v>
      </c>
      <c r="AN457" s="5">
        <v>20</v>
      </c>
      <c r="AO457" s="5">
        <v>9560</v>
      </c>
      <c r="AP457" s="5">
        <v>15.96</v>
      </c>
      <c r="AQ457" s="5" t="s">
        <v>713</v>
      </c>
      <c r="AR457" s="5" t="s">
        <v>1104</v>
      </c>
      <c r="AS457" s="5" t="s">
        <v>713</v>
      </c>
      <c r="AT457" s="6">
        <v>43850</v>
      </c>
      <c r="AU457" s="5" t="s">
        <v>1591</v>
      </c>
      <c r="AV457" s="5">
        <v>312</v>
      </c>
      <c r="AW457" s="5" t="s">
        <v>1592</v>
      </c>
    </row>
    <row r="458" spans="1:49" x14ac:dyDescent="0.55000000000000004">
      <c r="A458" s="5" t="str">
        <f>HYPERLINK("https://www.infodis.net/philips/net/Shipment/Details?InfodisNumber=4438094&amp;DomainCode=DAP", "4438094")</f>
        <v>4438094</v>
      </c>
      <c r="B458" s="5" t="s">
        <v>2018</v>
      </c>
      <c r="C458" s="5" t="s">
        <v>1150</v>
      </c>
      <c r="D458" s="5" t="s">
        <v>1151</v>
      </c>
      <c r="E458" s="5" t="s">
        <v>1150</v>
      </c>
      <c r="F458" s="5" t="s">
        <v>256</v>
      </c>
      <c r="G458" s="5" t="s">
        <v>1152</v>
      </c>
      <c r="H458" s="5" t="s">
        <v>79</v>
      </c>
      <c r="I458" s="5" t="s">
        <v>587</v>
      </c>
      <c r="J458" s="5" t="s">
        <v>258</v>
      </c>
      <c r="K458" s="5" t="s">
        <v>259</v>
      </c>
      <c r="L458" s="5" t="s">
        <v>260</v>
      </c>
      <c r="M458" s="5" t="s">
        <v>261</v>
      </c>
      <c r="N458" s="5"/>
      <c r="O458" s="5"/>
      <c r="P458" s="5" t="s">
        <v>1153</v>
      </c>
      <c r="Q458" s="5" t="s">
        <v>2019</v>
      </c>
      <c r="R458" s="5" t="s">
        <v>262</v>
      </c>
      <c r="S458" s="6">
        <v>43962</v>
      </c>
      <c r="T458" s="6">
        <v>43949</v>
      </c>
      <c r="U458" s="5"/>
      <c r="V458" s="6">
        <v>43954</v>
      </c>
      <c r="W458" s="6">
        <v>43949</v>
      </c>
      <c r="X458" s="6">
        <v>44005</v>
      </c>
      <c r="Y458" s="5" t="s">
        <v>857</v>
      </c>
      <c r="Z458" s="5" t="s">
        <v>857</v>
      </c>
      <c r="AA458" s="5" t="s">
        <v>857</v>
      </c>
      <c r="AB458" s="5" t="s">
        <v>67</v>
      </c>
      <c r="AC458" s="5" t="s">
        <v>67</v>
      </c>
      <c r="AD458" s="5" t="s">
        <v>67</v>
      </c>
      <c r="AE458" s="5" t="s">
        <v>2020</v>
      </c>
      <c r="AF458" s="5" t="s">
        <v>70</v>
      </c>
      <c r="AG458" s="5" t="s">
        <v>71</v>
      </c>
      <c r="AH458" s="5" t="s">
        <v>72</v>
      </c>
      <c r="AI458" s="5" t="s">
        <v>73</v>
      </c>
      <c r="AJ458" s="5">
        <v>0</v>
      </c>
      <c r="AK458" s="5">
        <v>0</v>
      </c>
      <c r="AL458" s="5">
        <v>0</v>
      </c>
      <c r="AM458" s="5">
        <v>0</v>
      </c>
      <c r="AN458" s="5">
        <v>2</v>
      </c>
      <c r="AO458" s="5">
        <v>308.99</v>
      </c>
      <c r="AP458" s="5">
        <v>3.55</v>
      </c>
      <c r="AQ458" s="5" t="s">
        <v>713</v>
      </c>
      <c r="AR458" s="5" t="s">
        <v>1104</v>
      </c>
      <c r="AS458" s="5"/>
      <c r="AT458" s="5"/>
      <c r="AU458" s="5"/>
      <c r="AV458" s="5">
        <v>-1</v>
      </c>
      <c r="AW458" s="5" t="s">
        <v>1493</v>
      </c>
    </row>
    <row r="459" spans="1:49" x14ac:dyDescent="0.55000000000000004">
      <c r="A459" s="5" t="str">
        <f>HYPERLINK("https://www.infodis.net/philips/net/Shipment/Details?InfodisNumber=4420679&amp;DomainCode=DAP", "4420679")</f>
        <v>4420679</v>
      </c>
      <c r="B459" s="5" t="s">
        <v>2021</v>
      </c>
      <c r="C459" s="5" t="s">
        <v>1176</v>
      </c>
      <c r="D459" s="5" t="s">
        <v>1177</v>
      </c>
      <c r="E459" s="5" t="s">
        <v>1176</v>
      </c>
      <c r="F459" s="5" t="s">
        <v>1178</v>
      </c>
      <c r="G459" s="5" t="s">
        <v>667</v>
      </c>
      <c r="H459" s="5" t="s">
        <v>79</v>
      </c>
      <c r="I459" s="5" t="s">
        <v>122</v>
      </c>
      <c r="J459" s="5" t="s">
        <v>194</v>
      </c>
      <c r="K459" s="5" t="s">
        <v>1179</v>
      </c>
      <c r="L459" s="5" t="s">
        <v>180</v>
      </c>
      <c r="M459" s="5" t="s">
        <v>84</v>
      </c>
      <c r="N459" s="5"/>
      <c r="O459" s="5"/>
      <c r="P459" s="5" t="s">
        <v>1180</v>
      </c>
      <c r="Q459" s="5"/>
      <c r="R459" s="5" t="s">
        <v>1181</v>
      </c>
      <c r="S459" s="6">
        <v>43921</v>
      </c>
      <c r="T459" s="6">
        <v>43927</v>
      </c>
      <c r="U459" s="5"/>
      <c r="V459" s="6">
        <v>43932</v>
      </c>
      <c r="W459" s="5"/>
      <c r="X459" s="5"/>
      <c r="Y459" s="5" t="s">
        <v>66</v>
      </c>
      <c r="Z459" s="5" t="s">
        <v>1182</v>
      </c>
      <c r="AA459" s="5" t="s">
        <v>1182</v>
      </c>
      <c r="AB459" s="5" t="s">
        <v>67</v>
      </c>
      <c r="AC459" s="5" t="s">
        <v>67</v>
      </c>
      <c r="AD459" s="5" t="s">
        <v>67</v>
      </c>
      <c r="AE459" s="5" t="s">
        <v>162</v>
      </c>
      <c r="AF459" s="5" t="s">
        <v>70</v>
      </c>
      <c r="AG459" s="5" t="s">
        <v>71</v>
      </c>
      <c r="AH459" s="5" t="s">
        <v>72</v>
      </c>
      <c r="AI459" s="5" t="s">
        <v>73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2329.6</v>
      </c>
      <c r="AP459" s="5">
        <v>17.035</v>
      </c>
      <c r="AQ459" s="5" t="s">
        <v>713</v>
      </c>
      <c r="AR459" s="5" t="s">
        <v>1104</v>
      </c>
      <c r="AS459" s="5"/>
      <c r="AT459" s="5"/>
      <c r="AU459" s="5"/>
      <c r="AV459" s="5">
        <v>-1</v>
      </c>
      <c r="AW459" s="5" t="s">
        <v>1498</v>
      </c>
    </row>
    <row r="460" spans="1:49" x14ac:dyDescent="0.55000000000000004">
      <c r="A460" s="5" t="str">
        <f>HYPERLINK("https://www.infodis.net/philips/net/Shipment/Details?InfodisNumber=4559105&amp;DomainCode=DAP", "4559105")</f>
        <v>4559105</v>
      </c>
      <c r="B460" s="5" t="s">
        <v>2022</v>
      </c>
      <c r="C460" s="5" t="s">
        <v>585</v>
      </c>
      <c r="D460" s="5" t="s">
        <v>586</v>
      </c>
      <c r="E460" s="5" t="s">
        <v>393</v>
      </c>
      <c r="F460" s="5" t="s">
        <v>256</v>
      </c>
      <c r="G460" s="5" t="s">
        <v>394</v>
      </c>
      <c r="H460" s="5" t="s">
        <v>79</v>
      </c>
      <c r="I460" s="5" t="s">
        <v>122</v>
      </c>
      <c r="J460" s="5" t="s">
        <v>258</v>
      </c>
      <c r="K460" s="5" t="s">
        <v>259</v>
      </c>
      <c r="L460" s="5" t="s">
        <v>260</v>
      </c>
      <c r="M460" s="5" t="s">
        <v>309</v>
      </c>
      <c r="N460" s="5"/>
      <c r="O460" s="5"/>
      <c r="P460" s="5" t="s">
        <v>398</v>
      </c>
      <c r="Q460" s="5"/>
      <c r="R460" s="5" t="s">
        <v>262</v>
      </c>
      <c r="S460" s="6">
        <v>44152</v>
      </c>
      <c r="T460" s="6">
        <v>44166</v>
      </c>
      <c r="U460" s="5"/>
      <c r="V460" s="6">
        <v>44179</v>
      </c>
      <c r="W460" s="5"/>
      <c r="X460" s="5"/>
      <c r="Y460" s="5" t="s">
        <v>399</v>
      </c>
      <c r="Z460" s="5" t="s">
        <v>273</v>
      </c>
      <c r="AA460" s="5" t="s">
        <v>273</v>
      </c>
      <c r="AB460" s="5" t="s">
        <v>67</v>
      </c>
      <c r="AC460" s="5" t="s">
        <v>67</v>
      </c>
      <c r="AD460" s="5" t="s">
        <v>67</v>
      </c>
      <c r="AE460" s="5" t="s">
        <v>90</v>
      </c>
      <c r="AF460" s="5" t="s">
        <v>70</v>
      </c>
      <c r="AG460" s="5" t="s">
        <v>71</v>
      </c>
      <c r="AH460" s="5" t="s">
        <v>72</v>
      </c>
      <c r="AI460" s="5" t="s">
        <v>73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1</v>
      </c>
      <c r="AP460" s="5">
        <v>0</v>
      </c>
      <c r="AQ460" s="5" t="s">
        <v>713</v>
      </c>
      <c r="AR460" s="5" t="s">
        <v>1104</v>
      </c>
      <c r="AS460" s="5"/>
      <c r="AT460" s="5"/>
      <c r="AU460" s="5"/>
      <c r="AV460" s="5">
        <v>-1</v>
      </c>
      <c r="AW460" s="5" t="s">
        <v>1931</v>
      </c>
    </row>
    <row r="461" spans="1:49" x14ac:dyDescent="0.55000000000000004">
      <c r="A461" s="5" t="str">
        <f>HYPERLINK("https://www.infodis.net/philips/net/Shipment/Details?InfodisNumber=6374952&amp;DomainCode=PHILIPSR1", "6374952")</f>
        <v>6374952</v>
      </c>
      <c r="B461" s="5" t="s">
        <v>2023</v>
      </c>
      <c r="C461" s="5" t="s">
        <v>607</v>
      </c>
      <c r="D461" s="5" t="s">
        <v>608</v>
      </c>
      <c r="E461" s="5" t="s">
        <v>458</v>
      </c>
      <c r="F461" s="5" t="s">
        <v>1677</v>
      </c>
      <c r="G461" s="5" t="s">
        <v>610</v>
      </c>
      <c r="H461" s="5" t="s">
        <v>180</v>
      </c>
      <c r="I461" s="5" t="s">
        <v>1678</v>
      </c>
      <c r="J461" s="5" t="s">
        <v>382</v>
      </c>
      <c r="K461" s="5" t="s">
        <v>1679</v>
      </c>
      <c r="L461" s="5" t="s">
        <v>384</v>
      </c>
      <c r="M461" s="5" t="s">
        <v>1794</v>
      </c>
      <c r="N461" s="5" t="s">
        <v>2024</v>
      </c>
      <c r="O461" s="5"/>
      <c r="P461" s="5" t="s">
        <v>613</v>
      </c>
      <c r="Q461" s="5"/>
      <c r="R461" s="5" t="s">
        <v>1680</v>
      </c>
      <c r="S461" s="6">
        <v>43922</v>
      </c>
      <c r="T461" s="6">
        <v>43923</v>
      </c>
      <c r="U461" s="6">
        <v>43927</v>
      </c>
      <c r="V461" s="6">
        <v>43935</v>
      </c>
      <c r="W461" s="6">
        <v>43935</v>
      </c>
      <c r="X461" s="6">
        <v>43977</v>
      </c>
      <c r="Y461" s="5" t="s">
        <v>649</v>
      </c>
      <c r="Z461" s="5" t="s">
        <v>649</v>
      </c>
      <c r="AA461" s="5" t="s">
        <v>649</v>
      </c>
      <c r="AB461" s="5" t="s">
        <v>67</v>
      </c>
      <c r="AC461" s="5" t="s">
        <v>67</v>
      </c>
      <c r="AD461" s="5" t="s">
        <v>67</v>
      </c>
      <c r="AE461" s="5" t="s">
        <v>90</v>
      </c>
      <c r="AF461" s="5" t="s">
        <v>70</v>
      </c>
      <c r="AG461" s="5" t="s">
        <v>71</v>
      </c>
      <c r="AH461" s="5" t="s">
        <v>72</v>
      </c>
      <c r="AI461" s="5" t="s">
        <v>252</v>
      </c>
      <c r="AJ461" s="5">
        <v>0</v>
      </c>
      <c r="AK461" s="5">
        <v>0</v>
      </c>
      <c r="AL461" s="5">
        <v>0</v>
      </c>
      <c r="AM461" s="5">
        <v>0</v>
      </c>
      <c r="AN461" s="5">
        <v>13</v>
      </c>
      <c r="AO461" s="5">
        <v>2578.6729999999998</v>
      </c>
      <c r="AP461" s="5">
        <v>18.663</v>
      </c>
      <c r="AQ461" s="5" t="s">
        <v>713</v>
      </c>
      <c r="AR461" s="5" t="s">
        <v>1104</v>
      </c>
      <c r="AS461" s="5"/>
      <c r="AT461" s="5"/>
      <c r="AU461" s="5"/>
      <c r="AV461" s="5">
        <v>-1</v>
      </c>
      <c r="AW461" s="5" t="s">
        <v>1498</v>
      </c>
    </row>
    <row r="462" spans="1:49" x14ac:dyDescent="0.55000000000000004">
      <c r="A462" s="5" t="str">
        <f>HYPERLINK("https://www.infodis.net/philips/net/Shipment/Details?InfodisNumber=5836986&amp;DomainCode=PHILIPSR1", "5836986")</f>
        <v>5836986</v>
      </c>
      <c r="B462" s="5" t="s">
        <v>2025</v>
      </c>
      <c r="C462" s="5" t="s">
        <v>1716</v>
      </c>
      <c r="D462" s="5" t="s">
        <v>1717</v>
      </c>
      <c r="E462" s="5" t="s">
        <v>1664</v>
      </c>
      <c r="F462" s="5" t="s">
        <v>2026</v>
      </c>
      <c r="G462" s="5" t="s">
        <v>1052</v>
      </c>
      <c r="H462" s="5" t="s">
        <v>180</v>
      </c>
      <c r="I462" s="5" t="s">
        <v>652</v>
      </c>
      <c r="J462" s="5" t="s">
        <v>80</v>
      </c>
      <c r="K462" s="5" t="s">
        <v>2027</v>
      </c>
      <c r="L462" s="5" t="s">
        <v>79</v>
      </c>
      <c r="M462" s="5" t="s">
        <v>60</v>
      </c>
      <c r="N462" s="5" t="s">
        <v>2028</v>
      </c>
      <c r="O462" s="5"/>
      <c r="P462" s="5" t="s">
        <v>1055</v>
      </c>
      <c r="Q462" s="5"/>
      <c r="R462" s="5" t="s">
        <v>2029</v>
      </c>
      <c r="S462" s="6">
        <v>43736</v>
      </c>
      <c r="T462" s="6">
        <v>43738</v>
      </c>
      <c r="U462" s="6">
        <v>43747</v>
      </c>
      <c r="V462" s="6">
        <v>43756</v>
      </c>
      <c r="W462" s="6">
        <v>43756</v>
      </c>
      <c r="X462" s="6">
        <v>43804</v>
      </c>
      <c r="Y462" s="5" t="s">
        <v>649</v>
      </c>
      <c r="Z462" s="5" t="s">
        <v>649</v>
      </c>
      <c r="AA462" s="5" t="s">
        <v>649</v>
      </c>
      <c r="AB462" s="5" t="s">
        <v>67</v>
      </c>
      <c r="AC462" s="5" t="s">
        <v>67</v>
      </c>
      <c r="AD462" s="5" t="s">
        <v>67</v>
      </c>
      <c r="AE462" s="5" t="s">
        <v>69</v>
      </c>
      <c r="AF462" s="5" t="s">
        <v>70</v>
      </c>
      <c r="AG462" s="5" t="s">
        <v>71</v>
      </c>
      <c r="AH462" s="5" t="s">
        <v>72</v>
      </c>
      <c r="AI462" s="5" t="s">
        <v>252</v>
      </c>
      <c r="AJ462" s="5">
        <v>0</v>
      </c>
      <c r="AK462" s="5">
        <v>0</v>
      </c>
      <c r="AL462" s="5">
        <v>0</v>
      </c>
      <c r="AM462" s="5">
        <v>0</v>
      </c>
      <c r="AN462" s="5">
        <v>20</v>
      </c>
      <c r="AO462" s="5">
        <v>6223.29</v>
      </c>
      <c r="AP462" s="5">
        <v>36.246000000000002</v>
      </c>
      <c r="AQ462" s="5" t="s">
        <v>713</v>
      </c>
      <c r="AR462" s="5" t="s">
        <v>1104</v>
      </c>
      <c r="AS462" s="5" t="s">
        <v>713</v>
      </c>
      <c r="AT462" s="6">
        <v>43796</v>
      </c>
      <c r="AU462" s="5" t="s">
        <v>2030</v>
      </c>
      <c r="AV462" s="5">
        <v>366</v>
      </c>
      <c r="AW462" s="5" t="s">
        <v>2031</v>
      </c>
    </row>
    <row r="463" spans="1:49" x14ac:dyDescent="0.55000000000000004">
      <c r="A463" s="5" t="str">
        <f>HYPERLINK("https://www.infodis.net/philips/net/Shipment/Details?InfodisNumber=5833992&amp;DomainCode=PHILIPSR1", "5833992")</f>
        <v>5833992</v>
      </c>
      <c r="B463" s="5" t="s">
        <v>2032</v>
      </c>
      <c r="C463" s="5" t="s">
        <v>607</v>
      </c>
      <c r="D463" s="5" t="s">
        <v>608</v>
      </c>
      <c r="E463" s="5" t="s">
        <v>458</v>
      </c>
      <c r="F463" s="5" t="s">
        <v>1742</v>
      </c>
      <c r="G463" s="5" t="s">
        <v>610</v>
      </c>
      <c r="H463" s="5" t="s">
        <v>180</v>
      </c>
      <c r="I463" s="5" t="s">
        <v>652</v>
      </c>
      <c r="J463" s="5" t="s">
        <v>1743</v>
      </c>
      <c r="K463" s="5" t="s">
        <v>1744</v>
      </c>
      <c r="L463" s="5" t="s">
        <v>132</v>
      </c>
      <c r="M463" s="5" t="s">
        <v>60</v>
      </c>
      <c r="N463" s="5"/>
      <c r="O463" s="5"/>
      <c r="P463" s="5" t="s">
        <v>613</v>
      </c>
      <c r="Q463" s="5"/>
      <c r="R463" s="5" t="s">
        <v>1745</v>
      </c>
      <c r="S463" s="6">
        <v>43735</v>
      </c>
      <c r="T463" s="6">
        <v>43735</v>
      </c>
      <c r="U463" s="6">
        <v>43752</v>
      </c>
      <c r="V463" s="6">
        <v>43776</v>
      </c>
      <c r="W463" s="6">
        <v>43761</v>
      </c>
      <c r="X463" s="6">
        <v>43826</v>
      </c>
      <c r="Y463" s="5" t="s">
        <v>649</v>
      </c>
      <c r="Z463" s="5" t="s">
        <v>649</v>
      </c>
      <c r="AA463" s="5" t="s">
        <v>66</v>
      </c>
      <c r="AB463" s="5" t="s">
        <v>67</v>
      </c>
      <c r="AC463" s="5" t="s">
        <v>67</v>
      </c>
      <c r="AD463" s="5" t="s">
        <v>68</v>
      </c>
      <c r="AE463" s="5" t="s">
        <v>162</v>
      </c>
      <c r="AF463" s="5" t="s">
        <v>70</v>
      </c>
      <c r="AG463" s="5" t="s">
        <v>71</v>
      </c>
      <c r="AH463" s="5" t="s">
        <v>72</v>
      </c>
      <c r="AI463" s="5" t="s">
        <v>252</v>
      </c>
      <c r="AJ463" s="5">
        <v>0</v>
      </c>
      <c r="AK463" s="5">
        <v>0</v>
      </c>
      <c r="AL463" s="5">
        <v>0</v>
      </c>
      <c r="AM463" s="5">
        <v>0</v>
      </c>
      <c r="AN463" s="5">
        <v>7</v>
      </c>
      <c r="AO463" s="5">
        <v>2062.9380000000001</v>
      </c>
      <c r="AP463" s="5">
        <v>15.33</v>
      </c>
      <c r="AQ463" s="5" t="s">
        <v>713</v>
      </c>
      <c r="AR463" s="5" t="s">
        <v>1104</v>
      </c>
      <c r="AS463" s="5" t="s">
        <v>713</v>
      </c>
      <c r="AT463" s="6">
        <v>43790</v>
      </c>
      <c r="AU463" s="5" t="s">
        <v>1173</v>
      </c>
      <c r="AV463" s="5">
        <v>372</v>
      </c>
      <c r="AW463" s="5" t="s">
        <v>1174</v>
      </c>
    </row>
    <row r="464" spans="1:49" x14ac:dyDescent="0.55000000000000004">
      <c r="A464" s="5" t="str">
        <f>HYPERLINK("https://www.infodis.net/philips/net/Shipment/Details?InfodisNumber=5837772&amp;DomainCode=PHILIPSR1", "5837772")</f>
        <v>5837772</v>
      </c>
      <c r="B464" s="5" t="s">
        <v>2033</v>
      </c>
      <c r="C464" s="5" t="s">
        <v>607</v>
      </c>
      <c r="D464" s="5" t="s">
        <v>608</v>
      </c>
      <c r="E464" s="5" t="s">
        <v>458</v>
      </c>
      <c r="F464" s="5" t="s">
        <v>1710</v>
      </c>
      <c r="G464" s="5" t="s">
        <v>610</v>
      </c>
      <c r="H464" s="5" t="s">
        <v>180</v>
      </c>
      <c r="I464" s="5" t="s">
        <v>194</v>
      </c>
      <c r="J464" s="5" t="s">
        <v>1036</v>
      </c>
      <c r="K464" s="5" t="s">
        <v>1711</v>
      </c>
      <c r="L464" s="5" t="s">
        <v>132</v>
      </c>
      <c r="M464" s="5" t="s">
        <v>60</v>
      </c>
      <c r="N464" s="5"/>
      <c r="O464" s="5"/>
      <c r="P464" s="5" t="s">
        <v>613</v>
      </c>
      <c r="Q464" s="5"/>
      <c r="R464" s="5" t="s">
        <v>1712</v>
      </c>
      <c r="S464" s="6">
        <v>43737</v>
      </c>
      <c r="T464" s="6">
        <v>43738</v>
      </c>
      <c r="U464" s="6">
        <v>43740</v>
      </c>
      <c r="V464" s="6">
        <v>43749</v>
      </c>
      <c r="W464" s="6">
        <v>43748</v>
      </c>
      <c r="X464" s="6">
        <v>43808</v>
      </c>
      <c r="Y464" s="5" t="s">
        <v>649</v>
      </c>
      <c r="Z464" s="5" t="s">
        <v>649</v>
      </c>
      <c r="AA464" s="5" t="s">
        <v>649</v>
      </c>
      <c r="AB464" s="5" t="s">
        <v>67</v>
      </c>
      <c r="AC464" s="5" t="s">
        <v>67</v>
      </c>
      <c r="AD464" s="5" t="s">
        <v>67</v>
      </c>
      <c r="AE464" s="5" t="s">
        <v>90</v>
      </c>
      <c r="AF464" s="5" t="s">
        <v>70</v>
      </c>
      <c r="AG464" s="5" t="s">
        <v>71</v>
      </c>
      <c r="AH464" s="5" t="s">
        <v>72</v>
      </c>
      <c r="AI464" s="5" t="s">
        <v>252</v>
      </c>
      <c r="AJ464" s="5">
        <v>0</v>
      </c>
      <c r="AK464" s="5">
        <v>0</v>
      </c>
      <c r="AL464" s="5">
        <v>0</v>
      </c>
      <c r="AM464" s="5">
        <v>0</v>
      </c>
      <c r="AN464" s="5">
        <v>18</v>
      </c>
      <c r="AO464" s="5">
        <v>4796.74</v>
      </c>
      <c r="AP464" s="5">
        <v>37.630000000000003</v>
      </c>
      <c r="AQ464" s="5" t="s">
        <v>713</v>
      </c>
      <c r="AR464" s="5" t="s">
        <v>1104</v>
      </c>
      <c r="AS464" s="5" t="s">
        <v>713</v>
      </c>
      <c r="AT464" s="6">
        <v>43790</v>
      </c>
      <c r="AU464" s="5" t="s">
        <v>1173</v>
      </c>
      <c r="AV464" s="5">
        <v>372</v>
      </c>
      <c r="AW464" s="5" t="s">
        <v>1174</v>
      </c>
    </row>
    <row r="465" spans="1:49" x14ac:dyDescent="0.55000000000000004">
      <c r="A465" s="5" t="str">
        <f>HYPERLINK("https://www.infodis.net/philips/net/Shipment/Details?InfodisNumber=4422214&amp;DomainCode=DAP", "4422214")</f>
        <v>4422214</v>
      </c>
      <c r="B465" s="5" t="s">
        <v>2034</v>
      </c>
      <c r="C465" s="5" t="s">
        <v>1193</v>
      </c>
      <c r="D465" s="5" t="s">
        <v>1194</v>
      </c>
      <c r="E465" s="5" t="s">
        <v>1193</v>
      </c>
      <c r="F465" s="5" t="s">
        <v>77</v>
      </c>
      <c r="G465" s="5" t="s">
        <v>945</v>
      </c>
      <c r="H465" s="5" t="s">
        <v>938</v>
      </c>
      <c r="I465" s="5" t="s">
        <v>293</v>
      </c>
      <c r="J465" s="5" t="s">
        <v>81</v>
      </c>
      <c r="K465" s="5" t="s">
        <v>82</v>
      </c>
      <c r="L465" s="5" t="s">
        <v>83</v>
      </c>
      <c r="M465" s="5" t="s">
        <v>60</v>
      </c>
      <c r="N465" s="5" t="s">
        <v>2035</v>
      </c>
      <c r="O465" s="5"/>
      <c r="P465" s="5" t="s">
        <v>1196</v>
      </c>
      <c r="Q465" s="5"/>
      <c r="R465" s="5" t="s">
        <v>87</v>
      </c>
      <c r="S465" s="6">
        <v>43923</v>
      </c>
      <c r="T465" s="6">
        <v>43952</v>
      </c>
      <c r="U465" s="5"/>
      <c r="V465" s="6">
        <v>43957</v>
      </c>
      <c r="W465" s="5"/>
      <c r="X465" s="5"/>
      <c r="Y465" s="5" t="s">
        <v>66</v>
      </c>
      <c r="Z465" s="5" t="s">
        <v>66</v>
      </c>
      <c r="AA465" s="5" t="s">
        <v>66</v>
      </c>
      <c r="AB465" s="5" t="s">
        <v>68</v>
      </c>
      <c r="AC465" s="5" t="s">
        <v>67</v>
      </c>
      <c r="AD465" s="5" t="s">
        <v>67</v>
      </c>
      <c r="AE465" s="5" t="s">
        <v>90</v>
      </c>
      <c r="AF465" s="5" t="s">
        <v>70</v>
      </c>
      <c r="AG465" s="5" t="s">
        <v>71</v>
      </c>
      <c r="AH465" s="5" t="s">
        <v>72</v>
      </c>
      <c r="AI465" s="5" t="s">
        <v>73</v>
      </c>
      <c r="AJ465" s="5">
        <v>0</v>
      </c>
      <c r="AK465" s="5">
        <v>0</v>
      </c>
      <c r="AL465" s="5">
        <v>0</v>
      </c>
      <c r="AM465" s="5">
        <v>0</v>
      </c>
      <c r="AN465" s="5">
        <v>40</v>
      </c>
      <c r="AO465" s="5">
        <v>19120</v>
      </c>
      <c r="AP465" s="5">
        <v>31.92</v>
      </c>
      <c r="AQ465" s="5" t="s">
        <v>713</v>
      </c>
      <c r="AR465" s="5" t="s">
        <v>1104</v>
      </c>
      <c r="AS465" s="5"/>
      <c r="AT465" s="5"/>
      <c r="AU465" s="5"/>
      <c r="AV465" s="5">
        <v>-1</v>
      </c>
      <c r="AW465" s="5" t="s">
        <v>1482</v>
      </c>
    </row>
    <row r="466" spans="1:49" x14ac:dyDescent="0.55000000000000004">
      <c r="A466" s="5" t="str">
        <f>HYPERLINK("https://www.infodis.net/philips/net/Shipment/Details?InfodisNumber=4422195&amp;DomainCode=DAP", "4422195")</f>
        <v>4422195</v>
      </c>
      <c r="B466" s="5" t="s">
        <v>2036</v>
      </c>
      <c r="C466" s="5" t="s">
        <v>1193</v>
      </c>
      <c r="D466" s="5" t="s">
        <v>1194</v>
      </c>
      <c r="E466" s="5" t="s">
        <v>1193</v>
      </c>
      <c r="F466" s="5" t="s">
        <v>77</v>
      </c>
      <c r="G466" s="5" t="s">
        <v>945</v>
      </c>
      <c r="H466" s="5" t="s">
        <v>938</v>
      </c>
      <c r="I466" s="5" t="s">
        <v>293</v>
      </c>
      <c r="J466" s="5" t="s">
        <v>81</v>
      </c>
      <c r="K466" s="5" t="s">
        <v>82</v>
      </c>
      <c r="L466" s="5" t="s">
        <v>83</v>
      </c>
      <c r="M466" s="5" t="s">
        <v>60</v>
      </c>
      <c r="N466" s="5" t="s">
        <v>2037</v>
      </c>
      <c r="O466" s="5"/>
      <c r="P466" s="5" t="s">
        <v>1196</v>
      </c>
      <c r="Q466" s="5"/>
      <c r="R466" s="5" t="s">
        <v>87</v>
      </c>
      <c r="S466" s="6">
        <v>43923</v>
      </c>
      <c r="T466" s="6">
        <v>43952</v>
      </c>
      <c r="U466" s="5"/>
      <c r="V466" s="6">
        <v>43957</v>
      </c>
      <c r="W466" s="5"/>
      <c r="X466" s="5"/>
      <c r="Y466" s="5" t="s">
        <v>66</v>
      </c>
      <c r="Z466" s="5" t="s">
        <v>66</v>
      </c>
      <c r="AA466" s="5" t="s">
        <v>66</v>
      </c>
      <c r="AB466" s="5" t="s">
        <v>68</v>
      </c>
      <c r="AC466" s="5" t="s">
        <v>67</v>
      </c>
      <c r="AD466" s="5" t="s">
        <v>67</v>
      </c>
      <c r="AE466" s="5" t="s">
        <v>162</v>
      </c>
      <c r="AF466" s="5" t="s">
        <v>70</v>
      </c>
      <c r="AG466" s="5" t="s">
        <v>71</v>
      </c>
      <c r="AH466" s="5" t="s">
        <v>72</v>
      </c>
      <c r="AI466" s="5" t="s">
        <v>73</v>
      </c>
      <c r="AJ466" s="5">
        <v>0</v>
      </c>
      <c r="AK466" s="5">
        <v>0</v>
      </c>
      <c r="AL466" s="5">
        <v>0</v>
      </c>
      <c r="AM466" s="5">
        <v>0</v>
      </c>
      <c r="AN466" s="5">
        <v>20</v>
      </c>
      <c r="AO466" s="5">
        <v>9560</v>
      </c>
      <c r="AP466" s="5">
        <v>15.96</v>
      </c>
      <c r="AQ466" s="5" t="s">
        <v>713</v>
      </c>
      <c r="AR466" s="5" t="s">
        <v>1104</v>
      </c>
      <c r="AS466" s="5"/>
      <c r="AT466" s="5"/>
      <c r="AU466" s="5"/>
      <c r="AV466" s="5">
        <v>-1</v>
      </c>
      <c r="AW466" s="5" t="s">
        <v>1482</v>
      </c>
    </row>
    <row r="467" spans="1:49" x14ac:dyDescent="0.55000000000000004">
      <c r="A467" s="5" t="str">
        <f>HYPERLINK("https://www.infodis.net/philips/net/Shipment/Details?InfodisNumber=4422164&amp;DomainCode=DAP", "4422164")</f>
        <v>4422164</v>
      </c>
      <c r="B467" s="5" t="s">
        <v>2038</v>
      </c>
      <c r="C467" s="5" t="s">
        <v>1193</v>
      </c>
      <c r="D467" s="5" t="s">
        <v>1194</v>
      </c>
      <c r="E467" s="5" t="s">
        <v>1193</v>
      </c>
      <c r="F467" s="5" t="s">
        <v>77</v>
      </c>
      <c r="G467" s="5" t="s">
        <v>945</v>
      </c>
      <c r="H467" s="5" t="s">
        <v>938</v>
      </c>
      <c r="I467" s="5" t="s">
        <v>293</v>
      </c>
      <c r="J467" s="5" t="s">
        <v>81</v>
      </c>
      <c r="K467" s="5" t="s">
        <v>82</v>
      </c>
      <c r="L467" s="5" t="s">
        <v>83</v>
      </c>
      <c r="M467" s="5" t="s">
        <v>60</v>
      </c>
      <c r="N467" s="5" t="s">
        <v>2039</v>
      </c>
      <c r="O467" s="5"/>
      <c r="P467" s="5" t="s">
        <v>1196</v>
      </c>
      <c r="Q467" s="5"/>
      <c r="R467" s="5" t="s">
        <v>87</v>
      </c>
      <c r="S467" s="6">
        <v>43923</v>
      </c>
      <c r="T467" s="6">
        <v>43952</v>
      </c>
      <c r="U467" s="5"/>
      <c r="V467" s="6">
        <v>43957</v>
      </c>
      <c r="W467" s="5"/>
      <c r="X467" s="5"/>
      <c r="Y467" s="5" t="s">
        <v>66</v>
      </c>
      <c r="Z467" s="5" t="s">
        <v>66</v>
      </c>
      <c r="AA467" s="5" t="s">
        <v>66</v>
      </c>
      <c r="AB467" s="5" t="s">
        <v>68</v>
      </c>
      <c r="AC467" s="5" t="s">
        <v>67</v>
      </c>
      <c r="AD467" s="5" t="s">
        <v>67</v>
      </c>
      <c r="AE467" s="5" t="s">
        <v>90</v>
      </c>
      <c r="AF467" s="5" t="s">
        <v>70</v>
      </c>
      <c r="AG467" s="5" t="s">
        <v>71</v>
      </c>
      <c r="AH467" s="5" t="s">
        <v>72</v>
      </c>
      <c r="AI467" s="5" t="s">
        <v>73</v>
      </c>
      <c r="AJ467" s="5">
        <v>0</v>
      </c>
      <c r="AK467" s="5">
        <v>0</v>
      </c>
      <c r="AL467" s="5">
        <v>0</v>
      </c>
      <c r="AM467" s="5">
        <v>0</v>
      </c>
      <c r="AN467" s="5">
        <v>40</v>
      </c>
      <c r="AO467" s="5">
        <v>19120</v>
      </c>
      <c r="AP467" s="5">
        <v>31.92</v>
      </c>
      <c r="AQ467" s="5" t="s">
        <v>713</v>
      </c>
      <c r="AR467" s="5" t="s">
        <v>1104</v>
      </c>
      <c r="AS467" s="5"/>
      <c r="AT467" s="5"/>
      <c r="AU467" s="5"/>
      <c r="AV467" s="5">
        <v>-1</v>
      </c>
      <c r="AW467" s="5" t="s">
        <v>1478</v>
      </c>
    </row>
    <row r="468" spans="1:49" x14ac:dyDescent="0.55000000000000004">
      <c r="A468" s="5" t="str">
        <f>HYPERLINK("https://www.infodis.net/philips/net/Shipment/Details?InfodisNumber=4559106&amp;DomainCode=DAP", "4559106")</f>
        <v>4559106</v>
      </c>
      <c r="B468" s="5" t="s">
        <v>2040</v>
      </c>
      <c r="C468" s="5" t="s">
        <v>585</v>
      </c>
      <c r="D468" s="5" t="s">
        <v>586</v>
      </c>
      <c r="E468" s="5" t="s">
        <v>393</v>
      </c>
      <c r="F468" s="5" t="s">
        <v>256</v>
      </c>
      <c r="G468" s="5" t="s">
        <v>394</v>
      </c>
      <c r="H468" s="5" t="s">
        <v>79</v>
      </c>
      <c r="I468" s="5" t="s">
        <v>122</v>
      </c>
      <c r="J468" s="5" t="s">
        <v>258</v>
      </c>
      <c r="K468" s="5" t="s">
        <v>259</v>
      </c>
      <c r="L468" s="5" t="s">
        <v>260</v>
      </c>
      <c r="M468" s="5" t="s">
        <v>309</v>
      </c>
      <c r="N468" s="5"/>
      <c r="O468" s="5"/>
      <c r="P468" s="5" t="s">
        <v>398</v>
      </c>
      <c r="Q468" s="5"/>
      <c r="R468" s="5" t="s">
        <v>262</v>
      </c>
      <c r="S468" s="6">
        <v>44152</v>
      </c>
      <c r="T468" s="6">
        <v>44173</v>
      </c>
      <c r="U468" s="5"/>
      <c r="V468" s="6">
        <v>44186</v>
      </c>
      <c r="W468" s="5"/>
      <c r="X468" s="5"/>
      <c r="Y468" s="5" t="s">
        <v>399</v>
      </c>
      <c r="Z468" s="5" t="s">
        <v>273</v>
      </c>
      <c r="AA468" s="5" t="s">
        <v>273</v>
      </c>
      <c r="AB468" s="5" t="s">
        <v>67</v>
      </c>
      <c r="AC468" s="5" t="s">
        <v>67</v>
      </c>
      <c r="AD468" s="5" t="s">
        <v>67</v>
      </c>
      <c r="AE468" s="5" t="s">
        <v>90</v>
      </c>
      <c r="AF468" s="5" t="s">
        <v>70</v>
      </c>
      <c r="AG468" s="5" t="s">
        <v>71</v>
      </c>
      <c r="AH468" s="5" t="s">
        <v>72</v>
      </c>
      <c r="AI468" s="5" t="s">
        <v>73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1</v>
      </c>
      <c r="AP468" s="5">
        <v>0</v>
      </c>
      <c r="AQ468" s="5" t="s">
        <v>713</v>
      </c>
      <c r="AR468" s="5" t="s">
        <v>1104</v>
      </c>
      <c r="AS468" s="5"/>
      <c r="AT468" s="5"/>
      <c r="AU468" s="5"/>
      <c r="AV468" s="5">
        <v>-1</v>
      </c>
      <c r="AW468" s="5" t="s">
        <v>1931</v>
      </c>
    </row>
    <row r="469" spans="1:49" x14ac:dyDescent="0.55000000000000004">
      <c r="A469" s="5" t="str">
        <f>HYPERLINK("https://www.infodis.net/philips/net/Shipment/Details?InfodisNumber=5836988&amp;DomainCode=PHILIPSR1", "5836988")</f>
        <v>5836988</v>
      </c>
      <c r="B469" s="5" t="s">
        <v>2041</v>
      </c>
      <c r="C469" s="5" t="s">
        <v>1716</v>
      </c>
      <c r="D469" s="5" t="s">
        <v>1717</v>
      </c>
      <c r="E469" s="5" t="s">
        <v>1664</v>
      </c>
      <c r="F469" s="5" t="s">
        <v>2026</v>
      </c>
      <c r="G469" s="5" t="s">
        <v>1052</v>
      </c>
      <c r="H469" s="5" t="s">
        <v>180</v>
      </c>
      <c r="I469" s="5" t="s">
        <v>652</v>
      </c>
      <c r="J469" s="5" t="s">
        <v>80</v>
      </c>
      <c r="K469" s="5" t="s">
        <v>2027</v>
      </c>
      <c r="L469" s="5" t="s">
        <v>79</v>
      </c>
      <c r="M469" s="5" t="s">
        <v>60</v>
      </c>
      <c r="N469" s="5" t="s">
        <v>2042</v>
      </c>
      <c r="O469" s="5"/>
      <c r="P469" s="5" t="s">
        <v>1055</v>
      </c>
      <c r="Q469" s="5"/>
      <c r="R469" s="5" t="s">
        <v>2029</v>
      </c>
      <c r="S469" s="6">
        <v>43736</v>
      </c>
      <c r="T469" s="6">
        <v>43738</v>
      </c>
      <c r="U469" s="6">
        <v>43747</v>
      </c>
      <c r="V469" s="6">
        <v>43756</v>
      </c>
      <c r="W469" s="6">
        <v>43756</v>
      </c>
      <c r="X469" s="6">
        <v>43804</v>
      </c>
      <c r="Y469" s="5" t="s">
        <v>649</v>
      </c>
      <c r="Z469" s="5" t="s">
        <v>649</v>
      </c>
      <c r="AA469" s="5" t="s">
        <v>649</v>
      </c>
      <c r="AB469" s="5" t="s">
        <v>67</v>
      </c>
      <c r="AC469" s="5" t="s">
        <v>67</v>
      </c>
      <c r="AD469" s="5" t="s">
        <v>67</v>
      </c>
      <c r="AE469" s="5" t="s">
        <v>69</v>
      </c>
      <c r="AF469" s="5" t="s">
        <v>70</v>
      </c>
      <c r="AG469" s="5" t="s">
        <v>71</v>
      </c>
      <c r="AH469" s="5" t="s">
        <v>72</v>
      </c>
      <c r="AI469" s="5" t="s">
        <v>252</v>
      </c>
      <c r="AJ469" s="5">
        <v>0</v>
      </c>
      <c r="AK469" s="5">
        <v>0</v>
      </c>
      <c r="AL469" s="5">
        <v>0</v>
      </c>
      <c r="AM469" s="5">
        <v>0</v>
      </c>
      <c r="AN469" s="5">
        <v>19</v>
      </c>
      <c r="AO469" s="5">
        <v>6128.03</v>
      </c>
      <c r="AP469" s="5">
        <v>36.246000000000002</v>
      </c>
      <c r="AQ469" s="5" t="s">
        <v>713</v>
      </c>
      <c r="AR469" s="5" t="s">
        <v>1104</v>
      </c>
      <c r="AS469" s="5" t="s">
        <v>713</v>
      </c>
      <c r="AT469" s="6">
        <v>43796</v>
      </c>
      <c r="AU469" s="5" t="s">
        <v>2030</v>
      </c>
      <c r="AV469" s="5">
        <v>366</v>
      </c>
      <c r="AW469" s="5" t="s">
        <v>2031</v>
      </c>
    </row>
    <row r="470" spans="1:49" x14ac:dyDescent="0.55000000000000004">
      <c r="A470" s="5" t="str">
        <f>HYPERLINK("https://www.infodis.net/philips/net/Shipment/Details?InfodisNumber=5584869&amp;DomainCode=PHILIPSR1", "5584869")</f>
        <v>5584869</v>
      </c>
      <c r="B470" s="5" t="s">
        <v>2043</v>
      </c>
      <c r="C470" s="5" t="s">
        <v>607</v>
      </c>
      <c r="D470" s="5" t="s">
        <v>608</v>
      </c>
      <c r="E470" s="5" t="s">
        <v>458</v>
      </c>
      <c r="F470" s="5" t="s">
        <v>1703</v>
      </c>
      <c r="G470" s="5" t="s">
        <v>610</v>
      </c>
      <c r="H470" s="5" t="s">
        <v>180</v>
      </c>
      <c r="I470" s="5" t="s">
        <v>194</v>
      </c>
      <c r="J470" s="5" t="s">
        <v>1704</v>
      </c>
      <c r="K470" s="5" t="s">
        <v>1528</v>
      </c>
      <c r="L470" s="5" t="s">
        <v>132</v>
      </c>
      <c r="M470" s="5" t="s">
        <v>60</v>
      </c>
      <c r="N470" s="5" t="s">
        <v>2044</v>
      </c>
      <c r="O470" s="5"/>
      <c r="P470" s="5" t="s">
        <v>613</v>
      </c>
      <c r="Q470" s="5"/>
      <c r="R470" s="5" t="s">
        <v>1706</v>
      </c>
      <c r="S470" s="6">
        <v>43645</v>
      </c>
      <c r="T470" s="6">
        <v>43644</v>
      </c>
      <c r="U470" s="6">
        <v>43655</v>
      </c>
      <c r="V470" s="6">
        <v>43658</v>
      </c>
      <c r="W470" s="6">
        <v>43668</v>
      </c>
      <c r="X470" s="6">
        <v>43724</v>
      </c>
      <c r="Y470" s="5" t="s">
        <v>649</v>
      </c>
      <c r="Z470" s="5" t="s">
        <v>649</v>
      </c>
      <c r="AA470" s="5" t="s">
        <v>66</v>
      </c>
      <c r="AB470" s="5" t="s">
        <v>67</v>
      </c>
      <c r="AC470" s="5" t="s">
        <v>67</v>
      </c>
      <c r="AD470" s="5" t="s">
        <v>68</v>
      </c>
      <c r="AE470" s="5" t="s">
        <v>90</v>
      </c>
      <c r="AF470" s="5" t="s">
        <v>70</v>
      </c>
      <c r="AG470" s="5" t="s">
        <v>71</v>
      </c>
      <c r="AH470" s="5" t="s">
        <v>72</v>
      </c>
      <c r="AI470" s="5" t="s">
        <v>252</v>
      </c>
      <c r="AJ470" s="5">
        <v>0</v>
      </c>
      <c r="AK470" s="5">
        <v>0</v>
      </c>
      <c r="AL470" s="5">
        <v>0</v>
      </c>
      <c r="AM470" s="5">
        <v>0</v>
      </c>
      <c r="AN470" s="5">
        <v>20</v>
      </c>
      <c r="AO470" s="5">
        <v>4967.74</v>
      </c>
      <c r="AP470" s="5">
        <v>37.529000000000003</v>
      </c>
      <c r="AQ470" s="5" t="s">
        <v>713</v>
      </c>
      <c r="AR470" s="5" t="s">
        <v>1104</v>
      </c>
      <c r="AS470" s="5" t="s">
        <v>713</v>
      </c>
      <c r="AT470" s="6">
        <v>43790</v>
      </c>
      <c r="AU470" s="5" t="s">
        <v>1173</v>
      </c>
      <c r="AV470" s="5">
        <v>372</v>
      </c>
      <c r="AW470" s="5" t="s">
        <v>1448</v>
      </c>
    </row>
  </sheetData>
  <autoFilter ref="A1:AW4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"/>
  <sheetViews>
    <sheetView zoomScale="75" workbookViewId="0"/>
  </sheetViews>
  <sheetFormatPr defaultRowHeight="14.4" x14ac:dyDescent="0.55000000000000004"/>
  <cols>
    <col min="1" max="49" width="21.68359375" customWidth="1"/>
  </cols>
  <sheetData>
    <row r="1" spans="1:4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55000000000000004">
      <c r="A2" t="str">
        <f>HYPERLINK("https://www.infodis.net/philips/net/Shipment/Details?InfodisNumber=4563257&amp;DomainCode=DAP", "4563257")</f>
        <v>4563257</v>
      </c>
      <c r="B2" t="s">
        <v>2045</v>
      </c>
      <c r="C2" t="s">
        <v>2046</v>
      </c>
      <c r="D2" t="s">
        <v>2047</v>
      </c>
      <c r="E2" t="s">
        <v>2046</v>
      </c>
      <c r="F2" t="s">
        <v>2048</v>
      </c>
      <c r="G2" t="s">
        <v>667</v>
      </c>
      <c r="H2" t="s">
        <v>79</v>
      </c>
      <c r="I2" t="s">
        <v>1813</v>
      </c>
      <c r="J2" t="s">
        <v>2049</v>
      </c>
      <c r="K2" t="s">
        <v>1262</v>
      </c>
      <c r="L2" t="s">
        <v>1263</v>
      </c>
      <c r="M2" t="s">
        <v>261</v>
      </c>
      <c r="P2" t="s">
        <v>623</v>
      </c>
      <c r="Q2" t="s">
        <v>2050</v>
      </c>
      <c r="R2" t="s">
        <v>1264</v>
      </c>
      <c r="S2" s="2">
        <v>44155</v>
      </c>
      <c r="T2" s="2">
        <v>44161</v>
      </c>
      <c r="V2" s="2">
        <v>44171</v>
      </c>
      <c r="Y2" t="s">
        <v>66</v>
      </c>
      <c r="Z2" t="s">
        <v>857</v>
      </c>
      <c r="AA2" t="s">
        <v>2051</v>
      </c>
      <c r="AB2" t="s">
        <v>68</v>
      </c>
      <c r="AC2" t="s">
        <v>67</v>
      </c>
      <c r="AD2" t="s">
        <v>67</v>
      </c>
      <c r="AF2" t="s">
        <v>70</v>
      </c>
      <c r="AG2" t="s">
        <v>2052</v>
      </c>
      <c r="AH2" t="s">
        <v>72</v>
      </c>
      <c r="AI2" t="s">
        <v>73</v>
      </c>
      <c r="AJ2">
        <v>0</v>
      </c>
      <c r="AK2">
        <v>0</v>
      </c>
      <c r="AL2">
        <v>0</v>
      </c>
      <c r="AM2">
        <v>0</v>
      </c>
      <c r="AN2">
        <v>7</v>
      </c>
      <c r="AO2">
        <v>3158</v>
      </c>
      <c r="AP2">
        <v>10.1</v>
      </c>
      <c r="AV2">
        <v>-1</v>
      </c>
    </row>
    <row r="3" spans="1:49" x14ac:dyDescent="0.55000000000000004">
      <c r="A3" t="str">
        <f>HYPERLINK("https://www.infodis.net/philips/net/Shipment/Details?InfodisNumber=4559735&amp;DomainCode=DAP", "4559735")</f>
        <v>4559735</v>
      </c>
      <c r="B3" t="s">
        <v>2053</v>
      </c>
      <c r="C3" t="s">
        <v>2054</v>
      </c>
      <c r="D3" t="s">
        <v>2055</v>
      </c>
      <c r="E3" t="s">
        <v>2054</v>
      </c>
      <c r="F3" t="s">
        <v>571</v>
      </c>
      <c r="G3" t="s">
        <v>2056</v>
      </c>
      <c r="H3" t="s">
        <v>180</v>
      </c>
      <c r="I3" t="s">
        <v>2057</v>
      </c>
      <c r="J3" t="s">
        <v>80</v>
      </c>
      <c r="K3" t="s">
        <v>546</v>
      </c>
      <c r="L3" t="s">
        <v>79</v>
      </c>
      <c r="M3" t="s">
        <v>84</v>
      </c>
      <c r="P3" t="s">
        <v>2058</v>
      </c>
      <c r="Q3" t="s">
        <v>2059</v>
      </c>
      <c r="R3" t="s">
        <v>575</v>
      </c>
      <c r="S3" s="2">
        <v>44152</v>
      </c>
      <c r="T3" s="2">
        <v>44153</v>
      </c>
      <c r="U3" s="2">
        <v>44153</v>
      </c>
      <c r="V3" s="2">
        <v>44163</v>
      </c>
      <c r="Y3" t="s">
        <v>857</v>
      </c>
      <c r="Z3" t="s">
        <v>857</v>
      </c>
      <c r="AA3" t="s">
        <v>857</v>
      </c>
      <c r="AB3" t="s">
        <v>67</v>
      </c>
      <c r="AC3" t="s">
        <v>67</v>
      </c>
      <c r="AD3" t="s">
        <v>67</v>
      </c>
      <c r="AF3" t="s">
        <v>70</v>
      </c>
      <c r="AG3" t="s">
        <v>2052</v>
      </c>
      <c r="AH3" t="s">
        <v>72</v>
      </c>
      <c r="AI3" t="s">
        <v>73</v>
      </c>
      <c r="AJ3">
        <v>0</v>
      </c>
      <c r="AK3">
        <v>0</v>
      </c>
      <c r="AL3">
        <v>0</v>
      </c>
      <c r="AM3">
        <v>0</v>
      </c>
      <c r="AN3">
        <v>1</v>
      </c>
      <c r="AO3">
        <v>152.41</v>
      </c>
      <c r="AP3">
        <v>2.5299999999999998</v>
      </c>
      <c r="AV3">
        <v>-1</v>
      </c>
    </row>
    <row r="4" spans="1:49" x14ac:dyDescent="0.55000000000000004">
      <c r="A4" t="str">
        <f>HYPERLINK("https://www.infodis.net/philips/net/Shipment/Details?InfodisNumber=4559780&amp;DomainCode=DAP", "4559780")</f>
        <v>4559780</v>
      </c>
      <c r="B4" t="s">
        <v>2060</v>
      </c>
      <c r="C4" t="s">
        <v>2061</v>
      </c>
      <c r="D4" t="s">
        <v>2062</v>
      </c>
      <c r="E4" t="s">
        <v>94</v>
      </c>
      <c r="F4" t="s">
        <v>141</v>
      </c>
      <c r="G4" t="s">
        <v>1282</v>
      </c>
      <c r="H4" t="s">
        <v>79</v>
      </c>
      <c r="I4" t="s">
        <v>2063</v>
      </c>
      <c r="J4" t="s">
        <v>142</v>
      </c>
      <c r="K4" t="s">
        <v>143</v>
      </c>
      <c r="L4" t="s">
        <v>83</v>
      </c>
      <c r="M4" t="s">
        <v>60</v>
      </c>
      <c r="P4" t="s">
        <v>2064</v>
      </c>
      <c r="Q4" t="s">
        <v>2065</v>
      </c>
      <c r="R4" t="s">
        <v>144</v>
      </c>
      <c r="S4" s="2">
        <v>44153</v>
      </c>
      <c r="T4" s="2">
        <v>44159</v>
      </c>
      <c r="U4" s="2">
        <v>44161</v>
      </c>
      <c r="V4" s="2">
        <v>44169</v>
      </c>
      <c r="Y4" t="s">
        <v>857</v>
      </c>
      <c r="Z4" t="s">
        <v>857</v>
      </c>
      <c r="AA4" t="s">
        <v>474</v>
      </c>
      <c r="AB4" t="s">
        <v>67</v>
      </c>
      <c r="AC4" t="s">
        <v>67</v>
      </c>
      <c r="AD4" t="s">
        <v>67</v>
      </c>
      <c r="AF4" t="s">
        <v>70</v>
      </c>
      <c r="AG4" t="s">
        <v>2052</v>
      </c>
      <c r="AH4" t="s">
        <v>72</v>
      </c>
      <c r="AI4" t="s">
        <v>73</v>
      </c>
      <c r="AJ4">
        <v>0</v>
      </c>
      <c r="AK4">
        <v>0</v>
      </c>
      <c r="AL4">
        <v>0</v>
      </c>
      <c r="AM4">
        <v>0</v>
      </c>
      <c r="AN4">
        <v>1</v>
      </c>
      <c r="AO4">
        <v>415</v>
      </c>
      <c r="AP4">
        <v>1.92</v>
      </c>
      <c r="AV4">
        <v>-1</v>
      </c>
    </row>
    <row r="5" spans="1:49" x14ac:dyDescent="0.55000000000000004">
      <c r="A5" t="str">
        <f>HYPERLINK("https://www.infodis.net/philips/net/Shipment/Details?InfodisNumber=4568112&amp;DomainCode=DAP", "4568112")</f>
        <v>4568112</v>
      </c>
      <c r="B5" t="s">
        <v>2066</v>
      </c>
      <c r="C5" t="s">
        <v>2067</v>
      </c>
      <c r="D5" t="s">
        <v>2068</v>
      </c>
      <c r="E5" t="s">
        <v>2069</v>
      </c>
      <c r="F5" t="s">
        <v>2070</v>
      </c>
      <c r="G5" t="s">
        <v>82</v>
      </c>
      <c r="H5" t="s">
        <v>83</v>
      </c>
      <c r="I5" t="s">
        <v>81</v>
      </c>
      <c r="J5" t="s">
        <v>2071</v>
      </c>
      <c r="K5" t="s">
        <v>2072</v>
      </c>
      <c r="L5" t="s">
        <v>132</v>
      </c>
      <c r="M5" t="s">
        <v>84</v>
      </c>
      <c r="P5" t="s">
        <v>87</v>
      </c>
      <c r="R5" t="s">
        <v>2073</v>
      </c>
      <c r="S5" s="2">
        <v>44162</v>
      </c>
      <c r="T5" s="2">
        <v>44162</v>
      </c>
      <c r="V5" s="2">
        <v>44172</v>
      </c>
      <c r="Y5" t="s">
        <v>857</v>
      </c>
      <c r="Z5" t="s">
        <v>857</v>
      </c>
      <c r="AA5" t="s">
        <v>857</v>
      </c>
      <c r="AB5" t="s">
        <v>67</v>
      </c>
      <c r="AC5" t="s">
        <v>67</v>
      </c>
      <c r="AD5" t="s">
        <v>67</v>
      </c>
      <c r="AF5" t="s">
        <v>70</v>
      </c>
      <c r="AG5" t="s">
        <v>2052</v>
      </c>
      <c r="AH5" t="s">
        <v>72</v>
      </c>
      <c r="AI5" t="s">
        <v>73</v>
      </c>
      <c r="AJ5">
        <v>0</v>
      </c>
      <c r="AK5">
        <v>0</v>
      </c>
      <c r="AL5">
        <v>0</v>
      </c>
      <c r="AM5">
        <v>0</v>
      </c>
      <c r="AN5">
        <v>1</v>
      </c>
      <c r="AO5">
        <v>88</v>
      </c>
      <c r="AP5">
        <v>0.96</v>
      </c>
      <c r="AV5">
        <v>-1</v>
      </c>
    </row>
    <row r="6" spans="1:49" x14ac:dyDescent="0.55000000000000004">
      <c r="A6" t="str">
        <f>HYPERLINK("https://www.infodis.net/philips/net/Shipment/Details?InfodisNumber=4560889&amp;DomainCode=DAP", "4560889")</f>
        <v>4560889</v>
      </c>
      <c r="B6" t="s">
        <v>2074</v>
      </c>
      <c r="C6" t="s">
        <v>212</v>
      </c>
      <c r="D6" t="s">
        <v>213</v>
      </c>
      <c r="E6" t="s">
        <v>214</v>
      </c>
      <c r="F6" t="s">
        <v>2075</v>
      </c>
      <c r="G6" t="s">
        <v>216</v>
      </c>
      <c r="H6" t="s">
        <v>55</v>
      </c>
      <c r="I6" t="s">
        <v>495</v>
      </c>
      <c r="J6" t="s">
        <v>2076</v>
      </c>
      <c r="K6" t="s">
        <v>530</v>
      </c>
      <c r="L6" t="s">
        <v>73</v>
      </c>
      <c r="M6" t="s">
        <v>60</v>
      </c>
      <c r="O6" t="s">
        <v>2077</v>
      </c>
      <c r="P6" t="s">
        <v>222</v>
      </c>
      <c r="Q6" t="s">
        <v>2078</v>
      </c>
      <c r="R6" t="s">
        <v>531</v>
      </c>
      <c r="S6" s="2">
        <v>44154</v>
      </c>
      <c r="T6" s="2">
        <v>44158</v>
      </c>
      <c r="U6" s="2">
        <v>44159</v>
      </c>
      <c r="V6" s="2">
        <v>44159</v>
      </c>
      <c r="Y6" t="s">
        <v>857</v>
      </c>
      <c r="Z6" t="s">
        <v>857</v>
      </c>
      <c r="AA6" t="s">
        <v>857</v>
      </c>
      <c r="AB6" t="s">
        <v>67</v>
      </c>
      <c r="AC6" t="s">
        <v>67</v>
      </c>
      <c r="AD6" t="s">
        <v>67</v>
      </c>
      <c r="AF6" t="s">
        <v>70</v>
      </c>
      <c r="AG6" t="s">
        <v>2052</v>
      </c>
      <c r="AH6" t="s">
        <v>72</v>
      </c>
      <c r="AI6" t="s">
        <v>73</v>
      </c>
      <c r="AJ6">
        <v>0</v>
      </c>
      <c r="AK6">
        <v>0</v>
      </c>
      <c r="AL6">
        <v>0</v>
      </c>
      <c r="AM6">
        <v>0</v>
      </c>
      <c r="AN6">
        <v>2</v>
      </c>
      <c r="AO6">
        <v>232.88</v>
      </c>
      <c r="AP6">
        <v>1.8580000000000001</v>
      </c>
      <c r="AV6">
        <v>-1</v>
      </c>
    </row>
    <row r="7" spans="1:49" x14ac:dyDescent="0.55000000000000004">
      <c r="A7" t="str">
        <f>HYPERLINK("https://www.infodis.net/philips/net/Shipment/Details?InfodisNumber=1542560&amp;DomainCode=PHILIPSM1", "1542560")</f>
        <v>1542560</v>
      </c>
      <c r="B7" t="s">
        <v>2079</v>
      </c>
      <c r="C7" t="s">
        <v>2080</v>
      </c>
      <c r="D7" t="s">
        <v>2081</v>
      </c>
      <c r="E7" t="s">
        <v>2082</v>
      </c>
      <c r="F7" t="s">
        <v>2083</v>
      </c>
      <c r="G7" t="s">
        <v>1430</v>
      </c>
      <c r="H7" t="s">
        <v>244</v>
      </c>
      <c r="I7" t="s">
        <v>2084</v>
      </c>
      <c r="J7" t="s">
        <v>2085</v>
      </c>
      <c r="K7" t="s">
        <v>2086</v>
      </c>
      <c r="L7" t="s">
        <v>2087</v>
      </c>
      <c r="M7" t="s">
        <v>60</v>
      </c>
      <c r="P7" t="s">
        <v>1432</v>
      </c>
      <c r="R7" t="s">
        <v>2086</v>
      </c>
      <c r="S7" s="2">
        <v>44123</v>
      </c>
      <c r="T7" s="2">
        <v>44125</v>
      </c>
      <c r="V7" s="2">
        <v>44128</v>
      </c>
      <c r="Y7" t="s">
        <v>857</v>
      </c>
      <c r="Z7" t="s">
        <v>857</v>
      </c>
      <c r="AA7" t="s">
        <v>603</v>
      </c>
      <c r="AB7" t="s">
        <v>67</v>
      </c>
      <c r="AC7" t="s">
        <v>67</v>
      </c>
      <c r="AD7" t="s">
        <v>68</v>
      </c>
      <c r="AF7" t="s">
        <v>70</v>
      </c>
      <c r="AG7" t="s">
        <v>2052</v>
      </c>
      <c r="AH7" t="s">
        <v>72</v>
      </c>
      <c r="AI7" t="s">
        <v>605</v>
      </c>
      <c r="AJ7">
        <v>0</v>
      </c>
      <c r="AK7">
        <v>0</v>
      </c>
      <c r="AL7">
        <v>0</v>
      </c>
      <c r="AM7">
        <v>0</v>
      </c>
      <c r="AN7">
        <v>0</v>
      </c>
      <c r="AO7">
        <v>2.9</v>
      </c>
      <c r="AP7">
        <v>0</v>
      </c>
      <c r="AV7">
        <v>-1</v>
      </c>
    </row>
    <row r="8" spans="1:49" x14ac:dyDescent="0.55000000000000004">
      <c r="A8" t="str">
        <f>HYPERLINK("https://www.infodis.net/philips/net/Shipment/Details?InfodisNumber=1549011&amp;DomainCode=PHILIPSM1", "1549011")</f>
        <v>1549011</v>
      </c>
      <c r="B8" t="s">
        <v>2088</v>
      </c>
      <c r="C8" t="s">
        <v>2080</v>
      </c>
      <c r="D8" t="s">
        <v>2081</v>
      </c>
      <c r="E8" t="s">
        <v>2089</v>
      </c>
      <c r="F8" t="s">
        <v>2090</v>
      </c>
      <c r="G8" t="s">
        <v>1430</v>
      </c>
      <c r="H8" t="s">
        <v>244</v>
      </c>
      <c r="K8" t="s">
        <v>369</v>
      </c>
      <c r="L8" t="s">
        <v>159</v>
      </c>
      <c r="M8" t="s">
        <v>60</v>
      </c>
      <c r="P8" t="s">
        <v>1432</v>
      </c>
      <c r="R8" t="s">
        <v>655</v>
      </c>
      <c r="S8" s="2">
        <v>44126</v>
      </c>
      <c r="T8" s="2">
        <v>44126</v>
      </c>
      <c r="Y8" t="s">
        <v>857</v>
      </c>
      <c r="Z8" t="s">
        <v>857</v>
      </c>
      <c r="AA8" t="s">
        <v>603</v>
      </c>
      <c r="AB8" t="s">
        <v>67</v>
      </c>
      <c r="AC8" t="s">
        <v>67</v>
      </c>
      <c r="AD8" t="s">
        <v>68</v>
      </c>
      <c r="AF8" t="s">
        <v>70</v>
      </c>
      <c r="AG8" t="s">
        <v>2052</v>
      </c>
      <c r="AH8" t="s">
        <v>72</v>
      </c>
      <c r="AI8" t="s">
        <v>605</v>
      </c>
      <c r="AJ8">
        <v>0</v>
      </c>
      <c r="AK8">
        <v>0</v>
      </c>
      <c r="AL8">
        <v>0</v>
      </c>
      <c r="AM8">
        <v>0</v>
      </c>
      <c r="AN8">
        <v>0</v>
      </c>
      <c r="AO8">
        <v>2.8</v>
      </c>
      <c r="AP8">
        <v>0</v>
      </c>
      <c r="AV8">
        <v>-1</v>
      </c>
    </row>
    <row r="9" spans="1:49" x14ac:dyDescent="0.55000000000000004">
      <c r="A9" t="str">
        <f>HYPERLINK("https://www.infodis.net/philips/net/Shipment/Details?InfodisNumber=1557599&amp;DomainCode=PHILIPSM1", "1557599")</f>
        <v>1557599</v>
      </c>
      <c r="B9" t="s">
        <v>2091</v>
      </c>
      <c r="C9" t="s">
        <v>2092</v>
      </c>
      <c r="D9" t="s">
        <v>2093</v>
      </c>
      <c r="E9" t="s">
        <v>2092</v>
      </c>
      <c r="F9" t="s">
        <v>2089</v>
      </c>
      <c r="G9" t="s">
        <v>2094</v>
      </c>
      <c r="H9" t="s">
        <v>180</v>
      </c>
      <c r="K9" t="s">
        <v>1430</v>
      </c>
      <c r="L9" t="s">
        <v>244</v>
      </c>
      <c r="M9" t="s">
        <v>60</v>
      </c>
      <c r="P9" t="s">
        <v>2095</v>
      </c>
      <c r="R9" t="s">
        <v>1432</v>
      </c>
      <c r="S9" s="2">
        <v>44138</v>
      </c>
      <c r="T9" s="2">
        <v>44151</v>
      </c>
      <c r="Y9" t="s">
        <v>857</v>
      </c>
      <c r="Z9" t="s">
        <v>857</v>
      </c>
      <c r="AA9" t="s">
        <v>857</v>
      </c>
      <c r="AB9" t="s">
        <v>67</v>
      </c>
      <c r="AC9" t="s">
        <v>67</v>
      </c>
      <c r="AD9" t="s">
        <v>67</v>
      </c>
      <c r="AF9" t="s">
        <v>70</v>
      </c>
      <c r="AG9" t="s">
        <v>2052</v>
      </c>
      <c r="AH9" t="s">
        <v>72</v>
      </c>
      <c r="AI9" t="s">
        <v>605</v>
      </c>
      <c r="AJ9">
        <v>0</v>
      </c>
      <c r="AK9">
        <v>0</v>
      </c>
      <c r="AL9">
        <v>0</v>
      </c>
      <c r="AM9">
        <v>0</v>
      </c>
      <c r="AN9">
        <v>0</v>
      </c>
      <c r="AO9">
        <v>226.8</v>
      </c>
      <c r="AP9">
        <v>0.82099999999999995</v>
      </c>
      <c r="AV9">
        <v>-1</v>
      </c>
    </row>
    <row r="10" spans="1:49" x14ac:dyDescent="0.55000000000000004">
      <c r="A10" t="str">
        <f>HYPERLINK("https://www.infodis.net/philips/net/Shipment/Details?InfodisNumber=4557505&amp;DomainCode=DAP", "4557505")</f>
        <v>4557505</v>
      </c>
      <c r="B10" t="s">
        <v>2096</v>
      </c>
      <c r="C10" t="s">
        <v>2097</v>
      </c>
      <c r="D10" t="s">
        <v>2098</v>
      </c>
      <c r="E10" t="s">
        <v>304</v>
      </c>
      <c r="F10" t="s">
        <v>2099</v>
      </c>
      <c r="G10" t="s">
        <v>306</v>
      </c>
      <c r="H10" t="s">
        <v>307</v>
      </c>
      <c r="I10" t="s">
        <v>786</v>
      </c>
      <c r="J10" t="s">
        <v>1599</v>
      </c>
      <c r="K10" t="s">
        <v>2100</v>
      </c>
      <c r="L10" t="s">
        <v>1598</v>
      </c>
      <c r="M10" t="s">
        <v>133</v>
      </c>
      <c r="P10" t="s">
        <v>312</v>
      </c>
      <c r="Q10" t="s">
        <v>2101</v>
      </c>
      <c r="R10" t="s">
        <v>2102</v>
      </c>
      <c r="S10" s="2">
        <v>44148</v>
      </c>
      <c r="T10" s="2">
        <v>44154</v>
      </c>
      <c r="U10" s="2">
        <v>44154</v>
      </c>
      <c r="V10" s="2">
        <v>44164</v>
      </c>
      <c r="W10" s="2">
        <v>44155</v>
      </c>
      <c r="Y10" t="s">
        <v>857</v>
      </c>
      <c r="Z10" t="s">
        <v>857</v>
      </c>
      <c r="AA10" t="s">
        <v>857</v>
      </c>
      <c r="AB10" t="s">
        <v>67</v>
      </c>
      <c r="AC10" t="s">
        <v>67</v>
      </c>
      <c r="AD10" t="s">
        <v>67</v>
      </c>
      <c r="AF10" t="s">
        <v>70</v>
      </c>
      <c r="AG10" t="s">
        <v>2052</v>
      </c>
      <c r="AH10" t="s">
        <v>72</v>
      </c>
      <c r="AI10" t="s">
        <v>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326.95800000000003</v>
      </c>
      <c r="AP10">
        <v>1.7929999999999999</v>
      </c>
      <c r="AV10">
        <v>-1</v>
      </c>
    </row>
    <row r="11" spans="1:49" x14ac:dyDescent="0.55000000000000004">
      <c r="A11" t="str">
        <f>HYPERLINK("https://www.infodis.net/philips/net/Shipment/Details?InfodisNumber=4563785&amp;DomainCode=DAP", "4563785")</f>
        <v>4563785</v>
      </c>
      <c r="B11" t="s">
        <v>2103</v>
      </c>
      <c r="C11" t="s">
        <v>2104</v>
      </c>
      <c r="D11" t="s">
        <v>2105</v>
      </c>
      <c r="E11" t="s">
        <v>2104</v>
      </c>
      <c r="F11" t="s">
        <v>52</v>
      </c>
      <c r="G11" t="s">
        <v>2106</v>
      </c>
      <c r="H11" t="s">
        <v>79</v>
      </c>
      <c r="I11" t="s">
        <v>2107</v>
      </c>
      <c r="J11" t="s">
        <v>495</v>
      </c>
      <c r="K11" t="s">
        <v>1224</v>
      </c>
      <c r="L11" t="s">
        <v>55</v>
      </c>
      <c r="M11" t="s">
        <v>1489</v>
      </c>
      <c r="P11" t="s">
        <v>2108</v>
      </c>
      <c r="R11" t="s">
        <v>1227</v>
      </c>
      <c r="S11" s="2">
        <v>44155</v>
      </c>
      <c r="T11" s="2">
        <v>44160</v>
      </c>
      <c r="V11" s="2">
        <v>44170</v>
      </c>
      <c r="Y11" t="s">
        <v>857</v>
      </c>
      <c r="Z11" t="s">
        <v>857</v>
      </c>
      <c r="AA11" t="s">
        <v>857</v>
      </c>
      <c r="AB11" t="s">
        <v>67</v>
      </c>
      <c r="AC11" t="s">
        <v>67</v>
      </c>
      <c r="AD11" t="s">
        <v>67</v>
      </c>
      <c r="AF11" t="s">
        <v>70</v>
      </c>
      <c r="AG11" t="s">
        <v>2052</v>
      </c>
      <c r="AH11" t="s">
        <v>72</v>
      </c>
      <c r="AI11" t="s">
        <v>73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1009.26</v>
      </c>
      <c r="AP11">
        <v>11.547000000000001</v>
      </c>
      <c r="AV11">
        <v>-1</v>
      </c>
    </row>
    <row r="12" spans="1:49" x14ac:dyDescent="0.55000000000000004">
      <c r="A12" t="str">
        <f>HYPERLINK("https://www.infodis.net/philips/net/Shipment/Details?InfodisNumber=4563976&amp;DomainCode=DAP", "4563976")</f>
        <v>4563976</v>
      </c>
      <c r="B12" t="s">
        <v>2109</v>
      </c>
      <c r="C12" t="s">
        <v>2097</v>
      </c>
      <c r="D12" t="s">
        <v>2098</v>
      </c>
      <c r="E12" t="s">
        <v>304</v>
      </c>
      <c r="F12" t="s">
        <v>2110</v>
      </c>
      <c r="G12" t="s">
        <v>306</v>
      </c>
      <c r="H12" t="s">
        <v>307</v>
      </c>
      <c r="I12" t="s">
        <v>786</v>
      </c>
      <c r="J12" t="s">
        <v>268</v>
      </c>
      <c r="K12" t="s">
        <v>2111</v>
      </c>
      <c r="L12" t="s">
        <v>267</v>
      </c>
      <c r="M12" t="s">
        <v>309</v>
      </c>
      <c r="P12" t="s">
        <v>312</v>
      </c>
      <c r="Q12" t="s">
        <v>2112</v>
      </c>
      <c r="R12" t="s">
        <v>1335</v>
      </c>
      <c r="S12" s="2">
        <v>44155</v>
      </c>
      <c r="T12" s="2">
        <v>44161</v>
      </c>
      <c r="V12" s="2">
        <v>44171</v>
      </c>
      <c r="Y12" t="s">
        <v>857</v>
      </c>
      <c r="Z12" t="s">
        <v>857</v>
      </c>
      <c r="AA12" t="s">
        <v>857</v>
      </c>
      <c r="AB12" t="s">
        <v>67</v>
      </c>
      <c r="AC12" t="s">
        <v>67</v>
      </c>
      <c r="AD12" t="s">
        <v>67</v>
      </c>
      <c r="AF12" t="s">
        <v>70</v>
      </c>
      <c r="AG12" t="s">
        <v>2052</v>
      </c>
      <c r="AH12" t="s">
        <v>72</v>
      </c>
      <c r="AI12" t="s">
        <v>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1260</v>
      </c>
      <c r="AP12">
        <v>4.79</v>
      </c>
      <c r="AV12">
        <v>-1</v>
      </c>
    </row>
    <row r="13" spans="1:49" x14ac:dyDescent="0.55000000000000004">
      <c r="A13" t="str">
        <f>HYPERLINK("https://www.infodis.net/philips/net/Shipment/Details?InfodisNumber=4563989&amp;DomainCode=DAP", "4563989")</f>
        <v>4563989</v>
      </c>
      <c r="B13" t="s">
        <v>2113</v>
      </c>
      <c r="C13" t="s">
        <v>2097</v>
      </c>
      <c r="D13" t="s">
        <v>2098</v>
      </c>
      <c r="E13" t="s">
        <v>304</v>
      </c>
      <c r="F13" t="s">
        <v>2114</v>
      </c>
      <c r="G13" t="s">
        <v>306</v>
      </c>
      <c r="H13" t="s">
        <v>307</v>
      </c>
      <c r="I13" t="s">
        <v>786</v>
      </c>
      <c r="J13" t="s">
        <v>113</v>
      </c>
      <c r="K13" t="s">
        <v>114</v>
      </c>
      <c r="L13" t="s">
        <v>59</v>
      </c>
      <c r="M13" t="s">
        <v>60</v>
      </c>
      <c r="P13" t="s">
        <v>312</v>
      </c>
      <c r="Q13" t="s">
        <v>2115</v>
      </c>
      <c r="R13" t="s">
        <v>117</v>
      </c>
      <c r="S13" s="2">
        <v>44155</v>
      </c>
      <c r="T13" s="2">
        <v>44161</v>
      </c>
      <c r="V13" s="2">
        <v>44171</v>
      </c>
      <c r="Y13" t="s">
        <v>857</v>
      </c>
      <c r="Z13" t="s">
        <v>857</v>
      </c>
      <c r="AA13" t="s">
        <v>857</v>
      </c>
      <c r="AB13" t="s">
        <v>67</v>
      </c>
      <c r="AC13" t="s">
        <v>67</v>
      </c>
      <c r="AD13" t="s">
        <v>67</v>
      </c>
      <c r="AF13" t="s">
        <v>70</v>
      </c>
      <c r="AG13" t="s">
        <v>2052</v>
      </c>
      <c r="AH13" t="s">
        <v>72</v>
      </c>
      <c r="AI13" t="s">
        <v>73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591.202</v>
      </c>
      <c r="AP13">
        <v>4.8570000000000002</v>
      </c>
      <c r="AV13">
        <v>-1</v>
      </c>
    </row>
    <row r="14" spans="1:49" x14ac:dyDescent="0.55000000000000004">
      <c r="A14" t="str">
        <f>HYPERLINK("https://www.infodis.net/philips/net/Shipment/Details?InfodisNumber=4564528&amp;DomainCode=DAP", "4564528")</f>
        <v>4564528</v>
      </c>
      <c r="B14" t="s">
        <v>2116</v>
      </c>
      <c r="C14" t="s">
        <v>2117</v>
      </c>
      <c r="D14" t="s">
        <v>2118</v>
      </c>
      <c r="E14" t="s">
        <v>94</v>
      </c>
      <c r="F14" t="s">
        <v>403</v>
      </c>
      <c r="G14" t="s">
        <v>2119</v>
      </c>
      <c r="H14" t="s">
        <v>79</v>
      </c>
      <c r="I14" t="s">
        <v>2120</v>
      </c>
      <c r="J14" t="s">
        <v>157</v>
      </c>
      <c r="K14" t="s">
        <v>2121</v>
      </c>
      <c r="L14" t="s">
        <v>159</v>
      </c>
      <c r="M14" t="s">
        <v>385</v>
      </c>
      <c r="P14" t="s">
        <v>2122</v>
      </c>
      <c r="R14" t="s">
        <v>2123</v>
      </c>
      <c r="S14" s="2">
        <v>44158</v>
      </c>
      <c r="T14" s="2">
        <v>44165</v>
      </c>
      <c r="V14" s="2">
        <v>44175</v>
      </c>
      <c r="Y14" t="s">
        <v>66</v>
      </c>
      <c r="Z14" t="s">
        <v>857</v>
      </c>
      <c r="AA14" t="s">
        <v>66</v>
      </c>
      <c r="AB14" t="s">
        <v>67</v>
      </c>
      <c r="AC14" t="s">
        <v>67</v>
      </c>
      <c r="AD14" t="s">
        <v>68</v>
      </c>
      <c r="AF14" t="s">
        <v>70</v>
      </c>
      <c r="AG14" t="s">
        <v>2052</v>
      </c>
      <c r="AH14" t="s">
        <v>199</v>
      </c>
      <c r="AI14" t="s">
        <v>73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680</v>
      </c>
      <c r="AP14">
        <v>3.84</v>
      </c>
      <c r="AV14">
        <v>-1</v>
      </c>
    </row>
    <row r="15" spans="1:49" x14ac:dyDescent="0.55000000000000004">
      <c r="A15" t="str">
        <f>HYPERLINK("https://www.infodis.net/philips/net/Shipment/Details?InfodisNumber=4565782&amp;DomainCode=DAP", "4565782")</f>
        <v>4565782</v>
      </c>
      <c r="B15" t="s">
        <v>2124</v>
      </c>
      <c r="C15" t="s">
        <v>2125</v>
      </c>
      <c r="D15" t="s">
        <v>2126</v>
      </c>
      <c r="E15" t="s">
        <v>393</v>
      </c>
      <c r="F15" t="s">
        <v>2127</v>
      </c>
      <c r="G15" t="s">
        <v>394</v>
      </c>
      <c r="H15" t="s">
        <v>79</v>
      </c>
      <c r="I15" t="s">
        <v>587</v>
      </c>
      <c r="J15" t="s">
        <v>759</v>
      </c>
      <c r="K15" t="s">
        <v>259</v>
      </c>
      <c r="L15" t="s">
        <v>260</v>
      </c>
      <c r="M15" t="s">
        <v>84</v>
      </c>
      <c r="P15" t="s">
        <v>398</v>
      </c>
      <c r="Q15" t="s">
        <v>2128</v>
      </c>
      <c r="R15" t="s">
        <v>262</v>
      </c>
      <c r="S15" s="2">
        <v>44159</v>
      </c>
      <c r="T15" s="2">
        <v>44162</v>
      </c>
      <c r="V15" s="2">
        <v>44172</v>
      </c>
      <c r="Y15" t="s">
        <v>2129</v>
      </c>
      <c r="Z15" t="s">
        <v>857</v>
      </c>
      <c r="AA15" t="s">
        <v>857</v>
      </c>
      <c r="AB15" t="s">
        <v>67</v>
      </c>
      <c r="AC15" t="s">
        <v>67</v>
      </c>
      <c r="AD15" t="s">
        <v>67</v>
      </c>
      <c r="AF15" t="s">
        <v>70</v>
      </c>
      <c r="AG15" t="s">
        <v>2052</v>
      </c>
      <c r="AH15" t="s">
        <v>199</v>
      </c>
      <c r="AI15" t="s">
        <v>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581.48</v>
      </c>
      <c r="AP15">
        <v>5.04</v>
      </c>
      <c r="AV15">
        <v>-1</v>
      </c>
    </row>
    <row r="16" spans="1:49" x14ac:dyDescent="0.55000000000000004">
      <c r="A16" t="str">
        <f>HYPERLINK("https://www.infodis.net/philips/net/Shipment/Details?InfodisNumber=4565974&amp;DomainCode=DAP", "4565974")</f>
        <v>4565974</v>
      </c>
      <c r="B16" t="s">
        <v>2130</v>
      </c>
      <c r="C16" t="s">
        <v>212</v>
      </c>
      <c r="D16" t="s">
        <v>213</v>
      </c>
      <c r="E16" t="s">
        <v>214</v>
      </c>
      <c r="F16" t="s">
        <v>2131</v>
      </c>
      <c r="G16" t="s">
        <v>216</v>
      </c>
      <c r="H16" t="s">
        <v>55</v>
      </c>
      <c r="I16" t="s">
        <v>495</v>
      </c>
      <c r="J16" t="s">
        <v>2132</v>
      </c>
      <c r="K16" t="s">
        <v>2133</v>
      </c>
      <c r="L16" t="s">
        <v>2134</v>
      </c>
      <c r="M16" t="s">
        <v>60</v>
      </c>
      <c r="P16" t="s">
        <v>222</v>
      </c>
      <c r="Q16" t="s">
        <v>2135</v>
      </c>
      <c r="R16" t="s">
        <v>2136</v>
      </c>
      <c r="S16" s="2">
        <v>44159</v>
      </c>
      <c r="T16" s="2">
        <v>44162</v>
      </c>
      <c r="V16" s="2">
        <v>44172</v>
      </c>
      <c r="Y16" t="s">
        <v>857</v>
      </c>
      <c r="Z16" t="s">
        <v>857</v>
      </c>
      <c r="AA16" t="s">
        <v>857</v>
      </c>
      <c r="AB16" t="s">
        <v>67</v>
      </c>
      <c r="AC16" t="s">
        <v>67</v>
      </c>
      <c r="AD16" t="s">
        <v>67</v>
      </c>
      <c r="AF16" t="s">
        <v>70</v>
      </c>
      <c r="AG16" t="s">
        <v>2052</v>
      </c>
      <c r="AH16" t="s">
        <v>72</v>
      </c>
      <c r="AI16" t="s">
        <v>73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69</v>
      </c>
      <c r="AP16">
        <v>0.73</v>
      </c>
      <c r="AV16">
        <v>-1</v>
      </c>
    </row>
    <row r="17" spans="1:49" x14ac:dyDescent="0.55000000000000004">
      <c r="A17" t="str">
        <f>HYPERLINK("https://www.infodis.net/philips/net/Shipment/Details?InfodisNumber=4565983&amp;DomainCode=DAP", "4565983")</f>
        <v>4565983</v>
      </c>
      <c r="B17" t="s">
        <v>2137</v>
      </c>
      <c r="C17" t="s">
        <v>2138</v>
      </c>
      <c r="D17" t="s">
        <v>2139</v>
      </c>
      <c r="E17" t="s">
        <v>2138</v>
      </c>
      <c r="F17" t="s">
        <v>77</v>
      </c>
      <c r="G17" t="s">
        <v>546</v>
      </c>
      <c r="H17" t="s">
        <v>79</v>
      </c>
      <c r="I17" t="s">
        <v>2140</v>
      </c>
      <c r="J17" t="s">
        <v>2141</v>
      </c>
      <c r="K17" t="s">
        <v>82</v>
      </c>
      <c r="L17" t="s">
        <v>83</v>
      </c>
      <c r="M17" t="s">
        <v>261</v>
      </c>
      <c r="P17" t="s">
        <v>2142</v>
      </c>
      <c r="Q17" t="s">
        <v>2143</v>
      </c>
      <c r="R17" t="s">
        <v>87</v>
      </c>
      <c r="S17" s="2">
        <v>44159</v>
      </c>
      <c r="T17" s="2">
        <v>44162</v>
      </c>
      <c r="V17" s="2">
        <v>44172</v>
      </c>
      <c r="Y17" t="s">
        <v>66</v>
      </c>
      <c r="Z17" t="s">
        <v>857</v>
      </c>
      <c r="AA17" t="s">
        <v>857</v>
      </c>
      <c r="AB17" t="s">
        <v>68</v>
      </c>
      <c r="AC17" t="s">
        <v>67</v>
      </c>
      <c r="AD17" t="s">
        <v>67</v>
      </c>
      <c r="AF17" t="s">
        <v>70</v>
      </c>
      <c r="AG17" t="s">
        <v>2052</v>
      </c>
      <c r="AH17" t="s">
        <v>72</v>
      </c>
      <c r="AI17" t="s">
        <v>73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335.7</v>
      </c>
      <c r="AP17">
        <v>0.94200000000000006</v>
      </c>
      <c r="AV17">
        <v>-1</v>
      </c>
    </row>
    <row r="18" spans="1:49" x14ac:dyDescent="0.55000000000000004">
      <c r="A18" t="str">
        <f>HYPERLINK("https://www.infodis.net/philips/net/Shipment/Details?InfodisNumber=4566075&amp;DomainCode=DAP", "4566075")</f>
        <v>4566075</v>
      </c>
      <c r="B18" t="s">
        <v>2144</v>
      </c>
      <c r="C18" t="s">
        <v>2145</v>
      </c>
      <c r="D18" t="s">
        <v>2146</v>
      </c>
      <c r="E18" t="s">
        <v>304</v>
      </c>
      <c r="F18" t="s">
        <v>121</v>
      </c>
      <c r="G18" t="s">
        <v>404</v>
      </c>
      <c r="H18" t="s">
        <v>307</v>
      </c>
      <c r="I18" t="s">
        <v>786</v>
      </c>
      <c r="J18" t="s">
        <v>787</v>
      </c>
      <c r="K18" t="s">
        <v>124</v>
      </c>
      <c r="L18" t="s">
        <v>125</v>
      </c>
      <c r="M18" t="s">
        <v>60</v>
      </c>
      <c r="P18" t="s">
        <v>408</v>
      </c>
      <c r="Q18" t="s">
        <v>2147</v>
      </c>
      <c r="R18" t="s">
        <v>126</v>
      </c>
      <c r="S18" s="2">
        <v>44159</v>
      </c>
      <c r="T18" s="2">
        <v>44161</v>
      </c>
      <c r="V18" s="2">
        <v>44171</v>
      </c>
      <c r="Y18" t="s">
        <v>857</v>
      </c>
      <c r="Z18" t="s">
        <v>857</v>
      </c>
      <c r="AA18" t="s">
        <v>857</v>
      </c>
      <c r="AB18" t="s">
        <v>67</v>
      </c>
      <c r="AC18" t="s">
        <v>67</v>
      </c>
      <c r="AD18" t="s">
        <v>67</v>
      </c>
      <c r="AF18" t="s">
        <v>70</v>
      </c>
      <c r="AG18" t="s">
        <v>2052</v>
      </c>
      <c r="AH18" t="s">
        <v>72</v>
      </c>
      <c r="AI18" t="s">
        <v>73</v>
      </c>
      <c r="AJ18">
        <v>0</v>
      </c>
      <c r="AK18">
        <v>0</v>
      </c>
      <c r="AL18">
        <v>0</v>
      </c>
      <c r="AM18">
        <v>0</v>
      </c>
      <c r="AN18">
        <v>8</v>
      </c>
      <c r="AO18">
        <v>858</v>
      </c>
      <c r="AP18">
        <v>9</v>
      </c>
      <c r="AV18">
        <v>-1</v>
      </c>
    </row>
    <row r="19" spans="1:49" x14ac:dyDescent="0.55000000000000004">
      <c r="A19" t="str">
        <f>HYPERLINK("https://www.infodis.net/philips/net/Shipment/Details?InfodisNumber=4566272&amp;DomainCode=DAP", "4566272")</f>
        <v>4566272</v>
      </c>
      <c r="B19" t="s">
        <v>2148</v>
      </c>
      <c r="C19" t="s">
        <v>2061</v>
      </c>
      <c r="D19" t="s">
        <v>2062</v>
      </c>
      <c r="E19" t="s">
        <v>94</v>
      </c>
      <c r="F19" t="s">
        <v>1029</v>
      </c>
      <c r="G19" t="s">
        <v>1282</v>
      </c>
      <c r="H19" t="s">
        <v>79</v>
      </c>
      <c r="I19" t="s">
        <v>122</v>
      </c>
      <c r="J19" t="s">
        <v>903</v>
      </c>
      <c r="K19" t="s">
        <v>1030</v>
      </c>
      <c r="L19" t="s">
        <v>905</v>
      </c>
      <c r="M19" t="s">
        <v>60</v>
      </c>
      <c r="P19" t="s">
        <v>2064</v>
      </c>
      <c r="Q19" t="s">
        <v>2149</v>
      </c>
      <c r="R19" t="s">
        <v>1031</v>
      </c>
      <c r="S19" s="2">
        <v>44160</v>
      </c>
      <c r="T19" s="2">
        <v>44165</v>
      </c>
      <c r="V19" s="2">
        <v>44175</v>
      </c>
      <c r="Y19" t="s">
        <v>857</v>
      </c>
      <c r="Z19" t="s">
        <v>857</v>
      </c>
      <c r="AA19" t="s">
        <v>66</v>
      </c>
      <c r="AB19" t="s">
        <v>67</v>
      </c>
      <c r="AC19" t="s">
        <v>67</v>
      </c>
      <c r="AD19" t="s">
        <v>68</v>
      </c>
      <c r="AF19" t="s">
        <v>70</v>
      </c>
      <c r="AG19" t="s">
        <v>2052</v>
      </c>
      <c r="AH19" t="s">
        <v>72</v>
      </c>
      <c r="AI19" t="s">
        <v>73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316.8</v>
      </c>
      <c r="AP19">
        <v>4.0510000000000002</v>
      </c>
      <c r="AV19">
        <v>-1</v>
      </c>
    </row>
    <row r="20" spans="1:49" x14ac:dyDescent="0.55000000000000004">
      <c r="A20" t="str">
        <f>HYPERLINK("https://www.infodis.net/philips/net/Shipment/Details?InfodisNumber=4566365&amp;DomainCode=DAP", "4566365")</f>
        <v>4566365</v>
      </c>
      <c r="B20" t="s">
        <v>2150</v>
      </c>
      <c r="C20" t="s">
        <v>2151</v>
      </c>
      <c r="D20" t="s">
        <v>2152</v>
      </c>
      <c r="E20" t="s">
        <v>94</v>
      </c>
      <c r="F20" t="s">
        <v>2153</v>
      </c>
      <c r="G20" t="s">
        <v>292</v>
      </c>
      <c r="H20" t="s">
        <v>207</v>
      </c>
      <c r="I20" t="s">
        <v>1927</v>
      </c>
      <c r="J20" t="s">
        <v>2140</v>
      </c>
      <c r="K20" t="s">
        <v>546</v>
      </c>
      <c r="L20" t="s">
        <v>79</v>
      </c>
      <c r="M20" t="s">
        <v>60</v>
      </c>
      <c r="P20" t="s">
        <v>2154</v>
      </c>
      <c r="Q20" t="s">
        <v>2155</v>
      </c>
      <c r="R20" t="s">
        <v>2156</v>
      </c>
      <c r="S20" s="2">
        <v>44160</v>
      </c>
      <c r="T20" s="2">
        <v>44168</v>
      </c>
      <c r="V20" s="2">
        <v>44178</v>
      </c>
      <c r="Y20" t="s">
        <v>857</v>
      </c>
      <c r="Z20" t="s">
        <v>857</v>
      </c>
      <c r="AA20" t="s">
        <v>66</v>
      </c>
      <c r="AB20" t="s">
        <v>67</v>
      </c>
      <c r="AC20" t="s">
        <v>67</v>
      </c>
      <c r="AD20" t="s">
        <v>68</v>
      </c>
      <c r="AF20" t="s">
        <v>70</v>
      </c>
      <c r="AG20" t="s">
        <v>2052</v>
      </c>
      <c r="AH20" t="s">
        <v>72</v>
      </c>
      <c r="AI20" t="s">
        <v>73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255</v>
      </c>
      <c r="AP20">
        <v>1.46</v>
      </c>
      <c r="AV20">
        <v>-1</v>
      </c>
    </row>
    <row r="21" spans="1:49" x14ac:dyDescent="0.55000000000000004">
      <c r="A21" t="str">
        <f>HYPERLINK("https://www.infodis.net/philips/net/Shipment/Details?InfodisNumber=1583028&amp;DomainCode=PHILIPSM1", "1583028")</f>
        <v>1583028</v>
      </c>
      <c r="B21" t="s">
        <v>2157</v>
      </c>
      <c r="C21" t="s">
        <v>2158</v>
      </c>
      <c r="D21" t="s">
        <v>2159</v>
      </c>
      <c r="E21" t="s">
        <v>2158</v>
      </c>
      <c r="F21" t="s">
        <v>1428</v>
      </c>
      <c r="G21" t="s">
        <v>266</v>
      </c>
      <c r="H21" t="s">
        <v>267</v>
      </c>
      <c r="K21" t="s">
        <v>1430</v>
      </c>
      <c r="L21" t="s">
        <v>244</v>
      </c>
      <c r="M21" t="s">
        <v>84</v>
      </c>
      <c r="P21" t="s">
        <v>268</v>
      </c>
      <c r="R21" t="s">
        <v>1432</v>
      </c>
      <c r="S21" s="2">
        <v>44160</v>
      </c>
      <c r="T21" s="2">
        <v>44166</v>
      </c>
      <c r="Y21" t="s">
        <v>857</v>
      </c>
      <c r="Z21" t="s">
        <v>857</v>
      </c>
      <c r="AA21" t="s">
        <v>857</v>
      </c>
      <c r="AB21" t="s">
        <v>67</v>
      </c>
      <c r="AC21" t="s">
        <v>67</v>
      </c>
      <c r="AD21" t="s">
        <v>67</v>
      </c>
      <c r="AF21" t="s">
        <v>70</v>
      </c>
      <c r="AG21" t="s">
        <v>2052</v>
      </c>
      <c r="AH21" t="s">
        <v>72</v>
      </c>
      <c r="AI21" t="s">
        <v>605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0.48</v>
      </c>
      <c r="AV21">
        <v>-1</v>
      </c>
    </row>
    <row r="22" spans="1:49" x14ac:dyDescent="0.55000000000000004">
      <c r="A22" t="str">
        <f>HYPERLINK("https://www.infodis.net/philips/net/Shipment/Details?InfodisNumber=4566580&amp;DomainCode=DAP", "4566580")</f>
        <v>4566580</v>
      </c>
      <c r="B22" t="s">
        <v>2160</v>
      </c>
      <c r="C22" t="s">
        <v>2061</v>
      </c>
      <c r="D22" t="s">
        <v>2062</v>
      </c>
      <c r="E22" t="s">
        <v>94</v>
      </c>
      <c r="F22" t="s">
        <v>2161</v>
      </c>
      <c r="G22" t="s">
        <v>1282</v>
      </c>
      <c r="H22" t="s">
        <v>79</v>
      </c>
      <c r="I22" t="s">
        <v>122</v>
      </c>
      <c r="J22" t="s">
        <v>707</v>
      </c>
      <c r="K22" t="s">
        <v>2162</v>
      </c>
      <c r="L22" t="s">
        <v>709</v>
      </c>
      <c r="M22" t="s">
        <v>133</v>
      </c>
      <c r="P22" t="s">
        <v>2064</v>
      </c>
      <c r="Q22" t="s">
        <v>2163</v>
      </c>
      <c r="R22" t="s">
        <v>2164</v>
      </c>
      <c r="S22" s="2">
        <v>44160</v>
      </c>
      <c r="T22" s="2">
        <v>44165</v>
      </c>
      <c r="V22" s="2">
        <v>44175</v>
      </c>
      <c r="Y22" t="s">
        <v>857</v>
      </c>
      <c r="Z22" t="s">
        <v>857</v>
      </c>
      <c r="AA22" t="s">
        <v>66</v>
      </c>
      <c r="AB22" t="s">
        <v>67</v>
      </c>
      <c r="AC22" t="s">
        <v>67</v>
      </c>
      <c r="AD22" t="s">
        <v>68</v>
      </c>
      <c r="AF22" t="s">
        <v>70</v>
      </c>
      <c r="AG22" t="s">
        <v>2052</v>
      </c>
      <c r="AH22" t="s">
        <v>72</v>
      </c>
      <c r="AI22" t="s">
        <v>73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981</v>
      </c>
      <c r="AP22">
        <v>6.0479999999999992</v>
      </c>
      <c r="AV22">
        <v>-1</v>
      </c>
    </row>
    <row r="23" spans="1:49" x14ac:dyDescent="0.55000000000000004">
      <c r="A23" t="str">
        <f>HYPERLINK("https://www.infodis.net/philips/net/Shipment/Details?InfodisNumber=4566697&amp;DomainCode=DAP", "4566697")</f>
        <v>4566697</v>
      </c>
      <c r="B23" t="s">
        <v>2165</v>
      </c>
      <c r="C23" t="s">
        <v>2166</v>
      </c>
      <c r="D23" t="s">
        <v>2167</v>
      </c>
      <c r="E23" t="s">
        <v>2166</v>
      </c>
      <c r="F23" t="s">
        <v>2168</v>
      </c>
      <c r="G23" t="s">
        <v>2169</v>
      </c>
      <c r="H23" t="s">
        <v>244</v>
      </c>
      <c r="I23" t="s">
        <v>2170</v>
      </c>
      <c r="J23" t="s">
        <v>268</v>
      </c>
      <c r="K23" t="s">
        <v>855</v>
      </c>
      <c r="L23" t="s">
        <v>267</v>
      </c>
      <c r="M23" t="s">
        <v>84</v>
      </c>
      <c r="P23" t="s">
        <v>2171</v>
      </c>
      <c r="R23" t="s">
        <v>268</v>
      </c>
      <c r="S23" s="2">
        <v>44160</v>
      </c>
      <c r="T23" s="2">
        <v>44166</v>
      </c>
      <c r="V23" s="2">
        <v>44176</v>
      </c>
      <c r="Y23" t="s">
        <v>857</v>
      </c>
      <c r="Z23" t="s">
        <v>857</v>
      </c>
      <c r="AA23" t="s">
        <v>66</v>
      </c>
      <c r="AB23" t="s">
        <v>67</v>
      </c>
      <c r="AC23" t="s">
        <v>67</v>
      </c>
      <c r="AD23" t="s">
        <v>68</v>
      </c>
      <c r="AF23" t="s">
        <v>70</v>
      </c>
      <c r="AG23" t="s">
        <v>2052</v>
      </c>
      <c r="AH23" t="s">
        <v>72</v>
      </c>
      <c r="AI23" t="s">
        <v>73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90</v>
      </c>
      <c r="AP23">
        <v>0.8640000000000001</v>
      </c>
      <c r="AV23">
        <v>-1</v>
      </c>
    </row>
    <row r="24" spans="1:49" x14ac:dyDescent="0.55000000000000004">
      <c r="A24" t="str">
        <f>HYPERLINK("https://www.infodis.net/philips/net/Shipment/Details?InfodisNumber=4566705&amp;DomainCode=DAP", "4566705")</f>
        <v>4566705</v>
      </c>
      <c r="B24" t="s">
        <v>2172</v>
      </c>
      <c r="C24" t="s">
        <v>2173</v>
      </c>
      <c r="D24" t="s">
        <v>2174</v>
      </c>
      <c r="E24" t="s">
        <v>2173</v>
      </c>
      <c r="F24" t="s">
        <v>77</v>
      </c>
      <c r="G24" t="s">
        <v>2175</v>
      </c>
      <c r="H24" t="s">
        <v>1051</v>
      </c>
      <c r="I24" t="s">
        <v>2176</v>
      </c>
      <c r="J24" t="s">
        <v>2141</v>
      </c>
      <c r="K24" t="s">
        <v>82</v>
      </c>
      <c r="L24" t="s">
        <v>83</v>
      </c>
      <c r="M24" t="s">
        <v>84</v>
      </c>
      <c r="P24" t="s">
        <v>2177</v>
      </c>
      <c r="Q24" t="s">
        <v>2178</v>
      </c>
      <c r="R24" t="s">
        <v>87</v>
      </c>
      <c r="S24" s="2">
        <v>44160</v>
      </c>
      <c r="T24" s="2">
        <v>44161</v>
      </c>
      <c r="V24" s="2">
        <v>44164</v>
      </c>
      <c r="Y24" t="s">
        <v>857</v>
      </c>
      <c r="Z24" t="s">
        <v>857</v>
      </c>
      <c r="AA24" t="s">
        <v>857</v>
      </c>
      <c r="AB24" t="s">
        <v>67</v>
      </c>
      <c r="AC24" t="s">
        <v>67</v>
      </c>
      <c r="AD24" t="s">
        <v>67</v>
      </c>
      <c r="AF24" t="s">
        <v>2179</v>
      </c>
      <c r="AG24" t="s">
        <v>2180</v>
      </c>
      <c r="AH24" t="s">
        <v>2179</v>
      </c>
      <c r="AI24" t="s">
        <v>73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300</v>
      </c>
      <c r="AP24">
        <v>0.35</v>
      </c>
      <c r="AV24">
        <v>-1</v>
      </c>
    </row>
    <row r="25" spans="1:49" x14ac:dyDescent="0.55000000000000004">
      <c r="A25" t="str">
        <f>HYPERLINK("https://www.infodis.net/philips/net/Shipment/Details?InfodisNumber=4566708&amp;DomainCode=DAP", "4566708")</f>
        <v>4566708</v>
      </c>
      <c r="B25" t="s">
        <v>2181</v>
      </c>
      <c r="C25" t="s">
        <v>933</v>
      </c>
      <c r="D25" t="s">
        <v>934</v>
      </c>
      <c r="E25" t="s">
        <v>304</v>
      </c>
      <c r="F25" t="s">
        <v>378</v>
      </c>
      <c r="G25" t="s">
        <v>295</v>
      </c>
      <c r="H25" t="s">
        <v>296</v>
      </c>
      <c r="I25" t="s">
        <v>2182</v>
      </c>
      <c r="J25" t="s">
        <v>382</v>
      </c>
      <c r="K25" t="s">
        <v>383</v>
      </c>
      <c r="L25" t="s">
        <v>384</v>
      </c>
      <c r="M25" t="s">
        <v>309</v>
      </c>
      <c r="P25" t="s">
        <v>300</v>
      </c>
      <c r="R25" t="s">
        <v>389</v>
      </c>
      <c r="S25" s="2">
        <v>44160</v>
      </c>
      <c r="T25" s="2">
        <v>44162</v>
      </c>
      <c r="V25" s="2">
        <v>44172</v>
      </c>
      <c r="Y25" t="s">
        <v>857</v>
      </c>
      <c r="Z25" t="s">
        <v>857</v>
      </c>
      <c r="AA25" t="s">
        <v>66</v>
      </c>
      <c r="AB25" t="s">
        <v>67</v>
      </c>
      <c r="AC25" t="s">
        <v>67</v>
      </c>
      <c r="AD25" t="s">
        <v>68</v>
      </c>
      <c r="AF25" t="s">
        <v>70</v>
      </c>
      <c r="AG25" t="s">
        <v>2052</v>
      </c>
      <c r="AH25" t="s">
        <v>72</v>
      </c>
      <c r="AI25" t="s">
        <v>73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1</v>
      </c>
      <c r="AP25">
        <v>0</v>
      </c>
      <c r="AV25">
        <v>-1</v>
      </c>
    </row>
    <row r="26" spans="1:49" x14ac:dyDescent="0.55000000000000004">
      <c r="A26" t="str">
        <f>HYPERLINK("https://www.infodis.net/philips/net/Shipment/Details?InfodisNumber=4566830&amp;DomainCode=DAP", "4566830")</f>
        <v>4566830</v>
      </c>
      <c r="B26" t="s">
        <v>2183</v>
      </c>
      <c r="C26" t="s">
        <v>2184</v>
      </c>
      <c r="D26" t="s">
        <v>2185</v>
      </c>
      <c r="E26" t="s">
        <v>2186</v>
      </c>
      <c r="F26" t="s">
        <v>191</v>
      </c>
      <c r="G26" t="s">
        <v>2187</v>
      </c>
      <c r="H26" t="s">
        <v>244</v>
      </c>
      <c r="I26" t="s">
        <v>2170</v>
      </c>
      <c r="J26" t="s">
        <v>194</v>
      </c>
      <c r="K26" t="s">
        <v>1179</v>
      </c>
      <c r="L26" t="s">
        <v>180</v>
      </c>
      <c r="M26" t="s">
        <v>84</v>
      </c>
      <c r="P26" t="s">
        <v>2188</v>
      </c>
      <c r="R26" t="s">
        <v>1181</v>
      </c>
      <c r="S26" s="2">
        <v>44160</v>
      </c>
      <c r="T26" s="2">
        <v>44165</v>
      </c>
      <c r="V26" s="2">
        <v>44175</v>
      </c>
      <c r="Y26" t="s">
        <v>857</v>
      </c>
      <c r="Z26" t="s">
        <v>857</v>
      </c>
      <c r="AA26" t="s">
        <v>857</v>
      </c>
      <c r="AB26" t="s">
        <v>67</v>
      </c>
      <c r="AC26" t="s">
        <v>67</v>
      </c>
      <c r="AD26" t="s">
        <v>67</v>
      </c>
      <c r="AF26" t="s">
        <v>70</v>
      </c>
      <c r="AG26" t="s">
        <v>2052</v>
      </c>
      <c r="AH26" t="s">
        <v>72</v>
      </c>
      <c r="AI26" t="s">
        <v>73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263</v>
      </c>
      <c r="AP26">
        <v>1.456</v>
      </c>
      <c r="AV26">
        <v>-1</v>
      </c>
    </row>
    <row r="27" spans="1:49" x14ac:dyDescent="0.55000000000000004">
      <c r="A27" t="str">
        <f>HYPERLINK("https://www.infodis.net/philips/net/Shipment/Details?InfodisNumber=4566883&amp;DomainCode=DAP", "4566883")</f>
        <v>4566883</v>
      </c>
      <c r="B27" t="s">
        <v>2189</v>
      </c>
      <c r="C27" t="s">
        <v>2190</v>
      </c>
      <c r="D27" t="s">
        <v>2191</v>
      </c>
      <c r="E27" t="s">
        <v>2190</v>
      </c>
      <c r="F27" t="s">
        <v>393</v>
      </c>
      <c r="G27" t="s">
        <v>2192</v>
      </c>
      <c r="H27" t="s">
        <v>2193</v>
      </c>
      <c r="I27" t="s">
        <v>2194</v>
      </c>
      <c r="J27" t="s">
        <v>268</v>
      </c>
      <c r="K27" t="s">
        <v>855</v>
      </c>
      <c r="L27" t="s">
        <v>267</v>
      </c>
      <c r="M27" t="s">
        <v>84</v>
      </c>
      <c r="P27" t="s">
        <v>2195</v>
      </c>
      <c r="R27" t="s">
        <v>268</v>
      </c>
      <c r="S27" s="2">
        <v>44160</v>
      </c>
      <c r="T27" s="2">
        <v>44162</v>
      </c>
      <c r="V27" s="2">
        <v>44172</v>
      </c>
      <c r="Y27" t="s">
        <v>857</v>
      </c>
      <c r="Z27" t="s">
        <v>857</v>
      </c>
      <c r="AA27" t="s">
        <v>857</v>
      </c>
      <c r="AB27" t="s">
        <v>67</v>
      </c>
      <c r="AC27" t="s">
        <v>67</v>
      </c>
      <c r="AD27" t="s">
        <v>67</v>
      </c>
      <c r="AF27" t="s">
        <v>70</v>
      </c>
      <c r="AG27" t="s">
        <v>2052</v>
      </c>
      <c r="AH27" t="s">
        <v>72</v>
      </c>
      <c r="AI27" t="s">
        <v>73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351.3</v>
      </c>
      <c r="AP27">
        <v>0.76800000000000002</v>
      </c>
      <c r="AV27">
        <v>-1</v>
      </c>
    </row>
    <row r="28" spans="1:49" x14ac:dyDescent="0.55000000000000004">
      <c r="A28" t="str">
        <f>HYPERLINK("https://www.infodis.net/philips/net/Shipment/Details?InfodisNumber=1585928&amp;DomainCode=PHILIPSM1", "1585928")</f>
        <v>1585928</v>
      </c>
      <c r="B28" t="s">
        <v>2196</v>
      </c>
      <c r="C28" t="s">
        <v>2080</v>
      </c>
      <c r="D28" t="s">
        <v>2081</v>
      </c>
      <c r="E28" t="s">
        <v>2082</v>
      </c>
      <c r="F28" t="s">
        <v>2083</v>
      </c>
      <c r="G28" t="s">
        <v>1430</v>
      </c>
      <c r="H28" t="s">
        <v>244</v>
      </c>
      <c r="K28" t="s">
        <v>2086</v>
      </c>
      <c r="L28" t="s">
        <v>2087</v>
      </c>
      <c r="M28" t="s">
        <v>60</v>
      </c>
      <c r="P28" t="s">
        <v>1432</v>
      </c>
      <c r="R28" t="s">
        <v>2086</v>
      </c>
      <c r="S28" s="2">
        <v>44161</v>
      </c>
      <c r="T28" s="2">
        <v>44162</v>
      </c>
      <c r="Y28" t="s">
        <v>857</v>
      </c>
      <c r="Z28" t="s">
        <v>857</v>
      </c>
      <c r="AA28" t="s">
        <v>603</v>
      </c>
      <c r="AB28" t="s">
        <v>67</v>
      </c>
      <c r="AC28" t="s">
        <v>67</v>
      </c>
      <c r="AD28" t="s">
        <v>68</v>
      </c>
      <c r="AF28" t="s">
        <v>70</v>
      </c>
      <c r="AG28" t="s">
        <v>2052</v>
      </c>
      <c r="AH28" t="s">
        <v>72</v>
      </c>
      <c r="AI28" t="s">
        <v>605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13.8</v>
      </c>
      <c r="AP28">
        <v>0</v>
      </c>
      <c r="AV28">
        <v>-1</v>
      </c>
    </row>
    <row r="29" spans="1:49" x14ac:dyDescent="0.55000000000000004">
      <c r="A29" t="str">
        <f>HYPERLINK("https://www.infodis.net/philips/net/Shipment/Details?InfodisNumber=4567550&amp;DomainCode=DAP", "4567550")</f>
        <v>4567550</v>
      </c>
      <c r="B29" t="s">
        <v>2197</v>
      </c>
      <c r="C29" t="s">
        <v>2145</v>
      </c>
      <c r="D29" t="s">
        <v>2146</v>
      </c>
      <c r="E29" t="s">
        <v>304</v>
      </c>
      <c r="F29" t="s">
        <v>121</v>
      </c>
      <c r="G29" t="s">
        <v>404</v>
      </c>
      <c r="H29" t="s">
        <v>307</v>
      </c>
      <c r="I29" t="s">
        <v>786</v>
      </c>
      <c r="J29" t="s">
        <v>787</v>
      </c>
      <c r="K29" t="s">
        <v>124</v>
      </c>
      <c r="L29" t="s">
        <v>125</v>
      </c>
      <c r="M29" t="s">
        <v>60</v>
      </c>
      <c r="P29" t="s">
        <v>408</v>
      </c>
      <c r="R29" t="s">
        <v>126</v>
      </c>
      <c r="S29" s="2">
        <v>44161</v>
      </c>
      <c r="T29" s="2">
        <v>44166</v>
      </c>
      <c r="V29" s="2">
        <v>44176</v>
      </c>
      <c r="Y29" t="s">
        <v>857</v>
      </c>
      <c r="Z29" t="s">
        <v>857</v>
      </c>
      <c r="AA29" t="s">
        <v>857</v>
      </c>
      <c r="AB29" t="s">
        <v>67</v>
      </c>
      <c r="AC29" t="s">
        <v>67</v>
      </c>
      <c r="AD29" t="s">
        <v>67</v>
      </c>
      <c r="AF29" t="s">
        <v>70</v>
      </c>
      <c r="AG29" t="s">
        <v>2052</v>
      </c>
      <c r="AH29" t="s">
        <v>72</v>
      </c>
      <c r="AI29" t="s">
        <v>73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572</v>
      </c>
      <c r="AP29">
        <v>6</v>
      </c>
      <c r="AV29">
        <v>-1</v>
      </c>
    </row>
    <row r="30" spans="1:49" x14ac:dyDescent="0.55000000000000004">
      <c r="A30" t="str">
        <f>HYPERLINK("https://www.infodis.net/philips/net/Shipment/Details?InfodisNumber=4567553&amp;DomainCode=DAP", "4567553")</f>
        <v>4567553</v>
      </c>
      <c r="B30" t="s">
        <v>2198</v>
      </c>
      <c r="C30" t="s">
        <v>2199</v>
      </c>
      <c r="D30" t="s">
        <v>2200</v>
      </c>
      <c r="E30" t="s">
        <v>2201</v>
      </c>
      <c r="F30" t="s">
        <v>2202</v>
      </c>
      <c r="G30" t="s">
        <v>96</v>
      </c>
      <c r="H30" t="s">
        <v>79</v>
      </c>
      <c r="I30" t="s">
        <v>97</v>
      </c>
      <c r="J30" t="s">
        <v>283</v>
      </c>
      <c r="K30" t="s">
        <v>2203</v>
      </c>
      <c r="L30" t="s">
        <v>2204</v>
      </c>
      <c r="M30" t="s">
        <v>84</v>
      </c>
      <c r="P30" t="s">
        <v>415</v>
      </c>
      <c r="R30" t="s">
        <v>2205</v>
      </c>
      <c r="S30" s="2">
        <v>44161</v>
      </c>
      <c r="T30" s="2">
        <v>44163</v>
      </c>
      <c r="V30" s="2">
        <v>44172</v>
      </c>
      <c r="Y30" t="s">
        <v>857</v>
      </c>
      <c r="Z30" t="s">
        <v>857</v>
      </c>
      <c r="AA30" t="s">
        <v>857</v>
      </c>
      <c r="AB30" t="s">
        <v>67</v>
      </c>
      <c r="AC30" t="s">
        <v>67</v>
      </c>
      <c r="AD30" t="s">
        <v>67</v>
      </c>
      <c r="AF30" t="s">
        <v>70</v>
      </c>
      <c r="AG30" t="s">
        <v>2052</v>
      </c>
      <c r="AH30" t="s">
        <v>72</v>
      </c>
      <c r="AI30" t="s">
        <v>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380.8</v>
      </c>
      <c r="AP30">
        <v>2.831</v>
      </c>
      <c r="AV30">
        <v>-1</v>
      </c>
    </row>
    <row r="31" spans="1:49" x14ac:dyDescent="0.55000000000000004">
      <c r="A31" t="str">
        <f>HYPERLINK("https://www.infodis.net/philips/net/Shipment/Details?InfodisNumber=4567609&amp;DomainCode=DAP", "4567609")</f>
        <v>4567609</v>
      </c>
      <c r="B31" t="s">
        <v>2206</v>
      </c>
      <c r="C31" t="s">
        <v>2207</v>
      </c>
      <c r="D31" t="s">
        <v>2208</v>
      </c>
      <c r="E31" t="s">
        <v>304</v>
      </c>
      <c r="F31" t="s">
        <v>2209</v>
      </c>
      <c r="G31" t="s">
        <v>259</v>
      </c>
      <c r="H31" t="s">
        <v>260</v>
      </c>
      <c r="I31" t="s">
        <v>759</v>
      </c>
      <c r="J31" t="s">
        <v>142</v>
      </c>
      <c r="K31" t="s">
        <v>2210</v>
      </c>
      <c r="L31" t="s">
        <v>83</v>
      </c>
      <c r="M31" t="s">
        <v>1489</v>
      </c>
      <c r="P31" t="s">
        <v>2211</v>
      </c>
      <c r="R31" t="s">
        <v>87</v>
      </c>
      <c r="S31" s="2">
        <v>44161</v>
      </c>
      <c r="T31" s="2">
        <v>44162</v>
      </c>
      <c r="V31" s="2">
        <v>44172</v>
      </c>
      <c r="Y31" t="s">
        <v>857</v>
      </c>
      <c r="Z31" t="s">
        <v>857</v>
      </c>
      <c r="AA31" t="s">
        <v>857</v>
      </c>
      <c r="AB31" t="s">
        <v>67</v>
      </c>
      <c r="AC31" t="s">
        <v>67</v>
      </c>
      <c r="AD31" t="s">
        <v>67</v>
      </c>
      <c r="AF31" t="s">
        <v>70</v>
      </c>
      <c r="AG31" t="s">
        <v>2052</v>
      </c>
      <c r="AH31" t="s">
        <v>72</v>
      </c>
      <c r="AI31" t="s">
        <v>73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137</v>
      </c>
      <c r="AP31">
        <v>0.74900000000000011</v>
      </c>
      <c r="AV31">
        <v>-1</v>
      </c>
    </row>
    <row r="32" spans="1:49" x14ac:dyDescent="0.55000000000000004">
      <c r="A32" s="3" t="str">
        <f>HYPERLINK("https://www.infodis.net/philips/net/Shipment/Details?InfodisNumber=4565227&amp;DomainCode=DAP", "4565227")</f>
        <v>4565227</v>
      </c>
      <c r="B32" s="3" t="s">
        <v>2212</v>
      </c>
      <c r="C32" s="3" t="s">
        <v>2097</v>
      </c>
      <c r="D32" s="3" t="s">
        <v>2098</v>
      </c>
      <c r="E32" s="3" t="s">
        <v>304</v>
      </c>
      <c r="F32" s="3" t="s">
        <v>228</v>
      </c>
      <c r="G32" s="3" t="s">
        <v>266</v>
      </c>
      <c r="H32" s="3" t="s">
        <v>267</v>
      </c>
      <c r="I32" s="3" t="s">
        <v>268</v>
      </c>
      <c r="J32" s="3" t="s">
        <v>487</v>
      </c>
      <c r="K32" s="3" t="s">
        <v>233</v>
      </c>
      <c r="L32" s="3" t="s">
        <v>234</v>
      </c>
      <c r="M32" s="3" t="s">
        <v>60</v>
      </c>
      <c r="N32" s="3"/>
      <c r="O32" s="3"/>
      <c r="P32" s="3" t="s">
        <v>1814</v>
      </c>
      <c r="Q32" s="3"/>
      <c r="R32" s="3" t="s">
        <v>236</v>
      </c>
      <c r="S32" s="4">
        <v>44158</v>
      </c>
      <c r="T32" s="4">
        <v>44161</v>
      </c>
      <c r="U32" s="3"/>
      <c r="V32" s="4">
        <v>44171</v>
      </c>
      <c r="W32" s="3"/>
      <c r="X32" s="3"/>
      <c r="Y32" s="3" t="s">
        <v>857</v>
      </c>
      <c r="Z32" s="3" t="s">
        <v>857</v>
      </c>
      <c r="AA32" s="3" t="s">
        <v>857</v>
      </c>
      <c r="AB32" s="3" t="s">
        <v>67</v>
      </c>
      <c r="AC32" s="3" t="s">
        <v>67</v>
      </c>
      <c r="AD32" s="3" t="s">
        <v>67</v>
      </c>
      <c r="AE32" s="3"/>
      <c r="AF32" s="3" t="s">
        <v>199</v>
      </c>
      <c r="AG32" s="3" t="s">
        <v>2052</v>
      </c>
      <c r="AH32" s="3" t="s">
        <v>72</v>
      </c>
      <c r="AI32" s="3" t="s">
        <v>73</v>
      </c>
      <c r="AJ32" s="3">
        <v>0</v>
      </c>
      <c r="AK32" s="3">
        <v>0</v>
      </c>
      <c r="AL32" s="3">
        <v>0</v>
      </c>
      <c r="AM32" s="3">
        <v>0</v>
      </c>
      <c r="AN32" s="3">
        <v>1</v>
      </c>
      <c r="AO32" s="3">
        <v>157</v>
      </c>
      <c r="AP32" s="3">
        <v>0.97900000000000009</v>
      </c>
      <c r="AQ32" s="3" t="s">
        <v>713</v>
      </c>
      <c r="AR32" s="3" t="s">
        <v>714</v>
      </c>
      <c r="AS32" s="3" t="s">
        <v>713</v>
      </c>
      <c r="AT32" s="4">
        <v>44159</v>
      </c>
      <c r="AU32" s="3" t="s">
        <v>2213</v>
      </c>
      <c r="AV32" s="3">
        <v>3</v>
      </c>
      <c r="AW32" s="3" t="s">
        <v>2214</v>
      </c>
    </row>
    <row r="33" spans="1:49" x14ac:dyDescent="0.55000000000000004">
      <c r="A33" s="3" t="str">
        <f>HYPERLINK("https://www.infodis.net/philips/net/Shipment/Details?InfodisNumber=4473800&amp;DomainCode=DAP", "4473800")</f>
        <v>4473800</v>
      </c>
      <c r="B33" s="3" t="s">
        <v>851</v>
      </c>
      <c r="C33" s="3" t="s">
        <v>852</v>
      </c>
      <c r="D33" s="3" t="s">
        <v>853</v>
      </c>
      <c r="E33" s="3" t="s">
        <v>852</v>
      </c>
      <c r="F33" s="3" t="s">
        <v>393</v>
      </c>
      <c r="G33" s="3" t="s">
        <v>854</v>
      </c>
      <c r="H33" s="3" t="s">
        <v>244</v>
      </c>
      <c r="I33" s="3" t="s">
        <v>706</v>
      </c>
      <c r="J33" s="3" t="s">
        <v>268</v>
      </c>
      <c r="K33" s="3" t="s">
        <v>855</v>
      </c>
      <c r="L33" s="3" t="s">
        <v>267</v>
      </c>
      <c r="M33" s="3" t="s">
        <v>84</v>
      </c>
      <c r="N33" s="3"/>
      <c r="O33" s="3"/>
      <c r="P33" s="3" t="s">
        <v>856</v>
      </c>
      <c r="Q33" s="3"/>
      <c r="R33" s="3" t="s">
        <v>268</v>
      </c>
      <c r="S33" s="4">
        <v>44027</v>
      </c>
      <c r="T33" s="4">
        <v>44028</v>
      </c>
      <c r="U33" s="4">
        <v>44033</v>
      </c>
      <c r="V33" s="4">
        <v>44033</v>
      </c>
      <c r="W33" s="4">
        <v>44048</v>
      </c>
      <c r="X33" s="4">
        <v>44088</v>
      </c>
      <c r="Y33" s="3" t="s">
        <v>857</v>
      </c>
      <c r="Z33" s="3" t="s">
        <v>857</v>
      </c>
      <c r="AA33" s="3" t="s">
        <v>857</v>
      </c>
      <c r="AB33" s="3" t="s">
        <v>67</v>
      </c>
      <c r="AC33" s="3" t="s">
        <v>67</v>
      </c>
      <c r="AD33" s="3" t="s">
        <v>67</v>
      </c>
      <c r="AE33" s="3"/>
      <c r="AF33" s="3" t="s">
        <v>70</v>
      </c>
      <c r="AG33" s="3" t="s">
        <v>71</v>
      </c>
      <c r="AH33" s="3" t="s">
        <v>199</v>
      </c>
      <c r="AI33" s="3" t="s">
        <v>73</v>
      </c>
      <c r="AJ33" s="3">
        <v>0</v>
      </c>
      <c r="AK33" s="3">
        <v>0</v>
      </c>
      <c r="AL33" s="3">
        <v>0</v>
      </c>
      <c r="AM33" s="3">
        <v>0</v>
      </c>
      <c r="AN33" s="3">
        <v>2</v>
      </c>
      <c r="AO33" s="3">
        <v>720.1</v>
      </c>
      <c r="AP33" s="3">
        <v>1.536</v>
      </c>
      <c r="AQ33" s="3" t="s">
        <v>713</v>
      </c>
      <c r="AR33" s="3" t="s">
        <v>714</v>
      </c>
      <c r="AS33" s="3" t="s">
        <v>713</v>
      </c>
      <c r="AT33" s="4">
        <v>44130</v>
      </c>
      <c r="AU33" s="3" t="s">
        <v>858</v>
      </c>
      <c r="AV33" s="3">
        <v>32</v>
      </c>
      <c r="AW33" s="3" t="s">
        <v>859</v>
      </c>
    </row>
    <row r="34" spans="1:49" x14ac:dyDescent="0.55000000000000004">
      <c r="A34" s="3" t="str">
        <f>HYPERLINK("https://www.infodis.net/philips/net/Shipment/Details?InfodisNumber=4514886&amp;DomainCode=DAP", "4514886")</f>
        <v>4514886</v>
      </c>
      <c r="B34" s="3" t="s">
        <v>2215</v>
      </c>
      <c r="C34" s="3" t="s">
        <v>2216</v>
      </c>
      <c r="D34" s="3" t="s">
        <v>2217</v>
      </c>
      <c r="E34" s="3" t="s">
        <v>304</v>
      </c>
      <c r="F34" s="3" t="s">
        <v>403</v>
      </c>
      <c r="G34" s="3" t="s">
        <v>2218</v>
      </c>
      <c r="H34" s="3" t="s">
        <v>244</v>
      </c>
      <c r="I34" s="3" t="s">
        <v>2219</v>
      </c>
      <c r="J34" s="3" t="s">
        <v>157</v>
      </c>
      <c r="K34" s="3" t="s">
        <v>158</v>
      </c>
      <c r="L34" s="3" t="s">
        <v>159</v>
      </c>
      <c r="M34" s="3" t="s">
        <v>60</v>
      </c>
      <c r="N34" s="3"/>
      <c r="O34" s="3"/>
      <c r="P34" s="3" t="s">
        <v>2220</v>
      </c>
      <c r="Q34" s="3" t="s">
        <v>2221</v>
      </c>
      <c r="R34" s="3" t="s">
        <v>161</v>
      </c>
      <c r="S34" s="4">
        <v>44090</v>
      </c>
      <c r="T34" s="4">
        <v>44092</v>
      </c>
      <c r="U34" s="4">
        <v>44095</v>
      </c>
      <c r="V34" s="4">
        <v>44102</v>
      </c>
      <c r="W34" s="4">
        <v>44104</v>
      </c>
      <c r="X34" s="3"/>
      <c r="Y34" s="3" t="s">
        <v>857</v>
      </c>
      <c r="Z34" s="3" t="s">
        <v>857</v>
      </c>
      <c r="AA34" s="3" t="s">
        <v>857</v>
      </c>
      <c r="AB34" s="3" t="s">
        <v>67</v>
      </c>
      <c r="AC34" s="3" t="s">
        <v>67</v>
      </c>
      <c r="AD34" s="3" t="s">
        <v>67</v>
      </c>
      <c r="AE34" s="3"/>
      <c r="AF34" s="3" t="s">
        <v>70</v>
      </c>
      <c r="AG34" s="3" t="s">
        <v>2052</v>
      </c>
      <c r="AH34" s="3" t="s">
        <v>72</v>
      </c>
      <c r="AI34" s="3" t="s">
        <v>73</v>
      </c>
      <c r="AJ34" s="3">
        <v>0</v>
      </c>
      <c r="AK34" s="3">
        <v>0</v>
      </c>
      <c r="AL34" s="3">
        <v>0</v>
      </c>
      <c r="AM34" s="3">
        <v>0</v>
      </c>
      <c r="AN34" s="3">
        <v>3</v>
      </c>
      <c r="AO34" s="3">
        <v>234</v>
      </c>
      <c r="AP34" s="3">
        <v>2.9950000000000001</v>
      </c>
      <c r="AQ34" s="3" t="s">
        <v>713</v>
      </c>
      <c r="AR34" s="3" t="s">
        <v>714</v>
      </c>
      <c r="AS34" s="3" t="s">
        <v>713</v>
      </c>
      <c r="AT34" s="4">
        <v>44102</v>
      </c>
      <c r="AU34" s="3" t="s">
        <v>2222</v>
      </c>
      <c r="AV34" s="3">
        <v>60</v>
      </c>
      <c r="AW34" s="3" t="s">
        <v>2223</v>
      </c>
    </row>
    <row r="35" spans="1:49" x14ac:dyDescent="0.55000000000000004">
      <c r="A35" s="3" t="str">
        <f>HYPERLINK("https://www.infodis.net/philips/net/Shipment/Details?InfodisNumber=4514894&amp;DomainCode=DAP", "4514894")</f>
        <v>4514894</v>
      </c>
      <c r="B35" s="3" t="s">
        <v>2224</v>
      </c>
      <c r="C35" s="3" t="s">
        <v>2216</v>
      </c>
      <c r="D35" s="3" t="s">
        <v>2217</v>
      </c>
      <c r="E35" s="3" t="s">
        <v>304</v>
      </c>
      <c r="F35" s="3" t="s">
        <v>403</v>
      </c>
      <c r="G35" s="3" t="s">
        <v>2218</v>
      </c>
      <c r="H35" s="3" t="s">
        <v>244</v>
      </c>
      <c r="I35" s="3" t="s">
        <v>2219</v>
      </c>
      <c r="J35" s="3" t="s">
        <v>157</v>
      </c>
      <c r="K35" s="3" t="s">
        <v>158</v>
      </c>
      <c r="L35" s="3" t="s">
        <v>159</v>
      </c>
      <c r="M35" s="3" t="s">
        <v>60</v>
      </c>
      <c r="N35" s="3"/>
      <c r="O35" s="3"/>
      <c r="P35" s="3" t="s">
        <v>2220</v>
      </c>
      <c r="Q35" s="3" t="s">
        <v>2225</v>
      </c>
      <c r="R35" s="3" t="s">
        <v>161</v>
      </c>
      <c r="S35" s="4">
        <v>44090</v>
      </c>
      <c r="T35" s="4">
        <v>44092</v>
      </c>
      <c r="U35" s="4">
        <v>44095</v>
      </c>
      <c r="V35" s="4">
        <v>44102</v>
      </c>
      <c r="W35" s="4">
        <v>44104</v>
      </c>
      <c r="X35" s="3"/>
      <c r="Y35" s="3" t="s">
        <v>857</v>
      </c>
      <c r="Z35" s="3" t="s">
        <v>857</v>
      </c>
      <c r="AA35" s="3" t="s">
        <v>857</v>
      </c>
      <c r="AB35" s="3" t="s">
        <v>67</v>
      </c>
      <c r="AC35" s="3" t="s">
        <v>67</v>
      </c>
      <c r="AD35" s="3" t="s">
        <v>67</v>
      </c>
      <c r="AE35" s="3"/>
      <c r="AF35" s="3" t="s">
        <v>70</v>
      </c>
      <c r="AG35" s="3" t="s">
        <v>2052</v>
      </c>
      <c r="AH35" s="3" t="s">
        <v>72</v>
      </c>
      <c r="AI35" s="3" t="s">
        <v>73</v>
      </c>
      <c r="AJ35" s="3">
        <v>0</v>
      </c>
      <c r="AK35" s="3">
        <v>0</v>
      </c>
      <c r="AL35" s="3">
        <v>0</v>
      </c>
      <c r="AM35" s="3">
        <v>0</v>
      </c>
      <c r="AN35" s="3">
        <v>2</v>
      </c>
      <c r="AO35" s="3">
        <v>156</v>
      </c>
      <c r="AP35" s="3">
        <v>1.9970000000000001</v>
      </c>
      <c r="AQ35" s="3" t="s">
        <v>713</v>
      </c>
      <c r="AR35" s="3" t="s">
        <v>714</v>
      </c>
      <c r="AS35" s="3" t="s">
        <v>713</v>
      </c>
      <c r="AT35" s="4">
        <v>44102</v>
      </c>
      <c r="AU35" s="3" t="s">
        <v>2222</v>
      </c>
      <c r="AV35" s="3">
        <v>60</v>
      </c>
      <c r="AW35" s="3" t="s">
        <v>2223</v>
      </c>
    </row>
    <row r="36" spans="1:49" x14ac:dyDescent="0.55000000000000004">
      <c r="A36" s="3" t="str">
        <f>HYPERLINK("https://www.infodis.net/philips/net/Shipment/Details?InfodisNumber=4519826&amp;DomainCode=DAP", "4519826")</f>
        <v>4519826</v>
      </c>
      <c r="B36" s="3" t="s">
        <v>2226</v>
      </c>
      <c r="C36" s="3" t="s">
        <v>2227</v>
      </c>
      <c r="D36" s="3" t="s">
        <v>2228</v>
      </c>
      <c r="E36" s="3" t="s">
        <v>94</v>
      </c>
      <c r="F36" s="3" t="s">
        <v>228</v>
      </c>
      <c r="G36" s="3" t="s">
        <v>424</v>
      </c>
      <c r="H36" s="3" t="s">
        <v>79</v>
      </c>
      <c r="I36" s="3" t="s">
        <v>1813</v>
      </c>
      <c r="J36" s="3" t="s">
        <v>511</v>
      </c>
      <c r="K36" s="3" t="s">
        <v>233</v>
      </c>
      <c r="L36" s="3" t="s">
        <v>234</v>
      </c>
      <c r="M36" s="3" t="s">
        <v>60</v>
      </c>
      <c r="N36" s="3"/>
      <c r="O36" s="3"/>
      <c r="P36" s="3" t="s">
        <v>2229</v>
      </c>
      <c r="Q36" s="3" t="s">
        <v>2230</v>
      </c>
      <c r="R36" s="3" t="s">
        <v>236</v>
      </c>
      <c r="S36" s="4">
        <v>44097</v>
      </c>
      <c r="T36" s="4">
        <v>44099</v>
      </c>
      <c r="U36" s="4">
        <v>44099</v>
      </c>
      <c r="V36" s="4">
        <v>44109</v>
      </c>
      <c r="W36" s="4">
        <v>44102</v>
      </c>
      <c r="X36" s="4">
        <v>44124</v>
      </c>
      <c r="Y36" s="3" t="s">
        <v>857</v>
      </c>
      <c r="Z36" s="3" t="s">
        <v>857</v>
      </c>
      <c r="AA36" s="3" t="s">
        <v>857</v>
      </c>
      <c r="AB36" s="3" t="s">
        <v>67</v>
      </c>
      <c r="AC36" s="3" t="s">
        <v>67</v>
      </c>
      <c r="AD36" s="3" t="s">
        <v>67</v>
      </c>
      <c r="AE36" s="3"/>
      <c r="AF36" s="3" t="s">
        <v>70</v>
      </c>
      <c r="AG36" s="3" t="s">
        <v>2052</v>
      </c>
      <c r="AH36" s="3" t="s">
        <v>72</v>
      </c>
      <c r="AI36" s="3" t="s">
        <v>73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414</v>
      </c>
      <c r="AP36" s="3">
        <v>2.13</v>
      </c>
      <c r="AQ36" s="3" t="s">
        <v>713</v>
      </c>
      <c r="AR36" s="3" t="s">
        <v>714</v>
      </c>
      <c r="AS36" s="3" t="s">
        <v>713</v>
      </c>
      <c r="AT36" s="4">
        <v>44102</v>
      </c>
      <c r="AU36" s="3" t="s">
        <v>2222</v>
      </c>
      <c r="AV36" s="3">
        <v>60</v>
      </c>
      <c r="AW36" s="3" t="s">
        <v>2223</v>
      </c>
    </row>
    <row r="37" spans="1:49" x14ac:dyDescent="0.55000000000000004">
      <c r="A37" s="3" t="str">
        <f>HYPERLINK("https://www.infodis.net/philips/net/Shipment/Details?InfodisNumber=4556161&amp;DomainCode=DAP", "4556161")</f>
        <v>4556161</v>
      </c>
      <c r="B37" s="3" t="s">
        <v>2231</v>
      </c>
      <c r="C37" s="3" t="s">
        <v>933</v>
      </c>
      <c r="D37" s="3" t="s">
        <v>934</v>
      </c>
      <c r="E37" s="3" t="s">
        <v>304</v>
      </c>
      <c r="F37" s="3" t="s">
        <v>378</v>
      </c>
      <c r="G37" s="3" t="s">
        <v>295</v>
      </c>
      <c r="H37" s="3" t="s">
        <v>296</v>
      </c>
      <c r="I37" s="3" t="s">
        <v>2182</v>
      </c>
      <c r="J37" s="3" t="s">
        <v>382</v>
      </c>
      <c r="K37" s="3" t="s">
        <v>383</v>
      </c>
      <c r="L37" s="3" t="s">
        <v>384</v>
      </c>
      <c r="M37" s="3" t="s">
        <v>385</v>
      </c>
      <c r="N37" s="3"/>
      <c r="O37" s="3"/>
      <c r="P37" s="3" t="s">
        <v>300</v>
      </c>
      <c r="Q37" s="3" t="s">
        <v>2232</v>
      </c>
      <c r="R37" s="3" t="s">
        <v>389</v>
      </c>
      <c r="S37" s="4">
        <v>44147</v>
      </c>
      <c r="T37" s="4">
        <v>44148</v>
      </c>
      <c r="U37" s="4">
        <v>44148</v>
      </c>
      <c r="V37" s="4">
        <v>44158</v>
      </c>
      <c r="W37" s="4">
        <v>44158</v>
      </c>
      <c r="X37" s="3"/>
      <c r="Y37" s="3" t="s">
        <v>857</v>
      </c>
      <c r="Z37" s="3" t="s">
        <v>857</v>
      </c>
      <c r="AA37" s="3" t="s">
        <v>66</v>
      </c>
      <c r="AB37" s="3" t="s">
        <v>67</v>
      </c>
      <c r="AC37" s="3" t="s">
        <v>67</v>
      </c>
      <c r="AD37" s="3" t="s">
        <v>68</v>
      </c>
      <c r="AE37" s="3"/>
      <c r="AF37" s="3" t="s">
        <v>70</v>
      </c>
      <c r="AG37" s="3" t="s">
        <v>2052</v>
      </c>
      <c r="AH37" s="3" t="s">
        <v>72</v>
      </c>
      <c r="AI37" s="3" t="s">
        <v>73</v>
      </c>
      <c r="AJ37" s="3">
        <v>0</v>
      </c>
      <c r="AK37" s="3">
        <v>0</v>
      </c>
      <c r="AL37" s="3">
        <v>0</v>
      </c>
      <c r="AM37" s="3">
        <v>0</v>
      </c>
      <c r="AN37" s="3">
        <v>8</v>
      </c>
      <c r="AO37" s="3">
        <v>1941.3119999999999</v>
      </c>
      <c r="AP37" s="3">
        <v>16.818999999999999</v>
      </c>
      <c r="AQ37" s="3" t="s">
        <v>713</v>
      </c>
      <c r="AR37" s="3" t="s">
        <v>714</v>
      </c>
      <c r="AS37" s="3" t="s">
        <v>713</v>
      </c>
      <c r="AT37" s="4">
        <v>44151</v>
      </c>
      <c r="AU37" s="3" t="s">
        <v>2233</v>
      </c>
      <c r="AV37" s="3">
        <v>11</v>
      </c>
      <c r="AW37" s="3" t="s">
        <v>942</v>
      </c>
    </row>
    <row r="38" spans="1:49" x14ac:dyDescent="0.55000000000000004">
      <c r="A38" s="3" t="str">
        <f>HYPERLINK("https://www.infodis.net/philips/net/Shipment/Details?InfodisNumber=4433784&amp;DomainCode=DAP", "4433784")</f>
        <v>4433784</v>
      </c>
      <c r="B38" s="3" t="s">
        <v>2234</v>
      </c>
      <c r="C38" s="3" t="s">
        <v>2097</v>
      </c>
      <c r="D38" s="3" t="s">
        <v>2098</v>
      </c>
      <c r="E38" s="3" t="s">
        <v>304</v>
      </c>
      <c r="F38" s="3" t="s">
        <v>423</v>
      </c>
      <c r="G38" s="3" t="s">
        <v>233</v>
      </c>
      <c r="H38" s="3" t="s">
        <v>234</v>
      </c>
      <c r="I38" s="3"/>
      <c r="J38" s="3"/>
      <c r="K38" s="3" t="s">
        <v>425</v>
      </c>
      <c r="L38" s="3" t="s">
        <v>307</v>
      </c>
      <c r="M38" s="3" t="s">
        <v>60</v>
      </c>
      <c r="N38" s="3"/>
      <c r="O38" s="3"/>
      <c r="P38" s="3" t="s">
        <v>2235</v>
      </c>
      <c r="Q38" s="3" t="s">
        <v>2236</v>
      </c>
      <c r="R38" s="3" t="s">
        <v>429</v>
      </c>
      <c r="S38" s="4">
        <v>43950</v>
      </c>
      <c r="T38" s="4">
        <v>43950</v>
      </c>
      <c r="U38" s="4">
        <v>43968</v>
      </c>
      <c r="V38" s="4">
        <v>43973</v>
      </c>
      <c r="W38" s="4">
        <v>43973</v>
      </c>
      <c r="X38" s="4">
        <v>44026</v>
      </c>
      <c r="Y38" s="3" t="s">
        <v>857</v>
      </c>
      <c r="Z38" s="3" t="s">
        <v>857</v>
      </c>
      <c r="AA38" s="3" t="s">
        <v>857</v>
      </c>
      <c r="AB38" s="3" t="s">
        <v>67</v>
      </c>
      <c r="AC38" s="3" t="s">
        <v>67</v>
      </c>
      <c r="AD38" s="3" t="s">
        <v>67</v>
      </c>
      <c r="AE38" s="3"/>
      <c r="AF38" s="3" t="s">
        <v>70</v>
      </c>
      <c r="AG38" s="3" t="s">
        <v>2052</v>
      </c>
      <c r="AH38" s="3" t="s">
        <v>72</v>
      </c>
      <c r="AI38" s="3" t="s">
        <v>73</v>
      </c>
      <c r="AJ38" s="3">
        <v>0</v>
      </c>
      <c r="AK38" s="3">
        <v>0</v>
      </c>
      <c r="AL38" s="3">
        <v>0</v>
      </c>
      <c r="AM38" s="3">
        <v>0</v>
      </c>
      <c r="AN38" s="3">
        <v>1</v>
      </c>
      <c r="AO38" s="3">
        <v>137</v>
      </c>
      <c r="AP38" s="3">
        <v>1.1200000000000001</v>
      </c>
      <c r="AQ38" s="3" t="s">
        <v>713</v>
      </c>
      <c r="AR38" s="3" t="s">
        <v>714</v>
      </c>
      <c r="AS38" s="3" t="s">
        <v>713</v>
      </c>
      <c r="AT38" s="4">
        <v>44102</v>
      </c>
      <c r="AU38" s="3" t="s">
        <v>2222</v>
      </c>
      <c r="AV38" s="3">
        <v>60</v>
      </c>
      <c r="AW38" s="3" t="s">
        <v>2237</v>
      </c>
    </row>
    <row r="39" spans="1:49" x14ac:dyDescent="0.55000000000000004">
      <c r="A39" s="3" t="str">
        <f>HYPERLINK("https://www.infodis.net/philips/net/Shipment/Details?InfodisNumber=4523375&amp;DomainCode=DAP", "4523375")</f>
        <v>4523375</v>
      </c>
      <c r="B39" s="3" t="s">
        <v>2238</v>
      </c>
      <c r="C39" s="3" t="s">
        <v>2239</v>
      </c>
      <c r="D39" s="3" t="s">
        <v>2240</v>
      </c>
      <c r="E39" s="3" t="s">
        <v>2239</v>
      </c>
      <c r="F39" s="3" t="s">
        <v>167</v>
      </c>
      <c r="G39" s="3" t="s">
        <v>667</v>
      </c>
      <c r="H39" s="3" t="s">
        <v>79</v>
      </c>
      <c r="I39" s="3" t="s">
        <v>1813</v>
      </c>
      <c r="J39" s="3" t="s">
        <v>170</v>
      </c>
      <c r="K39" s="3" t="s">
        <v>1125</v>
      </c>
      <c r="L39" s="3" t="s">
        <v>172</v>
      </c>
      <c r="M39" s="3" t="s">
        <v>1489</v>
      </c>
      <c r="N39" s="3"/>
      <c r="O39" s="3"/>
      <c r="P39" s="3" t="s">
        <v>208</v>
      </c>
      <c r="Q39" s="3" t="s">
        <v>2241</v>
      </c>
      <c r="R39" s="3" t="s">
        <v>1128</v>
      </c>
      <c r="S39" s="4">
        <v>44101</v>
      </c>
      <c r="T39" s="4">
        <v>44113</v>
      </c>
      <c r="U39" s="4">
        <v>44113</v>
      </c>
      <c r="V39" s="4">
        <v>44123</v>
      </c>
      <c r="W39" s="4">
        <v>44122</v>
      </c>
      <c r="X39" s="3"/>
      <c r="Y39" s="3" t="s">
        <v>857</v>
      </c>
      <c r="Z39" s="3" t="s">
        <v>857</v>
      </c>
      <c r="AA39" s="3" t="s">
        <v>857</v>
      </c>
      <c r="AB39" s="3" t="s">
        <v>67</v>
      </c>
      <c r="AC39" s="3" t="s">
        <v>67</v>
      </c>
      <c r="AD39" s="3" t="s">
        <v>67</v>
      </c>
      <c r="AE39" s="3"/>
      <c r="AF39" s="3" t="s">
        <v>70</v>
      </c>
      <c r="AG39" s="3" t="s">
        <v>2052</v>
      </c>
      <c r="AH39" s="3" t="s">
        <v>72</v>
      </c>
      <c r="AI39" s="3" t="s">
        <v>73</v>
      </c>
      <c r="AJ39" s="3">
        <v>0</v>
      </c>
      <c r="AK39" s="3">
        <v>0</v>
      </c>
      <c r="AL39" s="3">
        <v>0</v>
      </c>
      <c r="AM39" s="3">
        <v>0</v>
      </c>
      <c r="AN39" s="3">
        <v>2</v>
      </c>
      <c r="AO39" s="3">
        <v>991</v>
      </c>
      <c r="AP39" s="3">
        <v>3.78</v>
      </c>
      <c r="AQ39" s="3" t="s">
        <v>713</v>
      </c>
      <c r="AR39" s="3" t="s">
        <v>714</v>
      </c>
      <c r="AS39" s="3" t="s">
        <v>713</v>
      </c>
      <c r="AT39" s="4">
        <v>44102</v>
      </c>
      <c r="AU39" s="3" t="s">
        <v>2222</v>
      </c>
      <c r="AV39" s="3">
        <v>60</v>
      </c>
      <c r="AW39" s="3" t="s">
        <v>1405</v>
      </c>
    </row>
    <row r="40" spans="1:49" x14ac:dyDescent="0.55000000000000004">
      <c r="A40" s="3" t="str">
        <f>HYPERLINK("https://www.infodis.net/philips/net/Shipment/Details?InfodisNumber=6535481&amp;DomainCode=PHILIPSR1", "6535481")</f>
        <v>6535481</v>
      </c>
      <c r="B40" s="3" t="s">
        <v>2242</v>
      </c>
      <c r="C40" s="3" t="s">
        <v>2243</v>
      </c>
      <c r="D40" s="3" t="s">
        <v>2244</v>
      </c>
      <c r="E40" s="3" t="s">
        <v>1067</v>
      </c>
      <c r="F40" s="3" t="s">
        <v>651</v>
      </c>
      <c r="G40" s="3" t="s">
        <v>1069</v>
      </c>
      <c r="H40" s="3" t="s">
        <v>180</v>
      </c>
      <c r="I40" s="3" t="s">
        <v>1070</v>
      </c>
      <c r="J40" s="3" t="s">
        <v>157</v>
      </c>
      <c r="K40" s="3" t="s">
        <v>653</v>
      </c>
      <c r="L40" s="3" t="s">
        <v>159</v>
      </c>
      <c r="M40" s="3" t="s">
        <v>60</v>
      </c>
      <c r="N40" s="3"/>
      <c r="O40" s="3" t="s">
        <v>2245</v>
      </c>
      <c r="P40" s="3" t="s">
        <v>1072</v>
      </c>
      <c r="Q40" s="3" t="s">
        <v>2245</v>
      </c>
      <c r="R40" s="3" t="s">
        <v>655</v>
      </c>
      <c r="S40" s="4">
        <v>43986</v>
      </c>
      <c r="T40" s="4">
        <v>43993</v>
      </c>
      <c r="U40" s="4">
        <v>43986</v>
      </c>
      <c r="V40" s="4">
        <v>44010</v>
      </c>
      <c r="W40" s="4">
        <v>44010</v>
      </c>
      <c r="X40" s="4">
        <v>44042</v>
      </c>
      <c r="Y40" s="3" t="s">
        <v>857</v>
      </c>
      <c r="Z40" s="3" t="s">
        <v>857</v>
      </c>
      <c r="AA40" s="3" t="s">
        <v>857</v>
      </c>
      <c r="AB40" s="3" t="s">
        <v>67</v>
      </c>
      <c r="AC40" s="3" t="s">
        <v>67</v>
      </c>
      <c r="AD40" s="3" t="s">
        <v>67</v>
      </c>
      <c r="AE40" s="3"/>
      <c r="AF40" s="3" t="s">
        <v>70</v>
      </c>
      <c r="AG40" s="3" t="s">
        <v>2052</v>
      </c>
      <c r="AH40" s="3" t="s">
        <v>72</v>
      </c>
      <c r="AI40" s="3" t="s">
        <v>252</v>
      </c>
      <c r="AJ40" s="3">
        <v>0</v>
      </c>
      <c r="AK40" s="3">
        <v>0</v>
      </c>
      <c r="AL40" s="3">
        <v>0</v>
      </c>
      <c r="AM40" s="3">
        <v>0</v>
      </c>
      <c r="AN40" s="3">
        <v>1</v>
      </c>
      <c r="AO40" s="3">
        <v>216</v>
      </c>
      <c r="AP40" s="3">
        <v>1.8879999999999999</v>
      </c>
      <c r="AQ40" s="3" t="s">
        <v>713</v>
      </c>
      <c r="AR40" s="3" t="s">
        <v>714</v>
      </c>
      <c r="AS40" s="3" t="s">
        <v>713</v>
      </c>
      <c r="AT40" s="4">
        <v>44102</v>
      </c>
      <c r="AU40" s="3" t="s">
        <v>2222</v>
      </c>
      <c r="AV40" s="3">
        <v>60</v>
      </c>
      <c r="AW40" s="3" t="s">
        <v>2237</v>
      </c>
    </row>
    <row r="41" spans="1:49" x14ac:dyDescent="0.55000000000000004">
      <c r="A41" s="3" t="str">
        <f>HYPERLINK("https://www.infodis.net/philips/net/Shipment/Details?InfodisNumber=4544862&amp;DomainCode=DAP", "4544862")</f>
        <v>4544862</v>
      </c>
      <c r="B41" s="3" t="s">
        <v>2246</v>
      </c>
      <c r="C41" s="3" t="s">
        <v>933</v>
      </c>
      <c r="D41" s="3" t="s">
        <v>934</v>
      </c>
      <c r="E41" s="3" t="s">
        <v>291</v>
      </c>
      <c r="F41" s="3" t="s">
        <v>2247</v>
      </c>
      <c r="G41" s="3" t="s">
        <v>295</v>
      </c>
      <c r="H41" s="3" t="s">
        <v>296</v>
      </c>
      <c r="I41" s="3" t="s">
        <v>706</v>
      </c>
      <c r="J41" s="3" t="s">
        <v>231</v>
      </c>
      <c r="K41" s="3" t="s">
        <v>2248</v>
      </c>
      <c r="L41" s="3" t="s">
        <v>230</v>
      </c>
      <c r="M41" s="3" t="s">
        <v>385</v>
      </c>
      <c r="N41" s="3"/>
      <c r="O41" s="3"/>
      <c r="P41" s="3" t="s">
        <v>300</v>
      </c>
      <c r="Q41" s="3" t="s">
        <v>2249</v>
      </c>
      <c r="R41" s="3" t="s">
        <v>2250</v>
      </c>
      <c r="S41" s="4">
        <v>44133</v>
      </c>
      <c r="T41" s="4">
        <v>44134</v>
      </c>
      <c r="U41" s="4">
        <v>44134</v>
      </c>
      <c r="V41" s="4">
        <v>44144</v>
      </c>
      <c r="W41" s="4">
        <v>44144</v>
      </c>
      <c r="X41" s="3"/>
      <c r="Y41" s="3" t="s">
        <v>857</v>
      </c>
      <c r="Z41" s="3" t="s">
        <v>857</v>
      </c>
      <c r="AA41" s="3" t="s">
        <v>66</v>
      </c>
      <c r="AB41" s="3" t="s">
        <v>67</v>
      </c>
      <c r="AC41" s="3" t="s">
        <v>67</v>
      </c>
      <c r="AD41" s="3" t="s">
        <v>68</v>
      </c>
      <c r="AE41" s="3"/>
      <c r="AF41" s="3" t="s">
        <v>70</v>
      </c>
      <c r="AG41" s="3" t="s">
        <v>2052</v>
      </c>
      <c r="AH41" s="3" t="s">
        <v>72</v>
      </c>
      <c r="AI41" s="3" t="s">
        <v>73</v>
      </c>
      <c r="AJ41" s="3">
        <v>0</v>
      </c>
      <c r="AK41" s="3">
        <v>0</v>
      </c>
      <c r="AL41" s="3">
        <v>0</v>
      </c>
      <c r="AM41" s="3">
        <v>0</v>
      </c>
      <c r="AN41" s="3">
        <v>10</v>
      </c>
      <c r="AO41" s="3">
        <v>2426.64</v>
      </c>
      <c r="AP41" s="3">
        <v>21.024000000000001</v>
      </c>
      <c r="AQ41" s="3" t="s">
        <v>713</v>
      </c>
      <c r="AR41" s="3" t="s">
        <v>714</v>
      </c>
      <c r="AS41" s="3" t="s">
        <v>713</v>
      </c>
      <c r="AT41" s="4">
        <v>44138</v>
      </c>
      <c r="AU41" s="3" t="s">
        <v>2251</v>
      </c>
      <c r="AV41" s="3">
        <v>24</v>
      </c>
      <c r="AW41" s="3" t="s">
        <v>942</v>
      </c>
    </row>
    <row r="42" spans="1:49" x14ac:dyDescent="0.55000000000000004">
      <c r="A42" s="3" t="str">
        <f>HYPERLINK("https://www.infodis.net/philips/net/Shipment/Details?InfodisNumber=1557491&amp;DomainCode=PHILIPSM1", "1557491")</f>
        <v>1557491</v>
      </c>
      <c r="B42" s="3" t="s">
        <v>2252</v>
      </c>
      <c r="C42" s="3" t="s">
        <v>2092</v>
      </c>
      <c r="D42" s="3" t="s">
        <v>2093</v>
      </c>
      <c r="E42" s="3" t="s">
        <v>2092</v>
      </c>
      <c r="F42" s="3" t="s">
        <v>2089</v>
      </c>
      <c r="G42" s="3" t="s">
        <v>2094</v>
      </c>
      <c r="H42" s="3" t="s">
        <v>180</v>
      </c>
      <c r="I42" s="3"/>
      <c r="J42" s="3"/>
      <c r="K42" s="3" t="s">
        <v>1430</v>
      </c>
      <c r="L42" s="3" t="s">
        <v>244</v>
      </c>
      <c r="M42" s="3" t="s">
        <v>60</v>
      </c>
      <c r="N42" s="3"/>
      <c r="O42" s="3"/>
      <c r="P42" s="3" t="s">
        <v>2095</v>
      </c>
      <c r="Q42" s="3"/>
      <c r="R42" s="3" t="s">
        <v>1432</v>
      </c>
      <c r="S42" s="4">
        <v>44137</v>
      </c>
      <c r="T42" s="4">
        <v>44152</v>
      </c>
      <c r="U42" s="3"/>
      <c r="V42" s="3"/>
      <c r="W42" s="3"/>
      <c r="X42" s="3"/>
      <c r="Y42" s="3" t="s">
        <v>857</v>
      </c>
      <c r="Z42" s="3" t="s">
        <v>857</v>
      </c>
      <c r="AA42" s="3" t="s">
        <v>857</v>
      </c>
      <c r="AB42" s="3" t="s">
        <v>67</v>
      </c>
      <c r="AC42" s="3" t="s">
        <v>67</v>
      </c>
      <c r="AD42" s="3" t="s">
        <v>67</v>
      </c>
      <c r="AE42" s="3"/>
      <c r="AF42" s="3" t="s">
        <v>70</v>
      </c>
      <c r="AG42" s="3" t="s">
        <v>2052</v>
      </c>
      <c r="AH42" s="3" t="s">
        <v>72</v>
      </c>
      <c r="AI42" s="3" t="s">
        <v>605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181.44</v>
      </c>
      <c r="AP42" s="3">
        <v>1.264</v>
      </c>
      <c r="AQ42" s="3" t="s">
        <v>713</v>
      </c>
      <c r="AR42" s="3" t="s">
        <v>714</v>
      </c>
      <c r="AS42" s="3" t="s">
        <v>713</v>
      </c>
      <c r="AT42" s="4">
        <v>44138</v>
      </c>
      <c r="AU42" s="3" t="s">
        <v>2253</v>
      </c>
      <c r="AV42" s="3">
        <v>24</v>
      </c>
      <c r="AW42" s="3" t="s">
        <v>2254</v>
      </c>
    </row>
    <row r="43" spans="1:49" x14ac:dyDescent="0.55000000000000004">
      <c r="A43" s="3" t="str">
        <f>HYPERLINK("https://www.infodis.net/philips/net/Shipment/Details?InfodisNumber=4551995&amp;DomainCode=DAP", "4551995")</f>
        <v>4551995</v>
      </c>
      <c r="B43" s="3" t="s">
        <v>2255</v>
      </c>
      <c r="C43" s="3" t="s">
        <v>2256</v>
      </c>
      <c r="D43" s="3" t="s">
        <v>2257</v>
      </c>
      <c r="E43" s="3" t="s">
        <v>94</v>
      </c>
      <c r="F43" s="3" t="s">
        <v>203</v>
      </c>
      <c r="G43" s="3" t="s">
        <v>2258</v>
      </c>
      <c r="H43" s="3" t="s">
        <v>79</v>
      </c>
      <c r="I43" s="3" t="s">
        <v>122</v>
      </c>
      <c r="J43" s="3" t="s">
        <v>205</v>
      </c>
      <c r="K43" s="3" t="s">
        <v>206</v>
      </c>
      <c r="L43" s="3" t="s">
        <v>207</v>
      </c>
      <c r="M43" s="3" t="s">
        <v>60</v>
      </c>
      <c r="N43" s="3"/>
      <c r="O43" s="3"/>
      <c r="P43" s="3" t="s">
        <v>525</v>
      </c>
      <c r="Q43" s="3"/>
      <c r="R43" s="3" t="s">
        <v>209</v>
      </c>
      <c r="S43" s="4">
        <v>44141</v>
      </c>
      <c r="T43" s="4">
        <v>44145</v>
      </c>
      <c r="U43" s="4">
        <v>44145</v>
      </c>
      <c r="V43" s="4">
        <v>44156</v>
      </c>
      <c r="W43" s="3"/>
      <c r="X43" s="3"/>
      <c r="Y43" s="3" t="s">
        <v>88</v>
      </c>
      <c r="Z43" s="3" t="s">
        <v>857</v>
      </c>
      <c r="AA43" s="3" t="s">
        <v>857</v>
      </c>
      <c r="AB43" s="3" t="s">
        <v>67</v>
      </c>
      <c r="AC43" s="3" t="s">
        <v>67</v>
      </c>
      <c r="AD43" s="3" t="s">
        <v>67</v>
      </c>
      <c r="AE43" s="3"/>
      <c r="AF43" s="3" t="s">
        <v>70</v>
      </c>
      <c r="AG43" s="3" t="s">
        <v>2052</v>
      </c>
      <c r="AH43" s="3" t="s">
        <v>72</v>
      </c>
      <c r="AI43" s="3" t="s">
        <v>73</v>
      </c>
      <c r="AJ43" s="3">
        <v>0</v>
      </c>
      <c r="AK43" s="3">
        <v>0</v>
      </c>
      <c r="AL43" s="3">
        <v>0</v>
      </c>
      <c r="AM43" s="3">
        <v>0</v>
      </c>
      <c r="AN43" s="3">
        <v>12</v>
      </c>
      <c r="AO43" s="3">
        <v>1968.6</v>
      </c>
      <c r="AP43" s="3">
        <v>22.23</v>
      </c>
      <c r="AQ43" s="3" t="s">
        <v>713</v>
      </c>
      <c r="AR43" s="3" t="s">
        <v>714</v>
      </c>
      <c r="AS43" s="3" t="s">
        <v>713</v>
      </c>
      <c r="AT43" s="4">
        <v>44144</v>
      </c>
      <c r="AU43" s="3" t="s">
        <v>2259</v>
      </c>
      <c r="AV43" s="3">
        <v>18</v>
      </c>
      <c r="AW43" s="3" t="s">
        <v>2260</v>
      </c>
    </row>
    <row r="44" spans="1:49" x14ac:dyDescent="0.55000000000000004">
      <c r="A44" s="3" t="str">
        <f>HYPERLINK("https://www.infodis.net/philips/net/Shipment/Details?InfodisNumber=4551978&amp;DomainCode=DAP", "4551978")</f>
        <v>4551978</v>
      </c>
      <c r="B44" s="3" t="s">
        <v>2261</v>
      </c>
      <c r="C44" s="3" t="s">
        <v>2256</v>
      </c>
      <c r="D44" s="3" t="s">
        <v>2257</v>
      </c>
      <c r="E44" s="3" t="s">
        <v>94</v>
      </c>
      <c r="F44" s="3" t="s">
        <v>2262</v>
      </c>
      <c r="G44" s="3" t="s">
        <v>2258</v>
      </c>
      <c r="H44" s="3" t="s">
        <v>79</v>
      </c>
      <c r="I44" s="3" t="s">
        <v>122</v>
      </c>
      <c r="J44" s="3" t="s">
        <v>293</v>
      </c>
      <c r="K44" s="3" t="s">
        <v>945</v>
      </c>
      <c r="L44" s="3" t="s">
        <v>938</v>
      </c>
      <c r="M44" s="3" t="s">
        <v>133</v>
      </c>
      <c r="N44" s="3"/>
      <c r="O44" s="3"/>
      <c r="P44" s="3" t="s">
        <v>525</v>
      </c>
      <c r="Q44" s="3"/>
      <c r="R44" s="3" t="s">
        <v>946</v>
      </c>
      <c r="S44" s="4">
        <v>44141</v>
      </c>
      <c r="T44" s="4">
        <v>44145</v>
      </c>
      <c r="U44" s="4">
        <v>44145</v>
      </c>
      <c r="V44" s="4">
        <v>44156</v>
      </c>
      <c r="W44" s="3"/>
      <c r="X44" s="3"/>
      <c r="Y44" s="3" t="s">
        <v>88</v>
      </c>
      <c r="Z44" s="3" t="s">
        <v>857</v>
      </c>
      <c r="AA44" s="3" t="s">
        <v>857</v>
      </c>
      <c r="AB44" s="3" t="s">
        <v>67</v>
      </c>
      <c r="AC44" s="3" t="s">
        <v>67</v>
      </c>
      <c r="AD44" s="3" t="s">
        <v>67</v>
      </c>
      <c r="AE44" s="3"/>
      <c r="AF44" s="3" t="s">
        <v>70</v>
      </c>
      <c r="AG44" s="3" t="s">
        <v>2052</v>
      </c>
      <c r="AH44" s="3" t="s">
        <v>72</v>
      </c>
      <c r="AI44" s="3" t="s">
        <v>73</v>
      </c>
      <c r="AJ44" s="3">
        <v>0</v>
      </c>
      <c r="AK44" s="3">
        <v>0</v>
      </c>
      <c r="AL44" s="3">
        <v>0</v>
      </c>
      <c r="AM44" s="3">
        <v>0</v>
      </c>
      <c r="AN44" s="3">
        <v>12</v>
      </c>
      <c r="AO44" s="3">
        <v>1968.6</v>
      </c>
      <c r="AP44" s="3">
        <v>22.23</v>
      </c>
      <c r="AQ44" s="3" t="s">
        <v>713</v>
      </c>
      <c r="AR44" s="3" t="s">
        <v>714</v>
      </c>
      <c r="AS44" s="3" t="s">
        <v>713</v>
      </c>
      <c r="AT44" s="4">
        <v>44144</v>
      </c>
      <c r="AU44" s="3" t="s">
        <v>2259</v>
      </c>
      <c r="AV44" s="3">
        <v>18</v>
      </c>
      <c r="AW44" s="3" t="s">
        <v>2260</v>
      </c>
    </row>
    <row r="45" spans="1:49" x14ac:dyDescent="0.55000000000000004">
      <c r="A45" s="3" t="str">
        <f>HYPERLINK("https://www.infodis.net/philips/net/Shipment/Details?InfodisNumber=4482610&amp;DomainCode=DAP", "4482610")</f>
        <v>4482610</v>
      </c>
      <c r="B45" s="3" t="s">
        <v>860</v>
      </c>
      <c r="C45" s="3" t="s">
        <v>852</v>
      </c>
      <c r="D45" s="3" t="s">
        <v>853</v>
      </c>
      <c r="E45" s="3" t="s">
        <v>852</v>
      </c>
      <c r="F45" s="3" t="s">
        <v>393</v>
      </c>
      <c r="G45" s="3" t="s">
        <v>854</v>
      </c>
      <c r="H45" s="3" t="s">
        <v>244</v>
      </c>
      <c r="I45" s="3" t="s">
        <v>706</v>
      </c>
      <c r="J45" s="3" t="s">
        <v>268</v>
      </c>
      <c r="K45" s="3" t="s">
        <v>855</v>
      </c>
      <c r="L45" s="3" t="s">
        <v>267</v>
      </c>
      <c r="M45" s="3" t="s">
        <v>84</v>
      </c>
      <c r="N45" s="3"/>
      <c r="O45" s="3"/>
      <c r="P45" s="3" t="s">
        <v>856</v>
      </c>
      <c r="Q45" s="3" t="s">
        <v>861</v>
      </c>
      <c r="R45" s="3" t="s">
        <v>268</v>
      </c>
      <c r="S45" s="4">
        <v>44041</v>
      </c>
      <c r="T45" s="4">
        <v>44042</v>
      </c>
      <c r="U45" s="4">
        <v>44043</v>
      </c>
      <c r="V45" s="4">
        <v>44046</v>
      </c>
      <c r="W45" s="4">
        <v>44056</v>
      </c>
      <c r="X45" s="3"/>
      <c r="Y45" s="3" t="s">
        <v>857</v>
      </c>
      <c r="Z45" s="3" t="s">
        <v>857</v>
      </c>
      <c r="AA45" s="3" t="s">
        <v>857</v>
      </c>
      <c r="AB45" s="3" t="s">
        <v>67</v>
      </c>
      <c r="AC45" s="3" t="s">
        <v>67</v>
      </c>
      <c r="AD45" s="3" t="s">
        <v>67</v>
      </c>
      <c r="AE45" s="3"/>
      <c r="AF45" s="3" t="s">
        <v>70</v>
      </c>
      <c r="AG45" s="3" t="s">
        <v>71</v>
      </c>
      <c r="AH45" s="3" t="s">
        <v>199</v>
      </c>
      <c r="AI45" s="3" t="s">
        <v>73</v>
      </c>
      <c r="AJ45" s="3">
        <v>0</v>
      </c>
      <c r="AK45" s="3">
        <v>0</v>
      </c>
      <c r="AL45" s="3">
        <v>0</v>
      </c>
      <c r="AM45" s="3">
        <v>0</v>
      </c>
      <c r="AN45" s="3">
        <v>2</v>
      </c>
      <c r="AO45" s="3">
        <v>1151</v>
      </c>
      <c r="AP45" s="3">
        <v>1.978</v>
      </c>
      <c r="AQ45" s="3" t="s">
        <v>713</v>
      </c>
      <c r="AR45" s="3" t="s">
        <v>714</v>
      </c>
      <c r="AS45" s="3" t="s">
        <v>713</v>
      </c>
      <c r="AT45" s="4">
        <v>44130</v>
      </c>
      <c r="AU45" s="3" t="s">
        <v>858</v>
      </c>
      <c r="AV45" s="3">
        <v>32</v>
      </c>
      <c r="AW45" s="3" t="s">
        <v>859</v>
      </c>
    </row>
    <row r="46" spans="1:49" x14ac:dyDescent="0.55000000000000004">
      <c r="A46" s="5" t="str">
        <f>HYPERLINK("https://www.infodis.net/philips/net/Shipment/Details?InfodisNumber=4524497&amp;DomainCode=DAP", "4524497")</f>
        <v>4524497</v>
      </c>
      <c r="B46" s="5" t="s">
        <v>2263</v>
      </c>
      <c r="C46" s="5" t="s">
        <v>2067</v>
      </c>
      <c r="D46" s="5" t="s">
        <v>2068</v>
      </c>
      <c r="E46" s="5" t="s">
        <v>2069</v>
      </c>
      <c r="F46" s="5" t="s">
        <v>2070</v>
      </c>
      <c r="G46" s="5" t="s">
        <v>82</v>
      </c>
      <c r="H46" s="5" t="s">
        <v>83</v>
      </c>
      <c r="I46" s="5" t="s">
        <v>81</v>
      </c>
      <c r="J46" s="5" t="s">
        <v>2071</v>
      </c>
      <c r="K46" s="5" t="s">
        <v>2072</v>
      </c>
      <c r="L46" s="5" t="s">
        <v>132</v>
      </c>
      <c r="M46" s="5" t="s">
        <v>84</v>
      </c>
      <c r="N46" s="5"/>
      <c r="O46" s="5"/>
      <c r="P46" s="5" t="s">
        <v>87</v>
      </c>
      <c r="Q46" s="5" t="s">
        <v>2264</v>
      </c>
      <c r="R46" s="5" t="s">
        <v>2073</v>
      </c>
      <c r="S46" s="6">
        <v>44103</v>
      </c>
      <c r="T46" s="6">
        <v>44103</v>
      </c>
      <c r="U46" s="6">
        <v>44103</v>
      </c>
      <c r="V46" s="6">
        <v>44113</v>
      </c>
      <c r="W46" s="6">
        <v>44103</v>
      </c>
      <c r="X46" s="6">
        <v>44145</v>
      </c>
      <c r="Y46" s="5" t="s">
        <v>857</v>
      </c>
      <c r="Z46" s="5" t="s">
        <v>857</v>
      </c>
      <c r="AA46" s="5" t="s">
        <v>857</v>
      </c>
      <c r="AB46" s="5" t="s">
        <v>67</v>
      </c>
      <c r="AC46" s="5" t="s">
        <v>67</v>
      </c>
      <c r="AD46" s="5" t="s">
        <v>67</v>
      </c>
      <c r="AE46" s="5"/>
      <c r="AF46" s="5" t="s">
        <v>70</v>
      </c>
      <c r="AG46" s="5" t="s">
        <v>2052</v>
      </c>
      <c r="AH46" s="5" t="s">
        <v>72</v>
      </c>
      <c r="AI46" s="5" t="s">
        <v>73</v>
      </c>
      <c r="AJ46" s="5">
        <v>0</v>
      </c>
      <c r="AK46" s="5">
        <v>0</v>
      </c>
      <c r="AL46" s="5">
        <v>0</v>
      </c>
      <c r="AM46" s="5">
        <v>0</v>
      </c>
      <c r="AN46" s="5">
        <v>1</v>
      </c>
      <c r="AO46" s="5">
        <v>96.5</v>
      </c>
      <c r="AP46" s="5">
        <v>1.32</v>
      </c>
      <c r="AQ46" s="5" t="s">
        <v>713</v>
      </c>
      <c r="AR46" s="5" t="s">
        <v>1104</v>
      </c>
      <c r="AS46" s="5"/>
      <c r="AT46" s="5"/>
      <c r="AU46" s="5"/>
      <c r="AV46" s="5">
        <v>-1</v>
      </c>
      <c r="AW46" s="5" t="s">
        <v>2265</v>
      </c>
    </row>
    <row r="47" spans="1:49" x14ac:dyDescent="0.55000000000000004">
      <c r="A47" s="5" t="str">
        <f>HYPERLINK("https://www.infodis.net/philips/net/Shipment/Details?InfodisNumber=4548702&amp;DomainCode=DAP", "4548702")</f>
        <v>4548702</v>
      </c>
      <c r="B47" s="5" t="s">
        <v>2266</v>
      </c>
      <c r="C47" s="5" t="s">
        <v>2067</v>
      </c>
      <c r="D47" s="5" t="s">
        <v>2068</v>
      </c>
      <c r="E47" s="5" t="s">
        <v>2069</v>
      </c>
      <c r="F47" s="5" t="s">
        <v>2070</v>
      </c>
      <c r="G47" s="5" t="s">
        <v>82</v>
      </c>
      <c r="H47" s="5" t="s">
        <v>83</v>
      </c>
      <c r="I47" s="5" t="s">
        <v>81</v>
      </c>
      <c r="J47" s="5" t="s">
        <v>2071</v>
      </c>
      <c r="K47" s="5" t="s">
        <v>2072</v>
      </c>
      <c r="L47" s="5" t="s">
        <v>132</v>
      </c>
      <c r="M47" s="5" t="s">
        <v>84</v>
      </c>
      <c r="N47" s="5"/>
      <c r="O47" s="5"/>
      <c r="P47" s="5" t="s">
        <v>87</v>
      </c>
      <c r="Q47" s="5" t="s">
        <v>2267</v>
      </c>
      <c r="R47" s="5" t="s">
        <v>2073</v>
      </c>
      <c r="S47" s="6">
        <v>44138</v>
      </c>
      <c r="T47" s="6">
        <v>44138</v>
      </c>
      <c r="U47" s="6">
        <v>44154</v>
      </c>
      <c r="V47" s="6">
        <v>44148</v>
      </c>
      <c r="W47" s="6">
        <v>44154</v>
      </c>
      <c r="X47" s="5"/>
      <c r="Y47" s="5" t="s">
        <v>857</v>
      </c>
      <c r="Z47" s="5" t="s">
        <v>857</v>
      </c>
      <c r="AA47" s="5" t="s">
        <v>857</v>
      </c>
      <c r="AB47" s="5" t="s">
        <v>67</v>
      </c>
      <c r="AC47" s="5" t="s">
        <v>67</v>
      </c>
      <c r="AD47" s="5" t="s">
        <v>67</v>
      </c>
      <c r="AE47" s="5"/>
      <c r="AF47" s="5" t="s">
        <v>70</v>
      </c>
      <c r="AG47" s="5" t="s">
        <v>2052</v>
      </c>
      <c r="AH47" s="5" t="s">
        <v>72</v>
      </c>
      <c r="AI47" s="5" t="s">
        <v>73</v>
      </c>
      <c r="AJ47" s="5">
        <v>0</v>
      </c>
      <c r="AK47" s="5">
        <v>0</v>
      </c>
      <c r="AL47" s="5">
        <v>0</v>
      </c>
      <c r="AM47" s="5">
        <v>0</v>
      </c>
      <c r="AN47" s="5">
        <v>2</v>
      </c>
      <c r="AO47" s="5">
        <v>265</v>
      </c>
      <c r="AP47" s="5">
        <v>2.82</v>
      </c>
      <c r="AQ47" s="5" t="s">
        <v>713</v>
      </c>
      <c r="AR47" s="5" t="s">
        <v>1104</v>
      </c>
      <c r="AS47" s="5"/>
      <c r="AT47" s="5"/>
      <c r="AU47" s="5"/>
      <c r="AV47" s="5">
        <v>-1</v>
      </c>
      <c r="AW47" s="5" t="s">
        <v>2265</v>
      </c>
    </row>
    <row r="48" spans="1:49" x14ac:dyDescent="0.55000000000000004">
      <c r="A48" s="5" t="str">
        <f>HYPERLINK("https://www.infodis.net/philips/net/Shipment/Details?InfodisNumber=4510704&amp;DomainCode=DAP", "4510704")</f>
        <v>4510704</v>
      </c>
      <c r="B48" s="5" t="s">
        <v>1149</v>
      </c>
      <c r="C48" s="5" t="s">
        <v>1150</v>
      </c>
      <c r="D48" s="5" t="s">
        <v>1151</v>
      </c>
      <c r="E48" s="5" t="s">
        <v>1150</v>
      </c>
      <c r="F48" s="5" t="s">
        <v>256</v>
      </c>
      <c r="G48" s="5" t="s">
        <v>1152</v>
      </c>
      <c r="H48" s="5" t="s">
        <v>79</v>
      </c>
      <c r="I48" s="5" t="s">
        <v>587</v>
      </c>
      <c r="J48" s="5" t="s">
        <v>258</v>
      </c>
      <c r="K48" s="5" t="s">
        <v>259</v>
      </c>
      <c r="L48" s="5" t="s">
        <v>260</v>
      </c>
      <c r="M48" s="5" t="s">
        <v>261</v>
      </c>
      <c r="N48" s="5"/>
      <c r="O48" s="5"/>
      <c r="P48" s="5" t="s">
        <v>1153</v>
      </c>
      <c r="Q48" s="5" t="s">
        <v>1154</v>
      </c>
      <c r="R48" s="5" t="s">
        <v>262</v>
      </c>
      <c r="S48" s="6">
        <v>44085</v>
      </c>
      <c r="T48" s="6">
        <v>44088</v>
      </c>
      <c r="U48" s="5"/>
      <c r="V48" s="6">
        <v>44093</v>
      </c>
      <c r="W48" s="6">
        <v>44089</v>
      </c>
      <c r="X48" s="6">
        <v>44152</v>
      </c>
      <c r="Y48" s="5" t="s">
        <v>66</v>
      </c>
      <c r="Z48" s="5" t="s">
        <v>857</v>
      </c>
      <c r="AA48" s="5" t="s">
        <v>857</v>
      </c>
      <c r="AB48" s="5" t="s">
        <v>68</v>
      </c>
      <c r="AC48" s="5" t="s">
        <v>67</v>
      </c>
      <c r="AD48" s="5" t="s">
        <v>67</v>
      </c>
      <c r="AE48" s="5" t="s">
        <v>1155</v>
      </c>
      <c r="AF48" s="5" t="s">
        <v>70</v>
      </c>
      <c r="AG48" s="5" t="s">
        <v>71</v>
      </c>
      <c r="AH48" s="5" t="s">
        <v>72</v>
      </c>
      <c r="AI48" s="5" t="s">
        <v>73</v>
      </c>
      <c r="AJ48" s="5">
        <v>0</v>
      </c>
      <c r="AK48" s="5">
        <v>0</v>
      </c>
      <c r="AL48" s="5">
        <v>0</v>
      </c>
      <c r="AM48" s="5">
        <v>0</v>
      </c>
      <c r="AN48" s="5">
        <v>5</v>
      </c>
      <c r="AO48" s="5">
        <v>658.4</v>
      </c>
      <c r="AP48" s="5">
        <v>8.8800000000000008</v>
      </c>
      <c r="AQ48" s="5" t="s">
        <v>713</v>
      </c>
      <c r="AR48" s="5" t="s">
        <v>1104</v>
      </c>
      <c r="AS48" s="5"/>
      <c r="AT48" s="5"/>
      <c r="AU48" s="5"/>
      <c r="AV48" s="5">
        <v>-1</v>
      </c>
      <c r="AW48" s="5" t="s">
        <v>2265</v>
      </c>
    </row>
    <row r="49" spans="1:49" x14ac:dyDescent="0.55000000000000004">
      <c r="A49" s="5" t="str">
        <f>HYPERLINK("https://www.infodis.net/philips/net/Shipment/Details?InfodisNumber=4526492&amp;DomainCode=DAP", "4526492")</f>
        <v>4526492</v>
      </c>
      <c r="B49" s="5" t="s">
        <v>2268</v>
      </c>
      <c r="C49" s="5" t="s">
        <v>2207</v>
      </c>
      <c r="D49" s="5" t="s">
        <v>2208</v>
      </c>
      <c r="E49" s="5" t="s">
        <v>2269</v>
      </c>
      <c r="F49" s="5" t="s">
        <v>1949</v>
      </c>
      <c r="G49" s="5" t="s">
        <v>259</v>
      </c>
      <c r="H49" s="5" t="s">
        <v>260</v>
      </c>
      <c r="I49" s="5" t="s">
        <v>759</v>
      </c>
      <c r="J49" s="5" t="s">
        <v>529</v>
      </c>
      <c r="K49" s="5" t="s">
        <v>530</v>
      </c>
      <c r="L49" s="5" t="s">
        <v>73</v>
      </c>
      <c r="M49" s="5" t="s">
        <v>133</v>
      </c>
      <c r="N49" s="5"/>
      <c r="O49" s="5"/>
      <c r="P49" s="5" t="s">
        <v>2211</v>
      </c>
      <c r="Q49" s="5" t="s">
        <v>2270</v>
      </c>
      <c r="R49" s="5" t="s">
        <v>531</v>
      </c>
      <c r="S49" s="6">
        <v>44105</v>
      </c>
      <c r="T49" s="6">
        <v>44106</v>
      </c>
      <c r="U49" s="6">
        <v>44106</v>
      </c>
      <c r="V49" s="6">
        <v>44116</v>
      </c>
      <c r="W49" s="6">
        <v>44120</v>
      </c>
      <c r="X49" s="6">
        <v>44155</v>
      </c>
      <c r="Y49" s="5" t="s">
        <v>857</v>
      </c>
      <c r="Z49" s="5" t="s">
        <v>857</v>
      </c>
      <c r="AA49" s="5" t="s">
        <v>66</v>
      </c>
      <c r="AB49" s="5" t="s">
        <v>67</v>
      </c>
      <c r="AC49" s="5" t="s">
        <v>67</v>
      </c>
      <c r="AD49" s="5" t="s">
        <v>68</v>
      </c>
      <c r="AE49" s="5"/>
      <c r="AF49" s="5" t="s">
        <v>70</v>
      </c>
      <c r="AG49" s="5" t="s">
        <v>2052</v>
      </c>
      <c r="AH49" s="5" t="s">
        <v>72</v>
      </c>
      <c r="AI49" s="5" t="s">
        <v>73</v>
      </c>
      <c r="AJ49" s="5">
        <v>0</v>
      </c>
      <c r="AK49" s="5">
        <v>0</v>
      </c>
      <c r="AL49" s="5">
        <v>0</v>
      </c>
      <c r="AM49" s="5">
        <v>0</v>
      </c>
      <c r="AN49" s="5">
        <v>1</v>
      </c>
      <c r="AO49" s="5">
        <v>44</v>
      </c>
      <c r="AP49" s="5">
        <v>0.43</v>
      </c>
      <c r="AQ49" s="5" t="s">
        <v>713</v>
      </c>
      <c r="AR49" s="5" t="s">
        <v>1104</v>
      </c>
      <c r="AS49" s="5" t="s">
        <v>713</v>
      </c>
      <c r="AT49" s="6">
        <v>44118</v>
      </c>
      <c r="AU49" s="5">
        <v>2540845</v>
      </c>
      <c r="AV49" s="5">
        <v>44</v>
      </c>
      <c r="AW49" s="5" t="s">
        <v>1368</v>
      </c>
    </row>
    <row r="50" spans="1:49" x14ac:dyDescent="0.55000000000000004">
      <c r="A50" s="5" t="str">
        <f>HYPERLINK("https://www.infodis.net/philips/net/Shipment/Details?InfodisNumber=4492056&amp;DomainCode=DAP", "4492056")</f>
        <v>4492056</v>
      </c>
      <c r="B50" s="5" t="s">
        <v>1270</v>
      </c>
      <c r="C50" s="5" t="s">
        <v>1150</v>
      </c>
      <c r="D50" s="5" t="s">
        <v>1151</v>
      </c>
      <c r="E50" s="5" t="s">
        <v>1150</v>
      </c>
      <c r="F50" s="5" t="s">
        <v>256</v>
      </c>
      <c r="G50" s="5" t="s">
        <v>1152</v>
      </c>
      <c r="H50" s="5" t="s">
        <v>79</v>
      </c>
      <c r="I50" s="5" t="s">
        <v>587</v>
      </c>
      <c r="J50" s="5" t="s">
        <v>759</v>
      </c>
      <c r="K50" s="5" t="s">
        <v>259</v>
      </c>
      <c r="L50" s="5" t="s">
        <v>260</v>
      </c>
      <c r="M50" s="5" t="s">
        <v>261</v>
      </c>
      <c r="N50" s="5"/>
      <c r="O50" s="5"/>
      <c r="P50" s="5" t="s">
        <v>1153</v>
      </c>
      <c r="Q50" s="5" t="s">
        <v>1271</v>
      </c>
      <c r="R50" s="5" t="s">
        <v>262</v>
      </c>
      <c r="S50" s="6">
        <v>44057</v>
      </c>
      <c r="T50" s="6">
        <v>44060</v>
      </c>
      <c r="U50" s="5"/>
      <c r="V50" s="6">
        <v>44065</v>
      </c>
      <c r="W50" s="6">
        <v>44061</v>
      </c>
      <c r="X50" s="5"/>
      <c r="Y50" s="5" t="s">
        <v>66</v>
      </c>
      <c r="Z50" s="5" t="s">
        <v>857</v>
      </c>
      <c r="AA50" s="5" t="s">
        <v>857</v>
      </c>
      <c r="AB50" s="5" t="s">
        <v>68</v>
      </c>
      <c r="AC50" s="5" t="s">
        <v>67</v>
      </c>
      <c r="AD50" s="5" t="s">
        <v>67</v>
      </c>
      <c r="AE50" s="5" t="s">
        <v>162</v>
      </c>
      <c r="AF50" s="5" t="s">
        <v>70</v>
      </c>
      <c r="AG50" s="5" t="s">
        <v>71</v>
      </c>
      <c r="AH50" s="5" t="s">
        <v>72</v>
      </c>
      <c r="AI50" s="5" t="s">
        <v>73</v>
      </c>
      <c r="AJ50" s="5">
        <v>0</v>
      </c>
      <c r="AK50" s="5">
        <v>0</v>
      </c>
      <c r="AL50" s="5">
        <v>0</v>
      </c>
      <c r="AM50" s="5">
        <v>0</v>
      </c>
      <c r="AN50" s="5">
        <v>4</v>
      </c>
      <c r="AO50" s="5">
        <v>526.72</v>
      </c>
      <c r="AP50" s="5">
        <v>7.1</v>
      </c>
      <c r="AQ50" s="5" t="s">
        <v>713</v>
      </c>
      <c r="AR50" s="5" t="s">
        <v>1104</v>
      </c>
      <c r="AS50" s="5"/>
      <c r="AT50" s="5"/>
      <c r="AU50" s="5"/>
      <c r="AV50" s="5">
        <v>-1</v>
      </c>
      <c r="AW50" s="5" t="s">
        <v>2265</v>
      </c>
    </row>
    <row r="51" spans="1:49" x14ac:dyDescent="0.55000000000000004">
      <c r="A51" s="5" t="str">
        <f>HYPERLINK("https://www.infodis.net/philips/net/Shipment/Details?InfodisNumber=4530293&amp;DomainCode=DAP", "4530293")</f>
        <v>4530293</v>
      </c>
      <c r="B51" s="5" t="s">
        <v>2271</v>
      </c>
      <c r="C51" s="5" t="s">
        <v>2207</v>
      </c>
      <c r="D51" s="5" t="s">
        <v>2208</v>
      </c>
      <c r="E51" s="5" t="s">
        <v>2269</v>
      </c>
      <c r="F51" s="5" t="s">
        <v>1949</v>
      </c>
      <c r="G51" s="5" t="s">
        <v>259</v>
      </c>
      <c r="H51" s="5" t="s">
        <v>260</v>
      </c>
      <c r="I51" s="5" t="s">
        <v>759</v>
      </c>
      <c r="J51" s="5" t="s">
        <v>529</v>
      </c>
      <c r="K51" s="5" t="s">
        <v>530</v>
      </c>
      <c r="L51" s="5" t="s">
        <v>73</v>
      </c>
      <c r="M51" s="5" t="s">
        <v>133</v>
      </c>
      <c r="N51" s="5"/>
      <c r="O51" s="5"/>
      <c r="P51" s="5" t="s">
        <v>2211</v>
      </c>
      <c r="Q51" s="5" t="s">
        <v>2272</v>
      </c>
      <c r="R51" s="5" t="s">
        <v>531</v>
      </c>
      <c r="S51" s="6">
        <v>44112</v>
      </c>
      <c r="T51" s="6">
        <v>44113</v>
      </c>
      <c r="U51" s="6">
        <v>44113</v>
      </c>
      <c r="V51" s="6">
        <v>44123</v>
      </c>
      <c r="W51" s="6">
        <v>44119</v>
      </c>
      <c r="X51" s="5"/>
      <c r="Y51" s="5" t="s">
        <v>857</v>
      </c>
      <c r="Z51" s="5" t="s">
        <v>857</v>
      </c>
      <c r="AA51" s="5" t="s">
        <v>66</v>
      </c>
      <c r="AB51" s="5" t="s">
        <v>67</v>
      </c>
      <c r="AC51" s="5" t="s">
        <v>67</v>
      </c>
      <c r="AD51" s="5" t="s">
        <v>68</v>
      </c>
      <c r="AE51" s="5"/>
      <c r="AF51" s="5" t="s">
        <v>70</v>
      </c>
      <c r="AG51" s="5" t="s">
        <v>2052</v>
      </c>
      <c r="AH51" s="5" t="s">
        <v>72</v>
      </c>
      <c r="AI51" s="5" t="s">
        <v>73</v>
      </c>
      <c r="AJ51" s="5">
        <v>0</v>
      </c>
      <c r="AK51" s="5">
        <v>0</v>
      </c>
      <c r="AL51" s="5">
        <v>0</v>
      </c>
      <c r="AM51" s="5">
        <v>0</v>
      </c>
      <c r="AN51" s="5">
        <v>1</v>
      </c>
      <c r="AO51" s="5">
        <v>15</v>
      </c>
      <c r="AP51" s="5">
        <v>0.28999999999999998</v>
      </c>
      <c r="AQ51" s="5" t="s">
        <v>713</v>
      </c>
      <c r="AR51" s="5" t="s">
        <v>1104</v>
      </c>
      <c r="AS51" s="5" t="s">
        <v>713</v>
      </c>
      <c r="AT51" s="6">
        <v>44118</v>
      </c>
      <c r="AU51" s="5">
        <v>2540845</v>
      </c>
      <c r="AV51" s="5">
        <v>44</v>
      </c>
      <c r="AW51" s="5" t="s">
        <v>1368</v>
      </c>
    </row>
    <row r="52" spans="1:49" x14ac:dyDescent="0.55000000000000004">
      <c r="A52" s="5" t="str">
        <f>HYPERLINK("https://www.infodis.net/philips/net/Shipment/Details?InfodisNumber=4458503&amp;DomainCode=DAP", "4458503")</f>
        <v>4458503</v>
      </c>
      <c r="B52" s="5" t="s">
        <v>1707</v>
      </c>
      <c r="C52" s="5" t="s">
        <v>1150</v>
      </c>
      <c r="D52" s="5" t="s">
        <v>1151</v>
      </c>
      <c r="E52" s="5" t="s">
        <v>1150</v>
      </c>
      <c r="F52" s="5" t="s">
        <v>256</v>
      </c>
      <c r="G52" s="5" t="s">
        <v>1152</v>
      </c>
      <c r="H52" s="5" t="s">
        <v>79</v>
      </c>
      <c r="I52" s="5" t="s">
        <v>587</v>
      </c>
      <c r="J52" s="5" t="s">
        <v>759</v>
      </c>
      <c r="K52" s="5" t="s">
        <v>259</v>
      </c>
      <c r="L52" s="5" t="s">
        <v>260</v>
      </c>
      <c r="M52" s="5" t="s">
        <v>261</v>
      </c>
      <c r="N52" s="5"/>
      <c r="O52" s="5"/>
      <c r="P52" s="5" t="s">
        <v>1153</v>
      </c>
      <c r="Q52" s="5" t="s">
        <v>1708</v>
      </c>
      <c r="R52" s="5" t="s">
        <v>262</v>
      </c>
      <c r="S52" s="6">
        <v>44001</v>
      </c>
      <c r="T52" s="6">
        <v>44006</v>
      </c>
      <c r="U52" s="5"/>
      <c r="V52" s="6">
        <v>44011</v>
      </c>
      <c r="W52" s="6">
        <v>44012</v>
      </c>
      <c r="X52" s="5"/>
      <c r="Y52" s="5" t="s">
        <v>66</v>
      </c>
      <c r="Z52" s="5" t="s">
        <v>857</v>
      </c>
      <c r="AA52" s="5" t="s">
        <v>857</v>
      </c>
      <c r="AB52" s="5" t="s">
        <v>67</v>
      </c>
      <c r="AC52" s="5" t="s">
        <v>67</v>
      </c>
      <c r="AD52" s="5" t="s">
        <v>67</v>
      </c>
      <c r="AE52" s="5" t="s">
        <v>162</v>
      </c>
      <c r="AF52" s="5" t="s">
        <v>70</v>
      </c>
      <c r="AG52" s="5" t="s">
        <v>71</v>
      </c>
      <c r="AH52" s="5" t="s">
        <v>72</v>
      </c>
      <c r="AI52" s="5" t="s">
        <v>73</v>
      </c>
      <c r="AJ52" s="5">
        <v>0</v>
      </c>
      <c r="AK52" s="5">
        <v>0</v>
      </c>
      <c r="AL52" s="5">
        <v>0</v>
      </c>
      <c r="AM52" s="5">
        <v>0</v>
      </c>
      <c r="AN52" s="5">
        <v>5</v>
      </c>
      <c r="AO52" s="5">
        <v>658.4</v>
      </c>
      <c r="AP52" s="5">
        <v>8.8800000000000008</v>
      </c>
      <c r="AQ52" s="5" t="s">
        <v>713</v>
      </c>
      <c r="AR52" s="5" t="s">
        <v>1104</v>
      </c>
      <c r="AS52" s="5"/>
      <c r="AT52" s="5"/>
      <c r="AU52" s="5"/>
      <c r="AV52" s="5">
        <v>-1</v>
      </c>
      <c r="AW52" s="5" t="s">
        <v>2265</v>
      </c>
    </row>
    <row r="53" spans="1:49" x14ac:dyDescent="0.55000000000000004">
      <c r="A53" s="5" t="str">
        <f>HYPERLINK("https://www.infodis.net/philips/net/Shipment/Details?InfodisNumber=4477253&amp;DomainCode=DAP", "4477253")</f>
        <v>4477253</v>
      </c>
      <c r="B53" s="5" t="s">
        <v>2273</v>
      </c>
      <c r="C53" s="5" t="s">
        <v>2067</v>
      </c>
      <c r="D53" s="5" t="s">
        <v>2068</v>
      </c>
      <c r="E53" s="5" t="s">
        <v>2069</v>
      </c>
      <c r="F53" s="5" t="s">
        <v>2069</v>
      </c>
      <c r="G53" s="5" t="s">
        <v>82</v>
      </c>
      <c r="H53" s="5" t="s">
        <v>83</v>
      </c>
      <c r="I53" s="5" t="s">
        <v>293</v>
      </c>
      <c r="J53" s="5" t="s">
        <v>1379</v>
      </c>
      <c r="K53" s="5" t="s">
        <v>2072</v>
      </c>
      <c r="L53" s="5" t="s">
        <v>132</v>
      </c>
      <c r="M53" s="5" t="s">
        <v>84</v>
      </c>
      <c r="N53" s="5"/>
      <c r="O53" s="5"/>
      <c r="P53" s="5" t="s">
        <v>87</v>
      </c>
      <c r="Q53" s="5" t="s">
        <v>2274</v>
      </c>
      <c r="R53" s="5" t="s">
        <v>2073</v>
      </c>
      <c r="S53" s="6">
        <v>44033</v>
      </c>
      <c r="T53" s="6">
        <v>44037</v>
      </c>
      <c r="U53" s="6">
        <v>44046</v>
      </c>
      <c r="V53" s="6">
        <v>44043</v>
      </c>
      <c r="W53" s="6">
        <v>44046</v>
      </c>
      <c r="X53" s="6">
        <v>44082</v>
      </c>
      <c r="Y53" s="5" t="s">
        <v>857</v>
      </c>
      <c r="Z53" s="5" t="s">
        <v>857</v>
      </c>
      <c r="AA53" s="5" t="s">
        <v>66</v>
      </c>
      <c r="AB53" s="5" t="s">
        <v>67</v>
      </c>
      <c r="AC53" s="5" t="s">
        <v>67</v>
      </c>
      <c r="AD53" s="5" t="s">
        <v>67</v>
      </c>
      <c r="AE53" s="5"/>
      <c r="AF53" s="5" t="s">
        <v>70</v>
      </c>
      <c r="AG53" s="5" t="s">
        <v>2052</v>
      </c>
      <c r="AH53" s="5" t="s">
        <v>72</v>
      </c>
      <c r="AI53" s="5" t="s">
        <v>73</v>
      </c>
      <c r="AJ53" s="5">
        <v>0</v>
      </c>
      <c r="AK53" s="5">
        <v>0</v>
      </c>
      <c r="AL53" s="5">
        <v>0</v>
      </c>
      <c r="AM53" s="5">
        <v>0</v>
      </c>
      <c r="AN53" s="5">
        <v>1</v>
      </c>
      <c r="AO53" s="5">
        <v>166.5</v>
      </c>
      <c r="AP53" s="5">
        <v>1.26</v>
      </c>
      <c r="AQ53" s="5" t="s">
        <v>713</v>
      </c>
      <c r="AR53" s="5" t="s">
        <v>1104</v>
      </c>
      <c r="AS53" s="5"/>
      <c r="AT53" s="5"/>
      <c r="AU53" s="5"/>
      <c r="AV53" s="5">
        <v>-1</v>
      </c>
      <c r="AW53" s="5" t="s">
        <v>2265</v>
      </c>
    </row>
    <row r="54" spans="1:49" x14ac:dyDescent="0.55000000000000004">
      <c r="A54" s="5" t="str">
        <f>HYPERLINK("https://www.infodis.net/philips/net/Shipment/Details?InfodisNumber=4414283&amp;DomainCode=DAP", "4414283")</f>
        <v>4414283</v>
      </c>
      <c r="B54" s="5" t="s">
        <v>2275</v>
      </c>
      <c r="C54" s="5" t="s">
        <v>2276</v>
      </c>
      <c r="D54" s="5" t="s">
        <v>2277</v>
      </c>
      <c r="E54" s="5" t="s">
        <v>2276</v>
      </c>
      <c r="F54" s="5" t="s">
        <v>393</v>
      </c>
      <c r="G54" s="5" t="s">
        <v>2278</v>
      </c>
      <c r="H54" s="5" t="s">
        <v>2204</v>
      </c>
      <c r="I54" s="5" t="s">
        <v>2279</v>
      </c>
      <c r="J54" s="5" t="s">
        <v>268</v>
      </c>
      <c r="K54" s="5" t="s">
        <v>855</v>
      </c>
      <c r="L54" s="5" t="s">
        <v>267</v>
      </c>
      <c r="M54" s="5" t="s">
        <v>84</v>
      </c>
      <c r="N54" s="5"/>
      <c r="O54" s="5"/>
      <c r="P54" s="5" t="s">
        <v>2280</v>
      </c>
      <c r="Q54" s="5" t="s">
        <v>2281</v>
      </c>
      <c r="R54" s="5" t="s">
        <v>268</v>
      </c>
      <c r="S54" s="6">
        <v>43908</v>
      </c>
      <c r="T54" s="6">
        <v>43913</v>
      </c>
      <c r="U54" s="6">
        <v>43964</v>
      </c>
      <c r="V54" s="6">
        <v>43920</v>
      </c>
      <c r="W54" s="6">
        <v>43980</v>
      </c>
      <c r="X54" s="6">
        <v>44016</v>
      </c>
      <c r="Y54" s="5" t="s">
        <v>857</v>
      </c>
      <c r="Z54" s="5" t="s">
        <v>857</v>
      </c>
      <c r="AA54" s="5" t="s">
        <v>857</v>
      </c>
      <c r="AB54" s="5" t="s">
        <v>67</v>
      </c>
      <c r="AC54" s="5" t="s">
        <v>67</v>
      </c>
      <c r="AD54" s="5" t="s">
        <v>67</v>
      </c>
      <c r="AE54" s="5"/>
      <c r="AF54" s="5" t="s">
        <v>70</v>
      </c>
      <c r="AG54" s="5" t="s">
        <v>2282</v>
      </c>
      <c r="AH54" s="5" t="s">
        <v>72</v>
      </c>
      <c r="AI54" s="5" t="s">
        <v>73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1025</v>
      </c>
      <c r="AP54" s="5">
        <v>2</v>
      </c>
      <c r="AQ54" s="5" t="s">
        <v>713</v>
      </c>
      <c r="AR54" s="5" t="s">
        <v>1104</v>
      </c>
      <c r="AS54" s="5" t="s">
        <v>713</v>
      </c>
      <c r="AT54" s="6">
        <v>43910</v>
      </c>
      <c r="AU54" s="5" t="s">
        <v>2283</v>
      </c>
      <c r="AV54" s="5">
        <v>252</v>
      </c>
      <c r="AW54" s="5" t="s">
        <v>2284</v>
      </c>
    </row>
    <row r="55" spans="1:49" x14ac:dyDescent="0.55000000000000004">
      <c r="A55" s="5" t="str">
        <f>HYPERLINK("https://www.infodis.net/philips/net/Shipment/Details?InfodisNumber=4117362&amp;DomainCode=DAP", "4117362")</f>
        <v>4117362</v>
      </c>
      <c r="B55" s="5" t="s">
        <v>2285</v>
      </c>
      <c r="C55" s="5" t="s">
        <v>2286</v>
      </c>
      <c r="D55" s="5" t="s">
        <v>2287</v>
      </c>
      <c r="E55" s="5" t="s">
        <v>94</v>
      </c>
      <c r="F55" s="5" t="s">
        <v>2288</v>
      </c>
      <c r="G55" s="5" t="s">
        <v>2289</v>
      </c>
      <c r="H55" s="5" t="s">
        <v>79</v>
      </c>
      <c r="I55" s="5" t="s">
        <v>1813</v>
      </c>
      <c r="J55" s="5" t="s">
        <v>231</v>
      </c>
      <c r="K55" s="5" t="s">
        <v>2290</v>
      </c>
      <c r="L55" s="5" t="s">
        <v>230</v>
      </c>
      <c r="M55" s="5" t="s">
        <v>385</v>
      </c>
      <c r="N55" s="5"/>
      <c r="O55" s="5"/>
      <c r="P55" s="5" t="s">
        <v>2291</v>
      </c>
      <c r="Q55" s="5" t="s">
        <v>2292</v>
      </c>
      <c r="R55" s="5" t="s">
        <v>2293</v>
      </c>
      <c r="S55" s="6">
        <v>43566</v>
      </c>
      <c r="T55" s="6">
        <v>43578</v>
      </c>
      <c r="U55" s="6">
        <v>43578</v>
      </c>
      <c r="V55" s="6">
        <v>43587</v>
      </c>
      <c r="W55" s="6">
        <v>43580</v>
      </c>
      <c r="X55" s="6">
        <v>43616</v>
      </c>
      <c r="Y55" s="5" t="s">
        <v>857</v>
      </c>
      <c r="Z55" s="5" t="s">
        <v>857</v>
      </c>
      <c r="AA55" s="5" t="s">
        <v>66</v>
      </c>
      <c r="AB55" s="5" t="s">
        <v>67</v>
      </c>
      <c r="AC55" s="5" t="s">
        <v>67</v>
      </c>
      <c r="AD55" s="5" t="s">
        <v>68</v>
      </c>
      <c r="AE55" s="5"/>
      <c r="AF55" s="5" t="s">
        <v>70</v>
      </c>
      <c r="AG55" s="5" t="s">
        <v>2052</v>
      </c>
      <c r="AH55" s="5" t="s">
        <v>72</v>
      </c>
      <c r="AI55" s="5" t="s">
        <v>73</v>
      </c>
      <c r="AJ55" s="5">
        <v>0</v>
      </c>
      <c r="AK55" s="5">
        <v>0</v>
      </c>
      <c r="AL55" s="5">
        <v>0</v>
      </c>
      <c r="AM55" s="5">
        <v>0</v>
      </c>
      <c r="AN55" s="5">
        <v>1</v>
      </c>
      <c r="AO55" s="5">
        <v>496</v>
      </c>
      <c r="AP55" s="5">
        <v>4.4000000000000004</v>
      </c>
      <c r="AQ55" s="5" t="s">
        <v>713</v>
      </c>
      <c r="AR55" s="5" t="s">
        <v>1104</v>
      </c>
      <c r="AS55" s="5"/>
      <c r="AT55" s="5"/>
      <c r="AU55" s="5"/>
      <c r="AV55" s="5">
        <v>-1</v>
      </c>
      <c r="AW55" s="5" t="s">
        <v>2294</v>
      </c>
    </row>
    <row r="56" spans="1:49" x14ac:dyDescent="0.55000000000000004">
      <c r="A56" s="5" t="str">
        <f>HYPERLINK("https://www.infodis.net/philips/net/Shipment/Details?InfodisNumber=3987878&amp;DomainCode=DAP", "3987878")</f>
        <v>3987878</v>
      </c>
      <c r="B56" s="5" t="s">
        <v>2295</v>
      </c>
      <c r="C56" s="5" t="s">
        <v>2296</v>
      </c>
      <c r="D56" s="5" t="s">
        <v>2297</v>
      </c>
      <c r="E56" s="5" t="s">
        <v>2298</v>
      </c>
      <c r="F56" s="5" t="s">
        <v>944</v>
      </c>
      <c r="G56" s="5" t="s">
        <v>2299</v>
      </c>
      <c r="H56" s="5" t="s">
        <v>55</v>
      </c>
      <c r="I56" s="5"/>
      <c r="J56" s="5"/>
      <c r="K56" s="5" t="s">
        <v>945</v>
      </c>
      <c r="L56" s="5" t="s">
        <v>938</v>
      </c>
      <c r="M56" s="5" t="s">
        <v>133</v>
      </c>
      <c r="N56" s="5"/>
      <c r="O56" s="5"/>
      <c r="P56" s="5" t="s">
        <v>2300</v>
      </c>
      <c r="Q56" s="5"/>
      <c r="R56" s="5" t="s">
        <v>946</v>
      </c>
      <c r="S56" s="6">
        <v>43482</v>
      </c>
      <c r="T56" s="5"/>
      <c r="U56" s="5"/>
      <c r="V56" s="5"/>
      <c r="W56" s="5"/>
      <c r="X56" s="5"/>
      <c r="Y56" s="5" t="s">
        <v>857</v>
      </c>
      <c r="Z56" s="5" t="s">
        <v>857</v>
      </c>
      <c r="AA56" s="5" t="s">
        <v>857</v>
      </c>
      <c r="AB56" s="5" t="s">
        <v>67</v>
      </c>
      <c r="AC56" s="5" t="s">
        <v>67</v>
      </c>
      <c r="AD56" s="5" t="s">
        <v>67</v>
      </c>
      <c r="AE56" s="5"/>
      <c r="AF56" s="5" t="s">
        <v>70</v>
      </c>
      <c r="AG56" s="5" t="s">
        <v>2052</v>
      </c>
      <c r="AH56" s="5" t="s">
        <v>72</v>
      </c>
      <c r="AI56" s="5" t="s">
        <v>73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622</v>
      </c>
      <c r="AP56" s="5">
        <v>4.3220000000000001</v>
      </c>
      <c r="AQ56" s="5" t="s">
        <v>713</v>
      </c>
      <c r="AR56" s="5" t="s">
        <v>1104</v>
      </c>
      <c r="AS56" s="5"/>
      <c r="AT56" s="5"/>
      <c r="AU56" s="5"/>
      <c r="AV56" s="5">
        <v>-1</v>
      </c>
      <c r="AW56" s="5" t="s">
        <v>2301</v>
      </c>
    </row>
    <row r="57" spans="1:49" x14ac:dyDescent="0.55000000000000004">
      <c r="A57" s="5" t="str">
        <f>HYPERLINK("https://www.infodis.net/philips/net/Shipment/Details?InfodisNumber=3970978&amp;DomainCode=DAP", "3970978")</f>
        <v>3970978</v>
      </c>
      <c r="B57" s="5" t="s">
        <v>2302</v>
      </c>
      <c r="C57" s="5" t="s">
        <v>2296</v>
      </c>
      <c r="D57" s="5" t="s">
        <v>2297</v>
      </c>
      <c r="E57" s="5" t="s">
        <v>2298</v>
      </c>
      <c r="F57" s="5" t="s">
        <v>2303</v>
      </c>
      <c r="G57" s="5" t="s">
        <v>2299</v>
      </c>
      <c r="H57" s="5" t="s">
        <v>55</v>
      </c>
      <c r="I57" s="5"/>
      <c r="J57" s="5"/>
      <c r="K57" s="5" t="s">
        <v>206</v>
      </c>
      <c r="L57" s="5" t="s">
        <v>207</v>
      </c>
      <c r="M57" s="5" t="s">
        <v>133</v>
      </c>
      <c r="N57" s="5"/>
      <c r="O57" s="5"/>
      <c r="P57" s="5" t="s">
        <v>2300</v>
      </c>
      <c r="Q57" s="5"/>
      <c r="R57" s="5" t="s">
        <v>209</v>
      </c>
      <c r="S57" s="6">
        <v>43472</v>
      </c>
      <c r="T57" s="5"/>
      <c r="U57" s="5"/>
      <c r="V57" s="5"/>
      <c r="W57" s="5"/>
      <c r="X57" s="5"/>
      <c r="Y57" s="5" t="s">
        <v>857</v>
      </c>
      <c r="Z57" s="5" t="s">
        <v>857</v>
      </c>
      <c r="AA57" s="5" t="s">
        <v>857</v>
      </c>
      <c r="AB57" s="5" t="s">
        <v>67</v>
      </c>
      <c r="AC57" s="5" t="s">
        <v>67</v>
      </c>
      <c r="AD57" s="5" t="s">
        <v>67</v>
      </c>
      <c r="AE57" s="5"/>
      <c r="AF57" s="5" t="s">
        <v>70</v>
      </c>
      <c r="AG57" s="5" t="s">
        <v>2052</v>
      </c>
      <c r="AH57" s="5" t="s">
        <v>72</v>
      </c>
      <c r="AI57" s="5" t="s">
        <v>73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392.76</v>
      </c>
      <c r="AP57" s="5">
        <v>1.4610000000000001</v>
      </c>
      <c r="AQ57" s="5" t="s">
        <v>713</v>
      </c>
      <c r="AR57" s="5" t="s">
        <v>1104</v>
      </c>
      <c r="AS57" s="5"/>
      <c r="AT57" s="5"/>
      <c r="AU57" s="5"/>
      <c r="AV57" s="5">
        <v>-1</v>
      </c>
      <c r="AW57" s="5" t="s">
        <v>2301</v>
      </c>
    </row>
    <row r="58" spans="1:49" x14ac:dyDescent="0.55000000000000004">
      <c r="A58" s="5" t="str">
        <f>HYPERLINK("https://www.infodis.net/philips/net/Shipment/Details?InfodisNumber=4412460&amp;DomainCode=DAP", "4412460")</f>
        <v>4412460</v>
      </c>
      <c r="B58" s="5" t="s">
        <v>2304</v>
      </c>
      <c r="C58" s="5" t="s">
        <v>2305</v>
      </c>
      <c r="D58" s="5" t="s">
        <v>2306</v>
      </c>
      <c r="E58" s="5" t="s">
        <v>304</v>
      </c>
      <c r="F58" s="5" t="s">
        <v>2307</v>
      </c>
      <c r="G58" s="5" t="s">
        <v>379</v>
      </c>
      <c r="H58" s="5" t="s">
        <v>380</v>
      </c>
      <c r="I58" s="5" t="s">
        <v>681</v>
      </c>
      <c r="J58" s="5" t="s">
        <v>2308</v>
      </c>
      <c r="K58" s="5" t="s">
        <v>2309</v>
      </c>
      <c r="L58" s="5" t="s">
        <v>2310</v>
      </c>
      <c r="M58" s="5" t="s">
        <v>133</v>
      </c>
      <c r="N58" s="5"/>
      <c r="O58" s="5"/>
      <c r="P58" s="5" t="s">
        <v>388</v>
      </c>
      <c r="Q58" s="5" t="s">
        <v>2311</v>
      </c>
      <c r="R58" s="5" t="s">
        <v>2312</v>
      </c>
      <c r="S58" s="6">
        <v>43906</v>
      </c>
      <c r="T58" s="6">
        <v>43908</v>
      </c>
      <c r="U58" s="6">
        <v>43910</v>
      </c>
      <c r="V58" s="6">
        <v>43912</v>
      </c>
      <c r="W58" s="6">
        <v>43924</v>
      </c>
      <c r="X58" s="6">
        <v>43971</v>
      </c>
      <c r="Y58" s="5" t="s">
        <v>857</v>
      </c>
      <c r="Z58" s="5" t="s">
        <v>857</v>
      </c>
      <c r="AA58" s="5" t="s">
        <v>66</v>
      </c>
      <c r="AB58" s="5" t="s">
        <v>67</v>
      </c>
      <c r="AC58" s="5" t="s">
        <v>67</v>
      </c>
      <c r="AD58" s="5" t="s">
        <v>67</v>
      </c>
      <c r="AE58" s="5"/>
      <c r="AF58" s="5" t="s">
        <v>70</v>
      </c>
      <c r="AG58" s="5" t="s">
        <v>2052</v>
      </c>
      <c r="AH58" s="5" t="s">
        <v>72</v>
      </c>
      <c r="AI58" s="5" t="s">
        <v>73</v>
      </c>
      <c r="AJ58" s="5">
        <v>0</v>
      </c>
      <c r="AK58" s="5">
        <v>0</v>
      </c>
      <c r="AL58" s="5">
        <v>0</v>
      </c>
      <c r="AM58" s="5">
        <v>0</v>
      </c>
      <c r="AN58" s="5">
        <v>4</v>
      </c>
      <c r="AO58" s="5">
        <v>540</v>
      </c>
      <c r="AP58" s="5">
        <v>9.5399999999999991</v>
      </c>
      <c r="AQ58" s="5" t="s">
        <v>713</v>
      </c>
      <c r="AR58" s="5" t="s">
        <v>1104</v>
      </c>
      <c r="AS58" s="5"/>
      <c r="AT58" s="5"/>
      <c r="AU58" s="5"/>
      <c r="AV58" s="5">
        <v>-1</v>
      </c>
      <c r="AW58" s="5" t="s">
        <v>1368</v>
      </c>
    </row>
    <row r="59" spans="1:49" x14ac:dyDescent="0.55000000000000004">
      <c r="A59" s="5" t="str">
        <f>HYPERLINK("https://www.infodis.net/philips/net/Shipment/Details?InfodisNumber=4438094&amp;DomainCode=DAP", "4438094")</f>
        <v>4438094</v>
      </c>
      <c r="B59" s="5" t="s">
        <v>2018</v>
      </c>
      <c r="C59" s="5" t="s">
        <v>1150</v>
      </c>
      <c r="D59" s="5" t="s">
        <v>1151</v>
      </c>
      <c r="E59" s="5" t="s">
        <v>1150</v>
      </c>
      <c r="F59" s="5" t="s">
        <v>256</v>
      </c>
      <c r="G59" s="5" t="s">
        <v>1152</v>
      </c>
      <c r="H59" s="5" t="s">
        <v>79</v>
      </c>
      <c r="I59" s="5" t="s">
        <v>587</v>
      </c>
      <c r="J59" s="5" t="s">
        <v>258</v>
      </c>
      <c r="K59" s="5" t="s">
        <v>259</v>
      </c>
      <c r="L59" s="5" t="s">
        <v>260</v>
      </c>
      <c r="M59" s="5" t="s">
        <v>261</v>
      </c>
      <c r="N59" s="5"/>
      <c r="O59" s="5"/>
      <c r="P59" s="5" t="s">
        <v>1153</v>
      </c>
      <c r="Q59" s="5" t="s">
        <v>2019</v>
      </c>
      <c r="R59" s="5" t="s">
        <v>262</v>
      </c>
      <c r="S59" s="6">
        <v>43962</v>
      </c>
      <c r="T59" s="6">
        <v>43949</v>
      </c>
      <c r="U59" s="5"/>
      <c r="V59" s="6">
        <v>43954</v>
      </c>
      <c r="W59" s="6">
        <v>43949</v>
      </c>
      <c r="X59" s="6">
        <v>44005</v>
      </c>
      <c r="Y59" s="5" t="s">
        <v>857</v>
      </c>
      <c r="Z59" s="5" t="s">
        <v>857</v>
      </c>
      <c r="AA59" s="5" t="s">
        <v>857</v>
      </c>
      <c r="AB59" s="5" t="s">
        <v>67</v>
      </c>
      <c r="AC59" s="5" t="s">
        <v>67</v>
      </c>
      <c r="AD59" s="5" t="s">
        <v>67</v>
      </c>
      <c r="AE59" s="5" t="s">
        <v>2020</v>
      </c>
      <c r="AF59" s="5" t="s">
        <v>70</v>
      </c>
      <c r="AG59" s="5" t="s">
        <v>71</v>
      </c>
      <c r="AH59" s="5" t="s">
        <v>72</v>
      </c>
      <c r="AI59" s="5" t="s">
        <v>73</v>
      </c>
      <c r="AJ59" s="5">
        <v>0</v>
      </c>
      <c r="AK59" s="5">
        <v>0</v>
      </c>
      <c r="AL59" s="5">
        <v>0</v>
      </c>
      <c r="AM59" s="5">
        <v>0</v>
      </c>
      <c r="AN59" s="5">
        <v>2</v>
      </c>
      <c r="AO59" s="5">
        <v>308.99</v>
      </c>
      <c r="AP59" s="5">
        <v>3.55</v>
      </c>
      <c r="AQ59" s="5" t="s">
        <v>713</v>
      </c>
      <c r="AR59" s="5" t="s">
        <v>1104</v>
      </c>
      <c r="AS59" s="5"/>
      <c r="AT59" s="5"/>
      <c r="AU59" s="5"/>
      <c r="AV59" s="5">
        <v>-1</v>
      </c>
      <c r="AW59" s="5" t="s">
        <v>2313</v>
      </c>
    </row>
    <row r="60" spans="1:49" x14ac:dyDescent="0.55000000000000004">
      <c r="A60" s="5" t="str">
        <f>HYPERLINK("https://www.infodis.net/philips/net/Shipment/Details?InfodisNumber=5836633&amp;DomainCode=PHILIPSR1", "5836633")</f>
        <v>5836633</v>
      </c>
      <c r="B60" s="5" t="s">
        <v>2314</v>
      </c>
      <c r="C60" s="5" t="s">
        <v>2315</v>
      </c>
      <c r="D60" s="5" t="s">
        <v>2316</v>
      </c>
      <c r="E60" s="5" t="s">
        <v>2315</v>
      </c>
      <c r="F60" s="5" t="s">
        <v>1554</v>
      </c>
      <c r="G60" s="5" t="s">
        <v>619</v>
      </c>
      <c r="H60" s="5" t="s">
        <v>79</v>
      </c>
      <c r="I60" s="5" t="s">
        <v>268</v>
      </c>
      <c r="J60" s="5" t="s">
        <v>844</v>
      </c>
      <c r="K60" s="5" t="s">
        <v>1555</v>
      </c>
      <c r="L60" s="5" t="s">
        <v>846</v>
      </c>
      <c r="M60" s="5" t="s">
        <v>261</v>
      </c>
      <c r="N60" s="5"/>
      <c r="O60" s="5"/>
      <c r="P60" s="5" t="s">
        <v>623</v>
      </c>
      <c r="Q60" s="5" t="s">
        <v>2317</v>
      </c>
      <c r="R60" s="5" t="s">
        <v>1557</v>
      </c>
      <c r="S60" s="6">
        <v>43736</v>
      </c>
      <c r="T60" s="6">
        <v>43736</v>
      </c>
      <c r="U60" s="6">
        <v>43738</v>
      </c>
      <c r="V60" s="6">
        <v>43748</v>
      </c>
      <c r="W60" s="6">
        <v>43748</v>
      </c>
      <c r="X60" s="6">
        <v>43770</v>
      </c>
      <c r="Y60" s="5" t="s">
        <v>66</v>
      </c>
      <c r="Z60" s="5" t="s">
        <v>857</v>
      </c>
      <c r="AA60" s="5" t="s">
        <v>1735</v>
      </c>
      <c r="AB60" s="5" t="s">
        <v>68</v>
      </c>
      <c r="AC60" s="5" t="s">
        <v>67</v>
      </c>
      <c r="AD60" s="5" t="s">
        <v>67</v>
      </c>
      <c r="AE60" s="5"/>
      <c r="AF60" s="5" t="s">
        <v>70</v>
      </c>
      <c r="AG60" s="5" t="s">
        <v>2052</v>
      </c>
      <c r="AH60" s="5" t="s">
        <v>2179</v>
      </c>
      <c r="AI60" s="5" t="s">
        <v>252</v>
      </c>
      <c r="AJ60" s="5">
        <v>0</v>
      </c>
      <c r="AK60" s="5">
        <v>0</v>
      </c>
      <c r="AL60" s="5">
        <v>0</v>
      </c>
      <c r="AM60" s="5">
        <v>0</v>
      </c>
      <c r="AN60" s="5">
        <v>3</v>
      </c>
      <c r="AO60" s="5">
        <v>362</v>
      </c>
      <c r="AP60" s="5">
        <v>3.38</v>
      </c>
      <c r="AQ60" s="5" t="s">
        <v>713</v>
      </c>
      <c r="AR60" s="5" t="s">
        <v>1104</v>
      </c>
      <c r="AS60" s="5"/>
      <c r="AT60" s="5"/>
      <c r="AU60" s="5"/>
      <c r="AV60" s="5">
        <v>-1</v>
      </c>
      <c r="AW60" s="5" t="s">
        <v>2318</v>
      </c>
    </row>
    <row r="61" spans="1:49" x14ac:dyDescent="0.55000000000000004">
      <c r="A61" s="5" t="str">
        <f>HYPERLINK("https://www.infodis.net/philips/net/Shipment/Details?InfodisNumber=4266418&amp;DomainCode=DAP", "4266418")</f>
        <v>4266418</v>
      </c>
      <c r="B61" s="5" t="s">
        <v>1932</v>
      </c>
      <c r="C61" s="5" t="s">
        <v>302</v>
      </c>
      <c r="D61" s="5" t="s">
        <v>303</v>
      </c>
      <c r="E61" s="5" t="s">
        <v>304</v>
      </c>
      <c r="F61" s="5" t="s">
        <v>1933</v>
      </c>
      <c r="G61" s="5" t="s">
        <v>306</v>
      </c>
      <c r="H61" s="5" t="s">
        <v>307</v>
      </c>
      <c r="I61" s="5" t="s">
        <v>283</v>
      </c>
      <c r="J61" s="5" t="s">
        <v>80</v>
      </c>
      <c r="K61" s="5" t="s">
        <v>546</v>
      </c>
      <c r="L61" s="5" t="s">
        <v>79</v>
      </c>
      <c r="M61" s="5" t="s">
        <v>133</v>
      </c>
      <c r="N61" s="5"/>
      <c r="O61" s="5"/>
      <c r="P61" s="5" t="s">
        <v>312</v>
      </c>
      <c r="Q61" s="5"/>
      <c r="R61" s="5" t="s">
        <v>1934</v>
      </c>
      <c r="S61" s="6">
        <v>43691</v>
      </c>
      <c r="T61" s="6">
        <v>43697</v>
      </c>
      <c r="U61" s="5"/>
      <c r="V61" s="6">
        <v>43702</v>
      </c>
      <c r="W61" s="6">
        <v>43701</v>
      </c>
      <c r="X61" s="5"/>
      <c r="Y61" s="5" t="s">
        <v>857</v>
      </c>
      <c r="Z61" s="5" t="s">
        <v>857</v>
      </c>
      <c r="AA61" s="5" t="s">
        <v>66</v>
      </c>
      <c r="AB61" s="5" t="s">
        <v>67</v>
      </c>
      <c r="AC61" s="5" t="s">
        <v>67</v>
      </c>
      <c r="AD61" s="5" t="s">
        <v>68</v>
      </c>
      <c r="AE61" s="5" t="s">
        <v>162</v>
      </c>
      <c r="AF61" s="5" t="s">
        <v>70</v>
      </c>
      <c r="AG61" s="5" t="s">
        <v>71</v>
      </c>
      <c r="AH61" s="5" t="s">
        <v>72</v>
      </c>
      <c r="AI61" s="5" t="s">
        <v>73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565</v>
      </c>
      <c r="AP61" s="5">
        <v>3.0819999999999999</v>
      </c>
      <c r="AQ61" s="5" t="s">
        <v>713</v>
      </c>
      <c r="AR61" s="5" t="s">
        <v>1104</v>
      </c>
      <c r="AS61" s="5" t="s">
        <v>713</v>
      </c>
      <c r="AT61" s="6">
        <v>43696</v>
      </c>
      <c r="AU61" s="5" t="s">
        <v>2319</v>
      </c>
      <c r="AV61" s="5">
        <v>466</v>
      </c>
      <c r="AW61" s="5" t="s">
        <v>2320</v>
      </c>
    </row>
    <row r="62" spans="1:49" x14ac:dyDescent="0.55000000000000004">
      <c r="A62" s="5" t="str">
        <f>HYPERLINK("https://www.infodis.net/philips/net/Shipment/Details?InfodisNumber=4367336&amp;DomainCode=DAP", "4367336")</f>
        <v>4367336</v>
      </c>
      <c r="B62" s="5" t="s">
        <v>2321</v>
      </c>
      <c r="C62" s="5" t="s">
        <v>2296</v>
      </c>
      <c r="D62" s="5" t="s">
        <v>2297</v>
      </c>
      <c r="E62" s="5" t="s">
        <v>2298</v>
      </c>
      <c r="F62" s="5" t="s">
        <v>2322</v>
      </c>
      <c r="G62" s="5" t="s">
        <v>2299</v>
      </c>
      <c r="H62" s="5" t="s">
        <v>55</v>
      </c>
      <c r="I62" s="5"/>
      <c r="J62" s="5"/>
      <c r="K62" s="5" t="s">
        <v>158</v>
      </c>
      <c r="L62" s="5" t="s">
        <v>159</v>
      </c>
      <c r="M62" s="5" t="s">
        <v>385</v>
      </c>
      <c r="N62" s="5"/>
      <c r="O62" s="5"/>
      <c r="P62" s="5" t="s">
        <v>2300</v>
      </c>
      <c r="Q62" s="5"/>
      <c r="R62" s="5" t="s">
        <v>161</v>
      </c>
      <c r="S62" s="6">
        <v>43826</v>
      </c>
      <c r="T62" s="5"/>
      <c r="U62" s="5"/>
      <c r="V62" s="5"/>
      <c r="W62" s="5"/>
      <c r="X62" s="5"/>
      <c r="Y62" s="5" t="s">
        <v>857</v>
      </c>
      <c r="Z62" s="5" t="s">
        <v>857</v>
      </c>
      <c r="AA62" s="5" t="s">
        <v>857</v>
      </c>
      <c r="AB62" s="5" t="s">
        <v>67</v>
      </c>
      <c r="AC62" s="5" t="s">
        <v>67</v>
      </c>
      <c r="AD62" s="5" t="s">
        <v>67</v>
      </c>
      <c r="AE62" s="5"/>
      <c r="AF62" s="5" t="s">
        <v>70</v>
      </c>
      <c r="AG62" s="5" t="s">
        <v>2052</v>
      </c>
      <c r="AH62" s="5" t="s">
        <v>72</v>
      </c>
      <c r="AI62" s="5" t="s">
        <v>73</v>
      </c>
      <c r="AJ62" s="5">
        <v>0</v>
      </c>
      <c r="AK62" s="5">
        <v>0</v>
      </c>
      <c r="AL62" s="5">
        <v>0</v>
      </c>
      <c r="AM62" s="5">
        <v>0</v>
      </c>
      <c r="AN62" s="5">
        <v>5</v>
      </c>
      <c r="AO62" s="5">
        <v>767.79</v>
      </c>
      <c r="AP62" s="5">
        <v>4.8</v>
      </c>
      <c r="AQ62" s="5" t="s">
        <v>713</v>
      </c>
      <c r="AR62" s="5" t="s">
        <v>1104</v>
      </c>
      <c r="AS62" s="5"/>
      <c r="AT62" s="5"/>
      <c r="AU62" s="5"/>
      <c r="AV62" s="5">
        <v>-1</v>
      </c>
      <c r="AW62" s="5" t="s">
        <v>2323</v>
      </c>
    </row>
    <row r="63" spans="1:49" x14ac:dyDescent="0.55000000000000004">
      <c r="A63" s="5" t="str">
        <f>HYPERLINK("https://www.infodis.net/philips/net/Shipment/Details?InfodisNumber=4508919&amp;DomainCode=DAP", "4508919")</f>
        <v>4508919</v>
      </c>
      <c r="B63" s="5" t="s">
        <v>2324</v>
      </c>
      <c r="C63" s="5" t="s">
        <v>2067</v>
      </c>
      <c r="D63" s="5" t="s">
        <v>2068</v>
      </c>
      <c r="E63" s="5" t="s">
        <v>2069</v>
      </c>
      <c r="F63" s="5" t="s">
        <v>2070</v>
      </c>
      <c r="G63" s="5" t="s">
        <v>82</v>
      </c>
      <c r="H63" s="5" t="s">
        <v>83</v>
      </c>
      <c r="I63" s="5" t="s">
        <v>81</v>
      </c>
      <c r="J63" s="5" t="s">
        <v>2071</v>
      </c>
      <c r="K63" s="5" t="s">
        <v>2072</v>
      </c>
      <c r="L63" s="5" t="s">
        <v>132</v>
      </c>
      <c r="M63" s="5" t="s">
        <v>84</v>
      </c>
      <c r="N63" s="5"/>
      <c r="O63" s="5"/>
      <c r="P63" s="5" t="s">
        <v>87</v>
      </c>
      <c r="Q63" s="5" t="s">
        <v>2325</v>
      </c>
      <c r="R63" s="5" t="s">
        <v>2073</v>
      </c>
      <c r="S63" s="6">
        <v>44082</v>
      </c>
      <c r="T63" s="6">
        <v>44083</v>
      </c>
      <c r="U63" s="6">
        <v>44085</v>
      </c>
      <c r="V63" s="6">
        <v>44093</v>
      </c>
      <c r="W63" s="6">
        <v>44085</v>
      </c>
      <c r="X63" s="6">
        <v>44130</v>
      </c>
      <c r="Y63" s="5" t="s">
        <v>857</v>
      </c>
      <c r="Z63" s="5" t="s">
        <v>857</v>
      </c>
      <c r="AA63" s="5" t="s">
        <v>857</v>
      </c>
      <c r="AB63" s="5" t="s">
        <v>67</v>
      </c>
      <c r="AC63" s="5" t="s">
        <v>67</v>
      </c>
      <c r="AD63" s="5" t="s">
        <v>67</v>
      </c>
      <c r="AE63" s="5"/>
      <c r="AF63" s="5" t="s">
        <v>70</v>
      </c>
      <c r="AG63" s="5" t="s">
        <v>2052</v>
      </c>
      <c r="AH63" s="5" t="s">
        <v>72</v>
      </c>
      <c r="AI63" s="5" t="s">
        <v>73</v>
      </c>
      <c r="AJ63" s="5">
        <v>0</v>
      </c>
      <c r="AK63" s="5">
        <v>0</v>
      </c>
      <c r="AL63" s="5">
        <v>0</v>
      </c>
      <c r="AM63" s="5">
        <v>0</v>
      </c>
      <c r="AN63" s="5">
        <v>1</v>
      </c>
      <c r="AO63" s="5">
        <v>92</v>
      </c>
      <c r="AP63" s="5">
        <v>1.32</v>
      </c>
      <c r="AQ63" s="5" t="s">
        <v>713</v>
      </c>
      <c r="AR63" s="5" t="s">
        <v>1104</v>
      </c>
      <c r="AS63" s="5"/>
      <c r="AT63" s="5"/>
      <c r="AU63" s="5"/>
      <c r="AV63" s="5">
        <v>-1</v>
      </c>
      <c r="AW63" s="5" t="s">
        <v>2265</v>
      </c>
    </row>
    <row r="64" spans="1:49" x14ac:dyDescent="0.55000000000000004">
      <c r="A64" s="5" t="str">
        <f>HYPERLINK("https://www.infodis.net/philips/net/Shipment/Details?InfodisNumber=4440802&amp;DomainCode=DAP", "4440802")</f>
        <v>4440802</v>
      </c>
      <c r="B64" s="5" t="s">
        <v>1483</v>
      </c>
      <c r="C64" s="5" t="s">
        <v>1150</v>
      </c>
      <c r="D64" s="5" t="s">
        <v>1151</v>
      </c>
      <c r="E64" s="5" t="s">
        <v>1150</v>
      </c>
      <c r="F64" s="5" t="s">
        <v>256</v>
      </c>
      <c r="G64" s="5" t="s">
        <v>1152</v>
      </c>
      <c r="H64" s="5" t="s">
        <v>79</v>
      </c>
      <c r="I64" s="5" t="s">
        <v>587</v>
      </c>
      <c r="J64" s="5" t="s">
        <v>258</v>
      </c>
      <c r="K64" s="5" t="s">
        <v>259</v>
      </c>
      <c r="L64" s="5" t="s">
        <v>260</v>
      </c>
      <c r="M64" s="5" t="s">
        <v>261</v>
      </c>
      <c r="N64" s="5"/>
      <c r="O64" s="5"/>
      <c r="P64" s="5" t="s">
        <v>1153</v>
      </c>
      <c r="Q64" s="5" t="s">
        <v>1484</v>
      </c>
      <c r="R64" s="5" t="s">
        <v>262</v>
      </c>
      <c r="S64" s="6">
        <v>43966</v>
      </c>
      <c r="T64" s="6">
        <v>43969</v>
      </c>
      <c r="U64" s="5"/>
      <c r="V64" s="6">
        <v>43974</v>
      </c>
      <c r="W64" s="6">
        <v>43970</v>
      </c>
      <c r="X64" s="6">
        <v>44025</v>
      </c>
      <c r="Y64" s="5" t="s">
        <v>857</v>
      </c>
      <c r="Z64" s="5" t="s">
        <v>857</v>
      </c>
      <c r="AA64" s="5" t="s">
        <v>857</v>
      </c>
      <c r="AB64" s="5" t="s">
        <v>67</v>
      </c>
      <c r="AC64" s="5" t="s">
        <v>67</v>
      </c>
      <c r="AD64" s="5" t="s">
        <v>67</v>
      </c>
      <c r="AE64" s="5" t="s">
        <v>162</v>
      </c>
      <c r="AF64" s="5" t="s">
        <v>70</v>
      </c>
      <c r="AG64" s="5" t="s">
        <v>71</v>
      </c>
      <c r="AH64" s="5" t="s">
        <v>72</v>
      </c>
      <c r="AI64" s="5" t="s">
        <v>73</v>
      </c>
      <c r="AJ64" s="5">
        <v>0</v>
      </c>
      <c r="AK64" s="5">
        <v>0</v>
      </c>
      <c r="AL64" s="5">
        <v>0</v>
      </c>
      <c r="AM64" s="5">
        <v>0</v>
      </c>
      <c r="AN64" s="5">
        <v>3</v>
      </c>
      <c r="AO64" s="5">
        <v>369.69</v>
      </c>
      <c r="AP64" s="5">
        <v>5.33</v>
      </c>
      <c r="AQ64" s="5" t="s">
        <v>713</v>
      </c>
      <c r="AR64" s="5" t="s">
        <v>1104</v>
      </c>
      <c r="AS64" s="5"/>
      <c r="AT64" s="5"/>
      <c r="AU64" s="5"/>
      <c r="AV64" s="5">
        <v>-1</v>
      </c>
      <c r="AW64" s="5" t="s">
        <v>2265</v>
      </c>
    </row>
    <row r="65" spans="1:49" x14ac:dyDescent="0.55000000000000004">
      <c r="A65" s="5" t="str">
        <f>HYPERLINK("https://www.infodis.net/philips/net/Shipment/Details?InfodisNumber=4287918&amp;DomainCode=DAP", "4287918")</f>
        <v>4287918</v>
      </c>
      <c r="B65" s="5" t="s">
        <v>2326</v>
      </c>
      <c r="C65" s="5" t="s">
        <v>585</v>
      </c>
      <c r="D65" s="5" t="s">
        <v>586</v>
      </c>
      <c r="E65" s="5" t="s">
        <v>393</v>
      </c>
      <c r="F65" s="5" t="s">
        <v>2327</v>
      </c>
      <c r="G65" s="5" t="s">
        <v>394</v>
      </c>
      <c r="H65" s="5" t="s">
        <v>79</v>
      </c>
      <c r="I65" s="5" t="s">
        <v>587</v>
      </c>
      <c r="J65" s="5" t="s">
        <v>268</v>
      </c>
      <c r="K65" s="5" t="s">
        <v>266</v>
      </c>
      <c r="L65" s="5" t="s">
        <v>267</v>
      </c>
      <c r="M65" s="5" t="s">
        <v>60</v>
      </c>
      <c r="N65" s="5" t="s">
        <v>2328</v>
      </c>
      <c r="O65" s="5"/>
      <c r="P65" s="5" t="s">
        <v>398</v>
      </c>
      <c r="Q65" s="5"/>
      <c r="R65" s="5" t="s">
        <v>1814</v>
      </c>
      <c r="S65" s="6">
        <v>43718</v>
      </c>
      <c r="T65" s="6">
        <v>43725</v>
      </c>
      <c r="U65" s="6">
        <v>43724</v>
      </c>
      <c r="V65" s="6">
        <v>43735</v>
      </c>
      <c r="W65" s="5"/>
      <c r="X65" s="5"/>
      <c r="Y65" s="5" t="s">
        <v>2129</v>
      </c>
      <c r="Z65" s="5" t="s">
        <v>2129</v>
      </c>
      <c r="AA65" s="5" t="s">
        <v>2129</v>
      </c>
      <c r="AB65" s="5" t="s">
        <v>67</v>
      </c>
      <c r="AC65" s="5" t="s">
        <v>67</v>
      </c>
      <c r="AD65" s="5" t="s">
        <v>67</v>
      </c>
      <c r="AE65" s="5"/>
      <c r="AF65" s="5" t="s">
        <v>70</v>
      </c>
      <c r="AG65" s="5" t="s">
        <v>2052</v>
      </c>
      <c r="AH65" s="5" t="s">
        <v>72</v>
      </c>
      <c r="AI65" s="5" t="s">
        <v>73</v>
      </c>
      <c r="AJ65" s="5">
        <v>0</v>
      </c>
      <c r="AK65" s="5">
        <v>0</v>
      </c>
      <c r="AL65" s="5">
        <v>0</v>
      </c>
      <c r="AM65" s="5">
        <v>0</v>
      </c>
      <c r="AN65" s="5">
        <v>40</v>
      </c>
      <c r="AO65" s="5">
        <v>5374.07</v>
      </c>
      <c r="AP65" s="5">
        <v>40.090000000000003</v>
      </c>
      <c r="AQ65" s="5" t="s">
        <v>713</v>
      </c>
      <c r="AR65" s="5" t="s">
        <v>1104</v>
      </c>
      <c r="AS65" s="5"/>
      <c r="AT65" s="5"/>
      <c r="AU65" s="5"/>
      <c r="AV65" s="5">
        <v>-1</v>
      </c>
      <c r="AW65" s="5" t="s">
        <v>2329</v>
      </c>
    </row>
    <row r="66" spans="1:49" x14ac:dyDescent="0.55000000000000004">
      <c r="A66" s="5" t="str">
        <f>HYPERLINK("https://www.infodis.net/philips/net/Shipment/Details?InfodisNumber=4364177&amp;DomainCode=DAP", "4364177")</f>
        <v>4364177</v>
      </c>
      <c r="B66" s="5" t="s">
        <v>2330</v>
      </c>
      <c r="C66" s="5" t="s">
        <v>2331</v>
      </c>
      <c r="D66" s="5" t="s">
        <v>2332</v>
      </c>
      <c r="E66" s="5" t="s">
        <v>94</v>
      </c>
      <c r="F66" s="5" t="s">
        <v>578</v>
      </c>
      <c r="G66" s="5" t="s">
        <v>2333</v>
      </c>
      <c r="H66" s="5" t="s">
        <v>1263</v>
      </c>
      <c r="I66" s="5" t="s">
        <v>2334</v>
      </c>
      <c r="J66" s="5" t="s">
        <v>681</v>
      </c>
      <c r="K66" s="5" t="s">
        <v>580</v>
      </c>
      <c r="L66" s="5" t="s">
        <v>380</v>
      </c>
      <c r="M66" s="5" t="s">
        <v>1489</v>
      </c>
      <c r="N66" s="5"/>
      <c r="O66" s="5"/>
      <c r="P66" s="5" t="s">
        <v>2335</v>
      </c>
      <c r="Q66" s="5" t="s">
        <v>2336</v>
      </c>
      <c r="R66" s="5" t="s">
        <v>582</v>
      </c>
      <c r="S66" s="6">
        <v>43818</v>
      </c>
      <c r="T66" s="6">
        <v>43818</v>
      </c>
      <c r="U66" s="6">
        <v>43818</v>
      </c>
      <c r="V66" s="6">
        <v>43828</v>
      </c>
      <c r="W66" s="6">
        <v>43828</v>
      </c>
      <c r="X66" s="6">
        <v>43840</v>
      </c>
      <c r="Y66" s="5" t="s">
        <v>857</v>
      </c>
      <c r="Z66" s="5" t="s">
        <v>857</v>
      </c>
      <c r="AA66" s="5" t="s">
        <v>857</v>
      </c>
      <c r="AB66" s="5" t="s">
        <v>67</v>
      </c>
      <c r="AC66" s="5" t="s">
        <v>67</v>
      </c>
      <c r="AD66" s="5" t="s">
        <v>67</v>
      </c>
      <c r="AE66" s="5"/>
      <c r="AF66" s="5" t="s">
        <v>70</v>
      </c>
      <c r="AG66" s="5" t="s">
        <v>2052</v>
      </c>
      <c r="AH66" s="5" t="s">
        <v>72</v>
      </c>
      <c r="AI66" s="5" t="s">
        <v>73</v>
      </c>
      <c r="AJ66" s="5">
        <v>0</v>
      </c>
      <c r="AK66" s="5">
        <v>0</v>
      </c>
      <c r="AL66" s="5">
        <v>0</v>
      </c>
      <c r="AM66" s="5">
        <v>0</v>
      </c>
      <c r="AN66" s="5">
        <v>1</v>
      </c>
      <c r="AO66" s="5">
        <v>164</v>
      </c>
      <c r="AP66" s="5">
        <v>1.1100000000000001</v>
      </c>
      <c r="AQ66" s="5" t="s">
        <v>713</v>
      </c>
      <c r="AR66" s="5" t="s">
        <v>1104</v>
      </c>
      <c r="AS66" s="5"/>
      <c r="AT66" s="5"/>
      <c r="AU66" s="5"/>
      <c r="AV66" s="5">
        <v>-1</v>
      </c>
      <c r="AW66" s="5" t="s">
        <v>2337</v>
      </c>
    </row>
    <row r="67" spans="1:49" x14ac:dyDescent="0.55000000000000004">
      <c r="A67" s="5" t="str">
        <f>HYPERLINK("https://www.infodis.net/philips/net/Shipment/Details?InfodisNumber=4489002&amp;DomainCode=DAP", "4489002")</f>
        <v>4489002</v>
      </c>
      <c r="B67" s="5" t="s">
        <v>2338</v>
      </c>
      <c r="C67" s="5" t="s">
        <v>2339</v>
      </c>
      <c r="D67" s="5" t="s">
        <v>2340</v>
      </c>
      <c r="E67" s="5" t="s">
        <v>191</v>
      </c>
      <c r="F67" s="5" t="s">
        <v>256</v>
      </c>
      <c r="G67" s="5" t="s">
        <v>219</v>
      </c>
      <c r="H67" s="5" t="s">
        <v>180</v>
      </c>
      <c r="I67" s="5" t="s">
        <v>2341</v>
      </c>
      <c r="J67" s="5" t="s">
        <v>759</v>
      </c>
      <c r="K67" s="5" t="s">
        <v>259</v>
      </c>
      <c r="L67" s="5" t="s">
        <v>260</v>
      </c>
      <c r="M67" s="5" t="s">
        <v>60</v>
      </c>
      <c r="N67" s="5"/>
      <c r="O67" s="5"/>
      <c r="P67" s="5" t="s">
        <v>223</v>
      </c>
      <c r="Q67" s="5" t="s">
        <v>2342</v>
      </c>
      <c r="R67" s="5" t="s">
        <v>262</v>
      </c>
      <c r="S67" s="6">
        <v>44050</v>
      </c>
      <c r="T67" s="6">
        <v>44050</v>
      </c>
      <c r="U67" s="6">
        <v>44054</v>
      </c>
      <c r="V67" s="6">
        <v>44060</v>
      </c>
      <c r="W67" s="6">
        <v>44068</v>
      </c>
      <c r="X67" s="5"/>
      <c r="Y67" s="5" t="s">
        <v>857</v>
      </c>
      <c r="Z67" s="5" t="s">
        <v>857</v>
      </c>
      <c r="AA67" s="5" t="s">
        <v>857</v>
      </c>
      <c r="AB67" s="5" t="s">
        <v>67</v>
      </c>
      <c r="AC67" s="5" t="s">
        <v>67</v>
      </c>
      <c r="AD67" s="5" t="s">
        <v>67</v>
      </c>
      <c r="AE67" s="5"/>
      <c r="AF67" s="5" t="s">
        <v>70</v>
      </c>
      <c r="AG67" s="5" t="s">
        <v>2052</v>
      </c>
      <c r="AH67" s="5" t="s">
        <v>72</v>
      </c>
      <c r="AI67" s="5" t="s">
        <v>73</v>
      </c>
      <c r="AJ67" s="5">
        <v>0</v>
      </c>
      <c r="AK67" s="5">
        <v>0</v>
      </c>
      <c r="AL67" s="5">
        <v>0</v>
      </c>
      <c r="AM67" s="5">
        <v>0</v>
      </c>
      <c r="AN67" s="5">
        <v>3</v>
      </c>
      <c r="AO67" s="5">
        <v>1026</v>
      </c>
      <c r="AP67" s="5">
        <v>4.306</v>
      </c>
      <c r="AQ67" s="5" t="s">
        <v>713</v>
      </c>
      <c r="AR67" s="5" t="s">
        <v>1104</v>
      </c>
      <c r="AS67" s="5"/>
      <c r="AT67" s="5"/>
      <c r="AU67" s="5"/>
      <c r="AV67" s="5">
        <v>-1</v>
      </c>
      <c r="AW67" s="5" t="s">
        <v>2265</v>
      </c>
    </row>
    <row r="68" spans="1:49" x14ac:dyDescent="0.55000000000000004">
      <c r="A68" s="5" t="str">
        <f>HYPERLINK("https://www.infodis.net/philips/net/Shipment/Details?InfodisNumber=4478459&amp;DomainCode=DAP", "4478459")</f>
        <v>4478459</v>
      </c>
      <c r="B68" s="5" t="s">
        <v>2343</v>
      </c>
      <c r="C68" s="5" t="s">
        <v>2344</v>
      </c>
      <c r="D68" s="5" t="s">
        <v>2345</v>
      </c>
      <c r="E68" s="5" t="s">
        <v>2344</v>
      </c>
      <c r="F68" s="5" t="s">
        <v>2346</v>
      </c>
      <c r="G68" s="5" t="s">
        <v>281</v>
      </c>
      <c r="H68" s="5" t="s">
        <v>79</v>
      </c>
      <c r="I68" s="5" t="s">
        <v>2347</v>
      </c>
      <c r="J68" s="5" t="s">
        <v>936</v>
      </c>
      <c r="K68" s="5" t="s">
        <v>295</v>
      </c>
      <c r="L68" s="5" t="s">
        <v>296</v>
      </c>
      <c r="M68" s="5" t="s">
        <v>84</v>
      </c>
      <c r="N68" s="5"/>
      <c r="O68" s="5"/>
      <c r="P68" s="5" t="s">
        <v>286</v>
      </c>
      <c r="Q68" s="5"/>
      <c r="R68" s="5" t="s">
        <v>300</v>
      </c>
      <c r="S68" s="6">
        <v>44035</v>
      </c>
      <c r="T68" s="6">
        <v>44041</v>
      </c>
      <c r="U68" s="5"/>
      <c r="V68" s="6">
        <v>44046</v>
      </c>
      <c r="W68" s="5"/>
      <c r="X68" s="5"/>
      <c r="Y68" s="5" t="s">
        <v>66</v>
      </c>
      <c r="Z68" s="5" t="s">
        <v>2348</v>
      </c>
      <c r="AA68" s="5" t="s">
        <v>2348</v>
      </c>
      <c r="AB68" s="5" t="s">
        <v>68</v>
      </c>
      <c r="AC68" s="5" t="s">
        <v>67</v>
      </c>
      <c r="AD68" s="5" t="s">
        <v>67</v>
      </c>
      <c r="AE68" s="5"/>
      <c r="AF68" s="5" t="s">
        <v>70</v>
      </c>
      <c r="AG68" s="5" t="s">
        <v>2349</v>
      </c>
      <c r="AH68" s="5" t="s">
        <v>72</v>
      </c>
      <c r="AI68" s="5" t="s">
        <v>73</v>
      </c>
      <c r="AJ68" s="5">
        <v>0</v>
      </c>
      <c r="AK68" s="5">
        <v>0</v>
      </c>
      <c r="AL68" s="5">
        <v>0</v>
      </c>
      <c r="AM68" s="5">
        <v>0</v>
      </c>
      <c r="AN68" s="5">
        <v>6</v>
      </c>
      <c r="AO68" s="5">
        <v>907.2</v>
      </c>
      <c r="AP68" s="5">
        <v>5.76</v>
      </c>
      <c r="AQ68" s="5" t="s">
        <v>713</v>
      </c>
      <c r="AR68" s="5" t="s">
        <v>1104</v>
      </c>
      <c r="AS68" s="5" t="s">
        <v>713</v>
      </c>
      <c r="AT68" s="6">
        <v>44071</v>
      </c>
      <c r="AU68" s="5" t="s">
        <v>2350</v>
      </c>
      <c r="AV68" s="5">
        <v>91</v>
      </c>
      <c r="AW68" s="5" t="s">
        <v>2351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11"/>
  <sheetViews>
    <sheetView topLeftCell="T1" zoomScale="75" workbookViewId="0">
      <selection activeCell="X14" sqref="X13:AD14"/>
    </sheetView>
  </sheetViews>
  <sheetFormatPr defaultRowHeight="14.4" x14ac:dyDescent="0.55000000000000004"/>
  <cols>
    <col min="1" max="49" width="21.68359375" customWidth="1"/>
  </cols>
  <sheetData>
    <row r="1" spans="1:4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55000000000000004">
      <c r="A2" t="str">
        <f>HYPERLINK("https://www.infodis.net/philips/net/Shipment/Details?InfodisNumber=1563088&amp;DomainCode=PHILIPSM1", "1563088")</f>
        <v>1563088</v>
      </c>
      <c r="B2" t="s">
        <v>2352</v>
      </c>
      <c r="C2" t="s">
        <v>2353</v>
      </c>
      <c r="D2" t="s">
        <v>2354</v>
      </c>
      <c r="E2" t="s">
        <v>2355</v>
      </c>
      <c r="F2" t="s">
        <v>2356</v>
      </c>
      <c r="G2" t="s">
        <v>667</v>
      </c>
      <c r="H2" t="s">
        <v>79</v>
      </c>
      <c r="I2" t="s">
        <v>1813</v>
      </c>
      <c r="J2" t="s">
        <v>2357</v>
      </c>
      <c r="K2" t="s">
        <v>2248</v>
      </c>
      <c r="L2" t="s">
        <v>230</v>
      </c>
      <c r="M2" t="s">
        <v>60</v>
      </c>
      <c r="P2" t="s">
        <v>1853</v>
      </c>
      <c r="Q2" t="s">
        <v>2358</v>
      </c>
      <c r="R2" t="s">
        <v>2293</v>
      </c>
      <c r="S2" s="2">
        <v>44151</v>
      </c>
      <c r="T2" s="2">
        <v>44151</v>
      </c>
      <c r="U2" s="2">
        <v>44151</v>
      </c>
      <c r="V2" s="2">
        <v>44154</v>
      </c>
      <c r="W2" s="2">
        <v>44152</v>
      </c>
      <c r="Y2" t="s">
        <v>2359</v>
      </c>
      <c r="Z2" t="s">
        <v>2359</v>
      </c>
      <c r="AA2" t="s">
        <v>603</v>
      </c>
      <c r="AB2" t="s">
        <v>67</v>
      </c>
      <c r="AC2" t="s">
        <v>67</v>
      </c>
      <c r="AD2" t="s">
        <v>68</v>
      </c>
      <c r="AF2" t="s">
        <v>2179</v>
      </c>
      <c r="AG2" t="s">
        <v>2180</v>
      </c>
      <c r="AH2" t="s">
        <v>2179</v>
      </c>
      <c r="AI2" t="s">
        <v>605</v>
      </c>
      <c r="AJ2">
        <v>0</v>
      </c>
      <c r="AK2">
        <v>0</v>
      </c>
      <c r="AL2">
        <v>0</v>
      </c>
      <c r="AM2">
        <v>0</v>
      </c>
      <c r="AN2">
        <v>0</v>
      </c>
      <c r="AO2">
        <v>203</v>
      </c>
      <c r="AP2">
        <v>1.93</v>
      </c>
      <c r="AV2">
        <v>-1</v>
      </c>
    </row>
    <row r="3" spans="1:49" x14ac:dyDescent="0.55000000000000004">
      <c r="A3" t="str">
        <f>HYPERLINK("https://www.infodis.net/philips/net/Shipment/Details?InfodisNumber=1563089&amp;DomainCode=PHILIPSM1", "1563089")</f>
        <v>1563089</v>
      </c>
      <c r="B3" t="s">
        <v>2360</v>
      </c>
      <c r="C3" t="s">
        <v>2080</v>
      </c>
      <c r="D3" t="s">
        <v>2081</v>
      </c>
      <c r="E3" t="s">
        <v>1428</v>
      </c>
      <c r="F3" t="s">
        <v>2361</v>
      </c>
      <c r="G3" t="s">
        <v>1430</v>
      </c>
      <c r="H3" t="s">
        <v>244</v>
      </c>
      <c r="I3" t="s">
        <v>2084</v>
      </c>
      <c r="J3" t="s">
        <v>2362</v>
      </c>
      <c r="K3" t="s">
        <v>2363</v>
      </c>
      <c r="L3" t="s">
        <v>180</v>
      </c>
      <c r="M3" t="s">
        <v>261</v>
      </c>
      <c r="P3" t="s">
        <v>1432</v>
      </c>
      <c r="Q3" t="s">
        <v>2364</v>
      </c>
      <c r="R3" t="s">
        <v>2365</v>
      </c>
      <c r="S3" s="2">
        <v>44151</v>
      </c>
      <c r="T3" s="2">
        <v>44151</v>
      </c>
      <c r="U3" s="2">
        <v>44151</v>
      </c>
      <c r="V3" s="2">
        <v>44154</v>
      </c>
      <c r="W3" s="2">
        <v>44153</v>
      </c>
      <c r="Y3" t="s">
        <v>2359</v>
      </c>
      <c r="Z3" t="s">
        <v>2359</v>
      </c>
      <c r="AA3" t="s">
        <v>2359</v>
      </c>
      <c r="AB3" t="s">
        <v>67</v>
      </c>
      <c r="AC3" t="s">
        <v>67</v>
      </c>
      <c r="AD3" t="s">
        <v>67</v>
      </c>
      <c r="AF3" t="s">
        <v>2179</v>
      </c>
      <c r="AG3" t="s">
        <v>2180</v>
      </c>
      <c r="AH3" t="s">
        <v>2179</v>
      </c>
      <c r="AI3" t="s">
        <v>605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2.7E-2</v>
      </c>
      <c r="AV3">
        <v>-1</v>
      </c>
    </row>
    <row r="4" spans="1:49" x14ac:dyDescent="0.55000000000000004">
      <c r="A4" t="str">
        <f>HYPERLINK("https://www.infodis.net/philips/net/Shipment/Details?InfodisNumber=4558626&amp;DomainCode=DAP", "4558626")</f>
        <v>4558626</v>
      </c>
      <c r="B4" t="s">
        <v>2366</v>
      </c>
      <c r="C4" t="s">
        <v>212</v>
      </c>
      <c r="D4" t="s">
        <v>213</v>
      </c>
      <c r="E4" t="s">
        <v>214</v>
      </c>
      <c r="F4" t="s">
        <v>1078</v>
      </c>
      <c r="G4" t="s">
        <v>216</v>
      </c>
      <c r="H4" t="s">
        <v>55</v>
      </c>
      <c r="I4" t="s">
        <v>2367</v>
      </c>
      <c r="J4" t="s">
        <v>2368</v>
      </c>
      <c r="K4" t="s">
        <v>269</v>
      </c>
      <c r="L4" t="s">
        <v>180</v>
      </c>
      <c r="M4" t="s">
        <v>60</v>
      </c>
      <c r="P4" t="s">
        <v>2369</v>
      </c>
      <c r="Q4" t="s">
        <v>2370</v>
      </c>
      <c r="R4" t="s">
        <v>271</v>
      </c>
      <c r="S4" s="2">
        <v>44151</v>
      </c>
      <c r="T4" s="2">
        <v>44152</v>
      </c>
      <c r="U4" s="2">
        <v>44152</v>
      </c>
      <c r="V4" s="2">
        <v>44155</v>
      </c>
      <c r="Y4" t="s">
        <v>2371</v>
      </c>
      <c r="Z4" t="s">
        <v>2371</v>
      </c>
      <c r="AA4" t="s">
        <v>2371</v>
      </c>
      <c r="AB4" t="s">
        <v>67</v>
      </c>
      <c r="AC4" t="s">
        <v>67</v>
      </c>
      <c r="AD4" t="s">
        <v>67</v>
      </c>
      <c r="AF4" t="s">
        <v>2179</v>
      </c>
      <c r="AG4" t="s">
        <v>2180</v>
      </c>
      <c r="AH4" t="s">
        <v>2179</v>
      </c>
      <c r="AI4" t="s">
        <v>73</v>
      </c>
      <c r="AJ4">
        <v>0</v>
      </c>
      <c r="AK4">
        <v>0</v>
      </c>
      <c r="AL4">
        <v>0</v>
      </c>
      <c r="AM4">
        <v>0</v>
      </c>
      <c r="AN4">
        <v>2</v>
      </c>
      <c r="AO4">
        <v>352</v>
      </c>
      <c r="AP4">
        <v>2.544</v>
      </c>
      <c r="AV4">
        <v>-1</v>
      </c>
    </row>
    <row r="5" spans="1:49" x14ac:dyDescent="0.55000000000000004">
      <c r="A5" t="str">
        <f>HYPERLINK("https://www.infodis.net/philips/net/Shipment/Details?InfodisNumber=6521177&amp;DomainCode=PHILIPSR1", "6521177")</f>
        <v>6521177</v>
      </c>
      <c r="B5" t="s">
        <v>2372</v>
      </c>
      <c r="C5" t="s">
        <v>2373</v>
      </c>
      <c r="D5" t="s">
        <v>2374</v>
      </c>
      <c r="E5" t="s">
        <v>993</v>
      </c>
      <c r="F5" t="s">
        <v>242</v>
      </c>
      <c r="G5" t="s">
        <v>2375</v>
      </c>
      <c r="H5" t="s">
        <v>1203</v>
      </c>
      <c r="I5" t="s">
        <v>2376</v>
      </c>
      <c r="J5" t="s">
        <v>652</v>
      </c>
      <c r="K5" t="s">
        <v>2377</v>
      </c>
      <c r="L5" t="s">
        <v>180</v>
      </c>
      <c r="M5" t="s">
        <v>84</v>
      </c>
      <c r="P5" t="s">
        <v>2378</v>
      </c>
      <c r="Q5" t="s">
        <v>2379</v>
      </c>
      <c r="R5" t="s">
        <v>2380</v>
      </c>
      <c r="S5" s="2">
        <v>43980</v>
      </c>
      <c r="T5" s="2">
        <v>44003</v>
      </c>
      <c r="U5" s="2">
        <v>44001</v>
      </c>
      <c r="V5" s="2">
        <v>44006</v>
      </c>
      <c r="W5" s="2">
        <v>44003</v>
      </c>
      <c r="X5" s="2">
        <v>44007</v>
      </c>
      <c r="Y5" t="s">
        <v>1735</v>
      </c>
      <c r="Z5" t="s">
        <v>1735</v>
      </c>
      <c r="AA5" t="s">
        <v>1735</v>
      </c>
      <c r="AB5" t="s">
        <v>67</v>
      </c>
      <c r="AC5" t="s">
        <v>67</v>
      </c>
      <c r="AD5" t="s">
        <v>67</v>
      </c>
      <c r="AF5" t="s">
        <v>2179</v>
      </c>
      <c r="AG5" t="s">
        <v>2180</v>
      </c>
      <c r="AH5" t="s">
        <v>2179</v>
      </c>
      <c r="AI5" t="s">
        <v>252</v>
      </c>
      <c r="AJ5">
        <v>0</v>
      </c>
      <c r="AK5">
        <v>0</v>
      </c>
      <c r="AL5">
        <v>0</v>
      </c>
      <c r="AM5">
        <v>0</v>
      </c>
      <c r="AN5">
        <v>0</v>
      </c>
      <c r="AO5">
        <v>46</v>
      </c>
      <c r="AP5">
        <v>0.20100000000000001</v>
      </c>
      <c r="AV5">
        <v>-1</v>
      </c>
    </row>
    <row r="6" spans="1:49" x14ac:dyDescent="0.55000000000000004">
      <c r="A6" t="str">
        <f>HYPERLINK("https://www.infodis.net/philips/net/Shipment/Details?InfodisNumber=1563114&amp;DomainCode=PHILIPSM1", "1563114")</f>
        <v>1563114</v>
      </c>
      <c r="B6" t="s">
        <v>2381</v>
      </c>
      <c r="C6" t="s">
        <v>2080</v>
      </c>
      <c r="D6" t="s">
        <v>2081</v>
      </c>
      <c r="E6" t="s">
        <v>2089</v>
      </c>
      <c r="G6" t="s">
        <v>1430</v>
      </c>
      <c r="H6" t="s">
        <v>244</v>
      </c>
      <c r="I6" t="s">
        <v>2084</v>
      </c>
      <c r="J6" t="s">
        <v>2382</v>
      </c>
      <c r="K6" t="s">
        <v>2383</v>
      </c>
      <c r="L6" t="s">
        <v>2384</v>
      </c>
      <c r="M6" t="s">
        <v>60</v>
      </c>
      <c r="P6" t="s">
        <v>1432</v>
      </c>
      <c r="Q6" t="s">
        <v>2385</v>
      </c>
      <c r="R6" t="s">
        <v>2386</v>
      </c>
      <c r="S6" s="2">
        <v>44151</v>
      </c>
      <c r="T6" s="2">
        <v>44151</v>
      </c>
      <c r="U6" s="2">
        <v>44151</v>
      </c>
      <c r="V6" s="2">
        <v>44151</v>
      </c>
      <c r="W6" s="2">
        <v>44154</v>
      </c>
      <c r="Y6" t="s">
        <v>2387</v>
      </c>
      <c r="Z6" t="s">
        <v>2387</v>
      </c>
      <c r="AA6" t="s">
        <v>603</v>
      </c>
      <c r="AB6" t="s">
        <v>67</v>
      </c>
      <c r="AC6" t="s">
        <v>67</v>
      </c>
      <c r="AD6" t="s">
        <v>68</v>
      </c>
      <c r="AF6" t="s">
        <v>2388</v>
      </c>
      <c r="AG6" t="s">
        <v>2389</v>
      </c>
      <c r="AH6" t="s">
        <v>2388</v>
      </c>
      <c r="AI6" t="s">
        <v>605</v>
      </c>
      <c r="AJ6">
        <v>0</v>
      </c>
      <c r="AK6">
        <v>0</v>
      </c>
      <c r="AL6">
        <v>0</v>
      </c>
      <c r="AM6">
        <v>0</v>
      </c>
      <c r="AN6">
        <v>0</v>
      </c>
      <c r="AO6">
        <v>4.4000000000000004</v>
      </c>
      <c r="AP6">
        <v>4.8000000000000001E-2</v>
      </c>
      <c r="AV6">
        <v>-1</v>
      </c>
    </row>
    <row r="7" spans="1:49" x14ac:dyDescent="0.55000000000000004">
      <c r="A7" t="str">
        <f>HYPERLINK("https://www.infodis.net/philips/net/Shipment/Details?InfodisNumber=4558764&amp;DomainCode=DAP", "4558764")</f>
        <v>4558764</v>
      </c>
      <c r="B7" t="s">
        <v>2390</v>
      </c>
      <c r="C7" t="s">
        <v>212</v>
      </c>
      <c r="D7" t="s">
        <v>213</v>
      </c>
      <c r="E7" t="s">
        <v>214</v>
      </c>
      <c r="F7" t="s">
        <v>1078</v>
      </c>
      <c r="G7" t="s">
        <v>216</v>
      </c>
      <c r="H7" t="s">
        <v>55</v>
      </c>
      <c r="I7" t="s">
        <v>2367</v>
      </c>
      <c r="J7" t="s">
        <v>2368</v>
      </c>
      <c r="K7" t="s">
        <v>269</v>
      </c>
      <c r="L7" t="s">
        <v>180</v>
      </c>
      <c r="M7" t="s">
        <v>60</v>
      </c>
      <c r="P7" t="s">
        <v>2369</v>
      </c>
      <c r="Q7" t="s">
        <v>2391</v>
      </c>
      <c r="R7" t="s">
        <v>271</v>
      </c>
      <c r="S7" s="2">
        <v>44151</v>
      </c>
      <c r="T7" s="2">
        <v>44151</v>
      </c>
      <c r="U7" s="2">
        <v>44151</v>
      </c>
      <c r="V7" s="2">
        <v>44154</v>
      </c>
      <c r="Y7" t="s">
        <v>2371</v>
      </c>
      <c r="Z7" t="s">
        <v>2371</v>
      </c>
      <c r="AA7" t="s">
        <v>2371</v>
      </c>
      <c r="AB7" t="s">
        <v>67</v>
      </c>
      <c r="AC7" t="s">
        <v>67</v>
      </c>
      <c r="AD7" t="s">
        <v>67</v>
      </c>
      <c r="AF7" t="s">
        <v>2179</v>
      </c>
      <c r="AG7" t="s">
        <v>2180</v>
      </c>
      <c r="AH7" t="s">
        <v>2179</v>
      </c>
      <c r="AI7" t="s">
        <v>73</v>
      </c>
      <c r="AJ7">
        <v>0</v>
      </c>
      <c r="AK7">
        <v>0</v>
      </c>
      <c r="AL7">
        <v>0</v>
      </c>
      <c r="AM7">
        <v>0</v>
      </c>
      <c r="AN7">
        <v>2</v>
      </c>
      <c r="AO7">
        <v>474</v>
      </c>
      <c r="AP7">
        <v>2.294</v>
      </c>
      <c r="AV7">
        <v>-1</v>
      </c>
    </row>
    <row r="8" spans="1:49" x14ac:dyDescent="0.55000000000000004">
      <c r="A8" t="str">
        <f>HYPERLINK("https://www.infodis.net/philips/net/Shipment/Details?InfodisNumber=4563258&amp;DomainCode=DAP", "4563258")</f>
        <v>4563258</v>
      </c>
      <c r="B8" t="s">
        <v>2392</v>
      </c>
      <c r="C8" t="s">
        <v>2393</v>
      </c>
      <c r="D8" t="s">
        <v>2394</v>
      </c>
      <c r="E8" t="s">
        <v>2395</v>
      </c>
      <c r="F8" t="s">
        <v>52</v>
      </c>
      <c r="G8" t="s">
        <v>1223</v>
      </c>
      <c r="H8" t="s">
        <v>79</v>
      </c>
      <c r="I8" t="s">
        <v>2396</v>
      </c>
      <c r="J8" t="s">
        <v>2367</v>
      </c>
      <c r="K8" t="s">
        <v>1224</v>
      </c>
      <c r="L8" t="s">
        <v>55</v>
      </c>
      <c r="M8" t="s">
        <v>84</v>
      </c>
      <c r="P8" t="s">
        <v>2397</v>
      </c>
      <c r="R8" t="s">
        <v>1227</v>
      </c>
      <c r="S8" s="2">
        <v>44155</v>
      </c>
      <c r="T8" s="2">
        <v>44158</v>
      </c>
      <c r="V8" s="2">
        <v>44163</v>
      </c>
      <c r="Y8" t="s">
        <v>2398</v>
      </c>
      <c r="Z8" t="s">
        <v>2398</v>
      </c>
      <c r="AA8" t="s">
        <v>2398</v>
      </c>
      <c r="AB8" t="s">
        <v>67</v>
      </c>
      <c r="AC8" t="s">
        <v>67</v>
      </c>
      <c r="AD8" t="s">
        <v>67</v>
      </c>
      <c r="AF8" t="s">
        <v>2399</v>
      </c>
      <c r="AG8" t="s">
        <v>2400</v>
      </c>
      <c r="AH8" t="s">
        <v>2399</v>
      </c>
      <c r="AI8" t="s">
        <v>73</v>
      </c>
      <c r="AJ8">
        <v>0</v>
      </c>
      <c r="AK8">
        <v>0</v>
      </c>
      <c r="AL8">
        <v>0</v>
      </c>
      <c r="AM8">
        <v>0</v>
      </c>
      <c r="AN8">
        <v>3</v>
      </c>
      <c r="AO8">
        <v>624</v>
      </c>
      <c r="AP8">
        <v>5.1479999999999997</v>
      </c>
      <c r="AV8">
        <v>-1</v>
      </c>
    </row>
    <row r="9" spans="1:49" x14ac:dyDescent="0.55000000000000004">
      <c r="A9" t="str">
        <f>HYPERLINK("https://www.infodis.net/philips/net/Shipment/Details?InfodisNumber=4558793&amp;DomainCode=DAP", "4558793")</f>
        <v>4558793</v>
      </c>
      <c r="B9" t="s">
        <v>2401</v>
      </c>
      <c r="C9" t="s">
        <v>2402</v>
      </c>
      <c r="D9" t="s">
        <v>2403</v>
      </c>
      <c r="E9" t="s">
        <v>2402</v>
      </c>
      <c r="F9" t="s">
        <v>167</v>
      </c>
      <c r="G9" t="s">
        <v>2404</v>
      </c>
      <c r="H9" t="s">
        <v>881</v>
      </c>
      <c r="J9" t="s">
        <v>2405</v>
      </c>
      <c r="K9" t="s">
        <v>1125</v>
      </c>
      <c r="L9" t="s">
        <v>172</v>
      </c>
      <c r="M9" t="s">
        <v>1489</v>
      </c>
      <c r="P9" t="s">
        <v>2406</v>
      </c>
      <c r="R9" t="s">
        <v>1128</v>
      </c>
      <c r="S9" s="2">
        <v>44151</v>
      </c>
      <c r="T9" s="2">
        <v>44152</v>
      </c>
      <c r="V9" s="2">
        <v>44155</v>
      </c>
      <c r="Y9" t="s">
        <v>2398</v>
      </c>
      <c r="Z9" t="s">
        <v>2398</v>
      </c>
      <c r="AA9" t="s">
        <v>2398</v>
      </c>
      <c r="AB9" t="s">
        <v>67</v>
      </c>
      <c r="AC9" t="s">
        <v>67</v>
      </c>
      <c r="AD9" t="s">
        <v>67</v>
      </c>
      <c r="AF9" t="s">
        <v>2179</v>
      </c>
      <c r="AG9" t="s">
        <v>2180</v>
      </c>
      <c r="AH9" t="s">
        <v>2179</v>
      </c>
      <c r="AI9" t="s">
        <v>73</v>
      </c>
      <c r="AJ9">
        <v>0</v>
      </c>
      <c r="AK9">
        <v>0</v>
      </c>
      <c r="AL9">
        <v>0</v>
      </c>
      <c r="AM9">
        <v>0</v>
      </c>
      <c r="AN9">
        <v>6</v>
      </c>
      <c r="AO9">
        <v>993</v>
      </c>
      <c r="AP9">
        <v>-1</v>
      </c>
      <c r="AV9">
        <v>-1</v>
      </c>
    </row>
    <row r="10" spans="1:49" x14ac:dyDescent="0.55000000000000004">
      <c r="A10" t="str">
        <f>HYPERLINK("https://www.infodis.net/philips/net/Shipment/Details?InfodisNumber=4559548&amp;DomainCode=DAP", "4559548")</f>
        <v>4559548</v>
      </c>
      <c r="B10" t="s">
        <v>2407</v>
      </c>
      <c r="C10" t="s">
        <v>2408</v>
      </c>
      <c r="D10" t="s">
        <v>2409</v>
      </c>
      <c r="E10" t="s">
        <v>2408</v>
      </c>
      <c r="F10" t="s">
        <v>167</v>
      </c>
      <c r="G10" t="s">
        <v>281</v>
      </c>
      <c r="H10" t="s">
        <v>79</v>
      </c>
      <c r="I10" t="s">
        <v>282</v>
      </c>
      <c r="J10" t="s">
        <v>2405</v>
      </c>
      <c r="K10" t="s">
        <v>171</v>
      </c>
      <c r="L10" t="s">
        <v>172</v>
      </c>
      <c r="M10" t="s">
        <v>1489</v>
      </c>
      <c r="P10" t="s">
        <v>2410</v>
      </c>
      <c r="R10" t="s">
        <v>174</v>
      </c>
      <c r="S10" s="2">
        <v>44152</v>
      </c>
      <c r="T10" s="2">
        <v>44153</v>
      </c>
      <c r="V10" s="2">
        <v>44156</v>
      </c>
      <c r="Y10" t="s">
        <v>2411</v>
      </c>
      <c r="Z10" t="s">
        <v>2411</v>
      </c>
      <c r="AA10" t="s">
        <v>2411</v>
      </c>
      <c r="AB10" t="s">
        <v>67</v>
      </c>
      <c r="AC10" t="s">
        <v>67</v>
      </c>
      <c r="AD10" t="s">
        <v>67</v>
      </c>
      <c r="AF10" t="s">
        <v>2179</v>
      </c>
      <c r="AG10" t="s">
        <v>2180</v>
      </c>
      <c r="AH10" t="s">
        <v>2179</v>
      </c>
      <c r="AI10" t="s">
        <v>73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18.2</v>
      </c>
      <c r="AP10">
        <v>0.307</v>
      </c>
      <c r="AV10">
        <v>-1</v>
      </c>
    </row>
    <row r="11" spans="1:49" x14ac:dyDescent="0.55000000000000004">
      <c r="A11" t="str">
        <f>HYPERLINK("https://www.infodis.net/philips/net/Shipment/Details?InfodisNumber=4559601&amp;DomainCode=DAP", "4559601")</f>
        <v>4559601</v>
      </c>
      <c r="B11" t="s">
        <v>2412</v>
      </c>
      <c r="C11" t="s">
        <v>212</v>
      </c>
      <c r="D11" t="s">
        <v>213</v>
      </c>
      <c r="E11" t="s">
        <v>214</v>
      </c>
      <c r="F11" t="s">
        <v>1078</v>
      </c>
      <c r="G11" t="s">
        <v>216</v>
      </c>
      <c r="H11" t="s">
        <v>55</v>
      </c>
      <c r="I11" t="s">
        <v>2367</v>
      </c>
      <c r="J11" t="s">
        <v>2368</v>
      </c>
      <c r="K11" t="s">
        <v>269</v>
      </c>
      <c r="L11" t="s">
        <v>180</v>
      </c>
      <c r="M11" t="s">
        <v>60</v>
      </c>
      <c r="P11" t="s">
        <v>2369</v>
      </c>
      <c r="Q11" t="s">
        <v>2413</v>
      </c>
      <c r="R11" t="s">
        <v>271</v>
      </c>
      <c r="S11" s="2">
        <v>44152</v>
      </c>
      <c r="T11" s="2">
        <v>44154</v>
      </c>
      <c r="U11" s="2">
        <v>44154</v>
      </c>
      <c r="V11" s="2">
        <v>44157</v>
      </c>
      <c r="Y11" t="s">
        <v>2371</v>
      </c>
      <c r="Z11" t="s">
        <v>2371</v>
      </c>
      <c r="AA11" t="s">
        <v>2371</v>
      </c>
      <c r="AB11" t="s">
        <v>67</v>
      </c>
      <c r="AC11" t="s">
        <v>67</v>
      </c>
      <c r="AD11" t="s">
        <v>67</v>
      </c>
      <c r="AF11" t="s">
        <v>2179</v>
      </c>
      <c r="AG11" t="s">
        <v>2180</v>
      </c>
      <c r="AH11" t="s">
        <v>2179</v>
      </c>
      <c r="AI11" t="s">
        <v>73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266</v>
      </c>
      <c r="AP11">
        <v>2.9039999999999999</v>
      </c>
      <c r="AV11">
        <v>-1</v>
      </c>
    </row>
    <row r="12" spans="1:49" x14ac:dyDescent="0.55000000000000004">
      <c r="A12" t="str">
        <f>HYPERLINK("https://www.infodis.net/philips/net/Shipment/Details?InfodisNumber=4557966&amp;DomainCode=DAP", "4557966")</f>
        <v>4557966</v>
      </c>
      <c r="B12" t="s">
        <v>2414</v>
      </c>
      <c r="C12" t="s">
        <v>212</v>
      </c>
      <c r="D12" t="s">
        <v>213</v>
      </c>
      <c r="E12" t="s">
        <v>214</v>
      </c>
      <c r="F12" t="s">
        <v>1078</v>
      </c>
      <c r="G12" t="s">
        <v>216</v>
      </c>
      <c r="H12" t="s">
        <v>55</v>
      </c>
      <c r="I12" t="s">
        <v>2367</v>
      </c>
      <c r="J12" t="s">
        <v>2368</v>
      </c>
      <c r="K12" t="s">
        <v>269</v>
      </c>
      <c r="L12" t="s">
        <v>180</v>
      </c>
      <c r="M12" t="s">
        <v>60</v>
      </c>
      <c r="P12" t="s">
        <v>2369</v>
      </c>
      <c r="Q12" t="s">
        <v>2415</v>
      </c>
      <c r="R12" t="s">
        <v>271</v>
      </c>
      <c r="S12" s="2">
        <v>44149</v>
      </c>
      <c r="T12" s="2">
        <v>44140</v>
      </c>
      <c r="U12" s="2">
        <v>44140</v>
      </c>
      <c r="V12" s="2">
        <v>44143</v>
      </c>
      <c r="Y12" t="s">
        <v>2371</v>
      </c>
      <c r="Z12" t="s">
        <v>2371</v>
      </c>
      <c r="AA12" t="s">
        <v>2371</v>
      </c>
      <c r="AB12" t="s">
        <v>67</v>
      </c>
      <c r="AC12" t="s">
        <v>67</v>
      </c>
      <c r="AD12" t="s">
        <v>67</v>
      </c>
      <c r="AF12" t="s">
        <v>2179</v>
      </c>
      <c r="AG12" t="s">
        <v>2180</v>
      </c>
      <c r="AH12" t="s">
        <v>2179</v>
      </c>
      <c r="AI12" t="s">
        <v>73</v>
      </c>
      <c r="AJ12">
        <v>0</v>
      </c>
      <c r="AK12">
        <v>0</v>
      </c>
      <c r="AL12">
        <v>0</v>
      </c>
      <c r="AM12">
        <v>0</v>
      </c>
      <c r="AN12">
        <v>8</v>
      </c>
      <c r="AO12">
        <v>1280</v>
      </c>
      <c r="AP12">
        <v>10.176</v>
      </c>
      <c r="AV12">
        <v>-1</v>
      </c>
    </row>
    <row r="13" spans="1:49" x14ac:dyDescent="0.55000000000000004">
      <c r="A13" t="str">
        <f>HYPERLINK("https://www.infodis.net/philips/net/Shipment/Details?InfodisNumber=4563205&amp;DomainCode=DAP", "4563205")</f>
        <v>4563205</v>
      </c>
      <c r="B13" t="s">
        <v>2416</v>
      </c>
      <c r="C13" t="s">
        <v>2067</v>
      </c>
      <c r="D13" t="s">
        <v>2068</v>
      </c>
      <c r="E13" t="s">
        <v>77</v>
      </c>
      <c r="F13" t="s">
        <v>77</v>
      </c>
      <c r="G13" t="s">
        <v>216</v>
      </c>
      <c r="H13" t="s">
        <v>55</v>
      </c>
      <c r="I13" t="s">
        <v>2367</v>
      </c>
      <c r="J13" t="s">
        <v>2141</v>
      </c>
      <c r="K13" t="s">
        <v>82</v>
      </c>
      <c r="L13" t="s">
        <v>83</v>
      </c>
      <c r="M13" t="s">
        <v>1489</v>
      </c>
      <c r="P13" t="s">
        <v>2417</v>
      </c>
      <c r="R13" t="s">
        <v>87</v>
      </c>
      <c r="S13" s="2">
        <v>44155</v>
      </c>
      <c r="T13" s="2">
        <v>44156</v>
      </c>
      <c r="V13" s="2">
        <v>44159</v>
      </c>
      <c r="Y13" t="s">
        <v>2411</v>
      </c>
      <c r="Z13" t="s">
        <v>2411</v>
      </c>
      <c r="AA13" t="s">
        <v>2411</v>
      </c>
      <c r="AB13" t="s">
        <v>67</v>
      </c>
      <c r="AC13" t="s">
        <v>67</v>
      </c>
      <c r="AD13" t="s">
        <v>67</v>
      </c>
      <c r="AF13" t="s">
        <v>2179</v>
      </c>
      <c r="AG13" t="s">
        <v>2180</v>
      </c>
      <c r="AH13" t="s">
        <v>2179</v>
      </c>
      <c r="AI13" t="s">
        <v>73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853</v>
      </c>
      <c r="AP13">
        <v>4.6689999999999996</v>
      </c>
      <c r="AV13">
        <v>-1</v>
      </c>
    </row>
    <row r="14" spans="1:49" x14ac:dyDescent="0.55000000000000004">
      <c r="A14" t="str">
        <f>HYPERLINK("https://www.infodis.net/philips/net/Shipment/Details?InfodisNumber=4563248&amp;DomainCode=DAP", "4563248")</f>
        <v>4563248</v>
      </c>
      <c r="B14" t="s">
        <v>2418</v>
      </c>
      <c r="C14" t="s">
        <v>2393</v>
      </c>
      <c r="D14" t="s">
        <v>2394</v>
      </c>
      <c r="E14" t="s">
        <v>2395</v>
      </c>
      <c r="F14" t="s">
        <v>52</v>
      </c>
      <c r="G14" t="s">
        <v>1223</v>
      </c>
      <c r="H14" t="s">
        <v>79</v>
      </c>
      <c r="I14" t="s">
        <v>2396</v>
      </c>
      <c r="J14" t="s">
        <v>2367</v>
      </c>
      <c r="K14" t="s">
        <v>54</v>
      </c>
      <c r="L14" t="s">
        <v>55</v>
      </c>
      <c r="M14" t="s">
        <v>84</v>
      </c>
      <c r="P14" t="s">
        <v>2397</v>
      </c>
      <c r="R14" t="s">
        <v>63</v>
      </c>
      <c r="S14" s="2">
        <v>44155</v>
      </c>
      <c r="T14" s="2">
        <v>44159</v>
      </c>
      <c r="V14" s="2">
        <v>44164</v>
      </c>
      <c r="Y14" t="s">
        <v>2398</v>
      </c>
      <c r="Z14" t="s">
        <v>2398</v>
      </c>
      <c r="AA14" t="s">
        <v>2398</v>
      </c>
      <c r="AB14" t="s">
        <v>67</v>
      </c>
      <c r="AC14" t="s">
        <v>67</v>
      </c>
      <c r="AD14" t="s">
        <v>67</v>
      </c>
      <c r="AF14" t="s">
        <v>2399</v>
      </c>
      <c r="AG14" t="s">
        <v>2400</v>
      </c>
      <c r="AH14" t="s">
        <v>2399</v>
      </c>
      <c r="AI14" t="s">
        <v>73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286</v>
      </c>
      <c r="AP14">
        <v>-1</v>
      </c>
      <c r="AV14">
        <v>-1</v>
      </c>
    </row>
    <row r="15" spans="1:49" x14ac:dyDescent="0.55000000000000004">
      <c r="A15" t="str">
        <f>HYPERLINK("https://www.infodis.net/philips/net/Shipment/Details?InfodisNumber=4563249&amp;DomainCode=DAP", "4563249")</f>
        <v>4563249</v>
      </c>
      <c r="B15" t="s">
        <v>2419</v>
      </c>
      <c r="C15" t="s">
        <v>2393</v>
      </c>
      <c r="D15" t="s">
        <v>2394</v>
      </c>
      <c r="E15" t="s">
        <v>2395</v>
      </c>
      <c r="F15" t="s">
        <v>52</v>
      </c>
      <c r="G15" t="s">
        <v>1223</v>
      </c>
      <c r="H15" t="s">
        <v>79</v>
      </c>
      <c r="I15" t="s">
        <v>2396</v>
      </c>
      <c r="J15" t="s">
        <v>2367</v>
      </c>
      <c r="K15" t="s">
        <v>1224</v>
      </c>
      <c r="L15" t="s">
        <v>55</v>
      </c>
      <c r="M15" t="s">
        <v>84</v>
      </c>
      <c r="P15" t="s">
        <v>2397</v>
      </c>
      <c r="R15" t="s">
        <v>1227</v>
      </c>
      <c r="S15" s="2">
        <v>44155</v>
      </c>
      <c r="T15" s="2">
        <v>44159</v>
      </c>
      <c r="V15" s="2">
        <v>44164</v>
      </c>
      <c r="Y15" t="s">
        <v>2398</v>
      </c>
      <c r="Z15" t="s">
        <v>2398</v>
      </c>
      <c r="AA15" t="s">
        <v>2398</v>
      </c>
      <c r="AB15" t="s">
        <v>67</v>
      </c>
      <c r="AC15" t="s">
        <v>67</v>
      </c>
      <c r="AD15" t="s">
        <v>67</v>
      </c>
      <c r="AF15" t="s">
        <v>2399</v>
      </c>
      <c r="AG15" t="s">
        <v>2400</v>
      </c>
      <c r="AH15" t="s">
        <v>2399</v>
      </c>
      <c r="AI15" t="s">
        <v>73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572</v>
      </c>
      <c r="AP15">
        <v>-1</v>
      </c>
      <c r="AV15">
        <v>-1</v>
      </c>
    </row>
    <row r="16" spans="1:49" x14ac:dyDescent="0.55000000000000004">
      <c r="A16" t="str">
        <f>HYPERLINK("https://www.infodis.net/philips/net/Shipment/Details?InfodisNumber=4558063&amp;DomainCode=DAP", "4558063")</f>
        <v>4558063</v>
      </c>
      <c r="B16" t="s">
        <v>2420</v>
      </c>
      <c r="C16" t="s">
        <v>2344</v>
      </c>
      <c r="D16" t="s">
        <v>2345</v>
      </c>
      <c r="E16" t="s">
        <v>191</v>
      </c>
      <c r="F16" t="s">
        <v>191</v>
      </c>
      <c r="G16" t="s">
        <v>281</v>
      </c>
      <c r="H16" t="s">
        <v>79</v>
      </c>
      <c r="I16" t="s">
        <v>268</v>
      </c>
      <c r="J16" t="s">
        <v>2341</v>
      </c>
      <c r="K16" t="s">
        <v>219</v>
      </c>
      <c r="L16" t="s">
        <v>180</v>
      </c>
      <c r="M16" t="s">
        <v>84</v>
      </c>
      <c r="P16" t="s">
        <v>286</v>
      </c>
      <c r="R16" t="s">
        <v>223</v>
      </c>
      <c r="S16" s="2">
        <v>44151</v>
      </c>
      <c r="T16" s="2">
        <v>44152</v>
      </c>
      <c r="V16" s="2">
        <v>44155</v>
      </c>
      <c r="Y16" t="s">
        <v>66</v>
      </c>
      <c r="Z16" t="s">
        <v>2371</v>
      </c>
      <c r="AA16" t="s">
        <v>2371</v>
      </c>
      <c r="AB16" t="s">
        <v>68</v>
      </c>
      <c r="AC16" t="s">
        <v>67</v>
      </c>
      <c r="AD16" t="s">
        <v>67</v>
      </c>
      <c r="AF16" t="s">
        <v>2179</v>
      </c>
      <c r="AG16" t="s">
        <v>2180</v>
      </c>
      <c r="AH16" t="s">
        <v>2179</v>
      </c>
      <c r="AI16" t="s">
        <v>73</v>
      </c>
      <c r="AJ16">
        <v>0</v>
      </c>
      <c r="AK16">
        <v>0</v>
      </c>
      <c r="AL16">
        <v>0</v>
      </c>
      <c r="AM16">
        <v>0</v>
      </c>
      <c r="AN16">
        <v>15</v>
      </c>
      <c r="AO16">
        <v>2592</v>
      </c>
      <c r="AP16">
        <v>21.6</v>
      </c>
      <c r="AV16">
        <v>-1</v>
      </c>
    </row>
    <row r="17" spans="1:48" x14ac:dyDescent="0.55000000000000004">
      <c r="A17" t="str">
        <f>HYPERLINK("https://www.infodis.net/philips/net/Shipment/Details?InfodisNumber=6083690&amp;DomainCode=PHILIPSR1", "6083690")</f>
        <v>6083690</v>
      </c>
      <c r="B17" t="s">
        <v>2421</v>
      </c>
      <c r="C17" t="s">
        <v>2373</v>
      </c>
      <c r="D17" t="s">
        <v>2374</v>
      </c>
      <c r="E17" t="s">
        <v>993</v>
      </c>
      <c r="F17" t="s">
        <v>242</v>
      </c>
      <c r="G17" t="s">
        <v>2375</v>
      </c>
      <c r="H17" t="s">
        <v>1203</v>
      </c>
      <c r="I17" t="s">
        <v>2376</v>
      </c>
      <c r="J17" t="s">
        <v>652</v>
      </c>
      <c r="K17" t="s">
        <v>2377</v>
      </c>
      <c r="L17" t="s">
        <v>180</v>
      </c>
      <c r="M17" t="s">
        <v>261</v>
      </c>
      <c r="P17" t="s">
        <v>2378</v>
      </c>
      <c r="R17" t="s">
        <v>2380</v>
      </c>
      <c r="S17" s="2">
        <v>43820</v>
      </c>
      <c r="T17" s="2">
        <v>43821</v>
      </c>
      <c r="U17" s="2">
        <v>43830</v>
      </c>
      <c r="V17" s="2">
        <v>43824</v>
      </c>
      <c r="W17" s="2">
        <v>43831</v>
      </c>
      <c r="Y17" t="s">
        <v>1735</v>
      </c>
      <c r="Z17" t="s">
        <v>1735</v>
      </c>
      <c r="AA17" t="s">
        <v>1735</v>
      </c>
      <c r="AB17" t="s">
        <v>67</v>
      </c>
      <c r="AC17" t="s">
        <v>67</v>
      </c>
      <c r="AD17" t="s">
        <v>67</v>
      </c>
      <c r="AF17" t="s">
        <v>2179</v>
      </c>
      <c r="AG17" t="s">
        <v>2180</v>
      </c>
      <c r="AH17" t="s">
        <v>2179</v>
      </c>
      <c r="AI17" t="s">
        <v>252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132</v>
      </c>
      <c r="AP17">
        <v>0.36899999999999999</v>
      </c>
      <c r="AV17">
        <v>-1</v>
      </c>
    </row>
    <row r="18" spans="1:48" x14ac:dyDescent="0.55000000000000004">
      <c r="A18" t="str">
        <f>HYPERLINK("https://www.infodis.net/philips/net/Shipment/Details?InfodisNumber=4558837&amp;DomainCode=DAP", "4558837")</f>
        <v>4558837</v>
      </c>
      <c r="B18" t="s">
        <v>2422</v>
      </c>
      <c r="C18" t="s">
        <v>212</v>
      </c>
      <c r="D18" t="s">
        <v>213</v>
      </c>
      <c r="E18" t="s">
        <v>214</v>
      </c>
      <c r="F18" t="s">
        <v>2069</v>
      </c>
      <c r="G18" t="s">
        <v>216</v>
      </c>
      <c r="H18" t="s">
        <v>55</v>
      </c>
      <c r="I18" t="s">
        <v>2367</v>
      </c>
      <c r="J18" t="s">
        <v>293</v>
      </c>
      <c r="K18" t="s">
        <v>937</v>
      </c>
      <c r="L18" t="s">
        <v>938</v>
      </c>
      <c r="M18" t="s">
        <v>60</v>
      </c>
      <c r="P18" t="s">
        <v>2369</v>
      </c>
      <c r="Q18" t="s">
        <v>2423</v>
      </c>
      <c r="R18" t="s">
        <v>2424</v>
      </c>
      <c r="S18" s="2">
        <v>44151</v>
      </c>
      <c r="T18" s="2">
        <v>44159</v>
      </c>
      <c r="U18" s="2">
        <v>44159</v>
      </c>
      <c r="V18" s="2">
        <v>44162</v>
      </c>
      <c r="Y18" t="s">
        <v>2398</v>
      </c>
      <c r="Z18" t="s">
        <v>2398</v>
      </c>
      <c r="AA18" t="s">
        <v>2398</v>
      </c>
      <c r="AB18" t="s">
        <v>67</v>
      </c>
      <c r="AC18" t="s">
        <v>67</v>
      </c>
      <c r="AD18" t="s">
        <v>67</v>
      </c>
      <c r="AF18" t="s">
        <v>2179</v>
      </c>
      <c r="AG18" t="s">
        <v>2180</v>
      </c>
      <c r="AH18" t="s">
        <v>2179</v>
      </c>
      <c r="AI18" t="s">
        <v>73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223</v>
      </c>
      <c r="AP18">
        <v>2.0550000000000002</v>
      </c>
      <c r="AV18">
        <v>-1</v>
      </c>
    </row>
    <row r="19" spans="1:48" x14ac:dyDescent="0.55000000000000004">
      <c r="A19" t="str">
        <f>HYPERLINK("https://www.infodis.net/philips/net/Shipment/Details?InfodisNumber=6770699&amp;DomainCode=PHILIPSR1", "6770699")</f>
        <v>6770699</v>
      </c>
      <c r="B19" t="s">
        <v>2425</v>
      </c>
      <c r="C19" t="s">
        <v>2426</v>
      </c>
      <c r="D19" t="s">
        <v>2427</v>
      </c>
      <c r="E19" t="s">
        <v>458</v>
      </c>
      <c r="F19" t="s">
        <v>2428</v>
      </c>
      <c r="G19" t="s">
        <v>2429</v>
      </c>
      <c r="H19" t="s">
        <v>180</v>
      </c>
      <c r="I19" t="s">
        <v>652</v>
      </c>
      <c r="J19" t="s">
        <v>2308</v>
      </c>
      <c r="K19" t="s">
        <v>2430</v>
      </c>
      <c r="L19" t="s">
        <v>2134</v>
      </c>
      <c r="M19" t="s">
        <v>60</v>
      </c>
      <c r="O19" t="s">
        <v>2431</v>
      </c>
      <c r="P19" t="s">
        <v>613</v>
      </c>
      <c r="Q19" t="s">
        <v>2431</v>
      </c>
      <c r="R19" t="s">
        <v>2432</v>
      </c>
      <c r="S19" s="2">
        <v>44078</v>
      </c>
      <c r="T19" s="2">
        <v>44078</v>
      </c>
      <c r="U19" s="2">
        <v>44078</v>
      </c>
      <c r="V19" s="2">
        <v>44081</v>
      </c>
      <c r="Y19" t="s">
        <v>1735</v>
      </c>
      <c r="Z19" t="s">
        <v>1735</v>
      </c>
      <c r="AA19" t="s">
        <v>1735</v>
      </c>
      <c r="AB19" t="s">
        <v>67</v>
      </c>
      <c r="AC19" t="s">
        <v>67</v>
      </c>
      <c r="AD19" t="s">
        <v>67</v>
      </c>
      <c r="AF19" t="s">
        <v>2179</v>
      </c>
      <c r="AG19" t="s">
        <v>2180</v>
      </c>
      <c r="AH19" t="s">
        <v>2179</v>
      </c>
      <c r="AI19" t="s">
        <v>252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11</v>
      </c>
      <c r="AP19">
        <v>0.14000000000000001</v>
      </c>
      <c r="AV19">
        <v>-1</v>
      </c>
    </row>
    <row r="20" spans="1:48" x14ac:dyDescent="0.55000000000000004">
      <c r="A20" t="str">
        <f>HYPERLINK("https://www.infodis.net/philips/net/Shipment/Details?InfodisNumber=1497606&amp;DomainCode=PHILIPSM1", "1497606")</f>
        <v>1497606</v>
      </c>
      <c r="B20" t="s">
        <v>2433</v>
      </c>
      <c r="C20" t="s">
        <v>2080</v>
      </c>
      <c r="D20" t="s">
        <v>2081</v>
      </c>
      <c r="E20" t="s">
        <v>1428</v>
      </c>
      <c r="F20" t="s">
        <v>2434</v>
      </c>
      <c r="G20" t="s">
        <v>1430</v>
      </c>
      <c r="H20" t="s">
        <v>244</v>
      </c>
      <c r="I20" t="s">
        <v>2084</v>
      </c>
      <c r="J20" t="s">
        <v>2435</v>
      </c>
      <c r="K20" t="s">
        <v>58</v>
      </c>
      <c r="L20" t="s">
        <v>59</v>
      </c>
      <c r="M20" t="s">
        <v>60</v>
      </c>
      <c r="P20" t="s">
        <v>1432</v>
      </c>
      <c r="Q20" t="s">
        <v>2436</v>
      </c>
      <c r="R20" t="s">
        <v>64</v>
      </c>
      <c r="S20" s="2">
        <v>44079</v>
      </c>
      <c r="T20" s="2">
        <v>44079</v>
      </c>
      <c r="U20" s="2">
        <v>44079</v>
      </c>
      <c r="V20" s="2">
        <v>44084</v>
      </c>
      <c r="W20" s="2">
        <v>44097</v>
      </c>
      <c r="Y20" t="s">
        <v>2387</v>
      </c>
      <c r="Z20" t="s">
        <v>2387</v>
      </c>
      <c r="AA20" t="s">
        <v>603</v>
      </c>
      <c r="AB20" t="s">
        <v>67</v>
      </c>
      <c r="AC20" t="s">
        <v>67</v>
      </c>
      <c r="AD20" t="s">
        <v>68</v>
      </c>
      <c r="AF20" t="s">
        <v>2399</v>
      </c>
      <c r="AG20" t="s">
        <v>2400</v>
      </c>
      <c r="AH20" t="s">
        <v>2399</v>
      </c>
      <c r="AI20" t="s">
        <v>605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18.5</v>
      </c>
      <c r="AP20">
        <v>0.106</v>
      </c>
      <c r="AV20">
        <v>-1</v>
      </c>
    </row>
    <row r="21" spans="1:48" x14ac:dyDescent="0.55000000000000004">
      <c r="A21" t="str">
        <f>HYPERLINK("https://www.infodis.net/philips/net/Shipment/Details?InfodisNumber=4559278&amp;DomainCode=DAP", "4559278")</f>
        <v>4559278</v>
      </c>
      <c r="B21" t="s">
        <v>2437</v>
      </c>
      <c r="C21" t="s">
        <v>2438</v>
      </c>
      <c r="D21" t="s">
        <v>2439</v>
      </c>
      <c r="E21" t="s">
        <v>2438</v>
      </c>
      <c r="F21" t="s">
        <v>77</v>
      </c>
      <c r="G21" t="s">
        <v>2440</v>
      </c>
      <c r="H21" t="s">
        <v>79</v>
      </c>
      <c r="I21" t="s">
        <v>97</v>
      </c>
      <c r="J21" t="s">
        <v>2141</v>
      </c>
      <c r="K21" t="s">
        <v>82</v>
      </c>
      <c r="L21" t="s">
        <v>83</v>
      </c>
      <c r="M21" t="s">
        <v>84</v>
      </c>
      <c r="P21" t="s">
        <v>2441</v>
      </c>
      <c r="R21" t="s">
        <v>87</v>
      </c>
      <c r="S21" s="2">
        <v>44152</v>
      </c>
      <c r="T21" s="2">
        <v>44156</v>
      </c>
      <c r="V21" s="2">
        <v>44159</v>
      </c>
      <c r="Y21" t="s">
        <v>66</v>
      </c>
      <c r="Z21" t="s">
        <v>2051</v>
      </c>
      <c r="AA21" t="s">
        <v>857</v>
      </c>
      <c r="AB21" t="s">
        <v>68</v>
      </c>
      <c r="AC21" t="s">
        <v>67</v>
      </c>
      <c r="AD21" t="s">
        <v>67</v>
      </c>
      <c r="AF21" t="s">
        <v>2179</v>
      </c>
      <c r="AG21" t="s">
        <v>2180</v>
      </c>
      <c r="AH21" t="s">
        <v>2179</v>
      </c>
      <c r="AI21" t="s">
        <v>73</v>
      </c>
      <c r="AJ21">
        <v>0</v>
      </c>
      <c r="AK21">
        <v>0</v>
      </c>
      <c r="AL21">
        <v>0</v>
      </c>
      <c r="AM21">
        <v>0</v>
      </c>
      <c r="AN21">
        <v>7</v>
      </c>
      <c r="AO21">
        <v>1645.1</v>
      </c>
      <c r="AP21">
        <v>7.2120000000000006</v>
      </c>
      <c r="AV21">
        <v>-1</v>
      </c>
    </row>
    <row r="22" spans="1:48" x14ac:dyDescent="0.55000000000000004">
      <c r="A22" t="str">
        <f>HYPERLINK("https://www.infodis.net/philips/net/Shipment/Details?InfodisNumber=1506042&amp;DomainCode=PHILIPSM1", "1506042")</f>
        <v>1506042</v>
      </c>
      <c r="B22" t="s">
        <v>2442</v>
      </c>
      <c r="C22" t="s">
        <v>2443</v>
      </c>
      <c r="D22" t="s">
        <v>2444</v>
      </c>
      <c r="E22" t="s">
        <v>2443</v>
      </c>
      <c r="F22" t="s">
        <v>2445</v>
      </c>
      <c r="G22" t="s">
        <v>1334</v>
      </c>
      <c r="H22" t="s">
        <v>180</v>
      </c>
      <c r="I22" t="s">
        <v>1333</v>
      </c>
      <c r="J22" t="s">
        <v>2446</v>
      </c>
      <c r="K22" t="s">
        <v>1037</v>
      </c>
      <c r="L22" t="s">
        <v>132</v>
      </c>
      <c r="M22" t="s">
        <v>60</v>
      </c>
      <c r="O22" t="s">
        <v>2447</v>
      </c>
      <c r="P22" t="s">
        <v>1337</v>
      </c>
      <c r="R22" t="s">
        <v>1040</v>
      </c>
      <c r="S22" s="2">
        <v>44089</v>
      </c>
      <c r="T22" s="2">
        <v>44089</v>
      </c>
      <c r="U22" s="2">
        <v>44105</v>
      </c>
      <c r="V22" s="2">
        <v>44094</v>
      </c>
      <c r="W22" s="2">
        <v>44105</v>
      </c>
      <c r="Y22" t="s">
        <v>2359</v>
      </c>
      <c r="Z22" t="s">
        <v>2359</v>
      </c>
      <c r="AA22" t="s">
        <v>603</v>
      </c>
      <c r="AB22" t="s">
        <v>67</v>
      </c>
      <c r="AC22" t="s">
        <v>67</v>
      </c>
      <c r="AD22" t="s">
        <v>67</v>
      </c>
      <c r="AF22" t="s">
        <v>2399</v>
      </c>
      <c r="AG22" t="s">
        <v>2400</v>
      </c>
      <c r="AH22" t="s">
        <v>2399</v>
      </c>
      <c r="AI22" t="s">
        <v>605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2.7E-2</v>
      </c>
      <c r="AV22">
        <v>-1</v>
      </c>
    </row>
    <row r="23" spans="1:48" x14ac:dyDescent="0.55000000000000004">
      <c r="A23" t="str">
        <f>HYPERLINK("https://www.infodis.net/philips/net/Shipment/Details?InfodisNumber=6989637&amp;DomainCode=PHILIPSR1", "6989637")</f>
        <v>6989637</v>
      </c>
      <c r="B23" t="s">
        <v>2448</v>
      </c>
      <c r="C23" t="s">
        <v>2449</v>
      </c>
      <c r="D23" t="s">
        <v>2450</v>
      </c>
      <c r="E23" t="s">
        <v>2451</v>
      </c>
      <c r="F23" t="s">
        <v>2452</v>
      </c>
      <c r="G23" t="s">
        <v>2453</v>
      </c>
      <c r="H23" t="s">
        <v>443</v>
      </c>
      <c r="I23" t="s">
        <v>2454</v>
      </c>
      <c r="J23" t="s">
        <v>2455</v>
      </c>
      <c r="K23" t="s">
        <v>2456</v>
      </c>
      <c r="L23" t="s">
        <v>321</v>
      </c>
      <c r="M23" t="s">
        <v>60</v>
      </c>
      <c r="P23" t="s">
        <v>2457</v>
      </c>
      <c r="Q23" t="s">
        <v>2458</v>
      </c>
      <c r="R23" t="s">
        <v>2459</v>
      </c>
      <c r="S23" s="2">
        <v>44152</v>
      </c>
      <c r="T23" s="2">
        <v>44152</v>
      </c>
      <c r="U23" s="2">
        <v>44152</v>
      </c>
      <c r="V23" s="2">
        <v>44155</v>
      </c>
      <c r="W23" s="2">
        <v>44154</v>
      </c>
      <c r="Y23" t="s">
        <v>1735</v>
      </c>
      <c r="Z23" t="s">
        <v>1735</v>
      </c>
      <c r="AA23" t="s">
        <v>1735</v>
      </c>
      <c r="AB23" t="s">
        <v>67</v>
      </c>
      <c r="AC23" t="s">
        <v>67</v>
      </c>
      <c r="AD23" t="s">
        <v>67</v>
      </c>
      <c r="AF23" t="s">
        <v>2179</v>
      </c>
      <c r="AG23" t="s">
        <v>2180</v>
      </c>
      <c r="AH23" t="s">
        <v>2179</v>
      </c>
      <c r="AI23" t="s">
        <v>252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340</v>
      </c>
      <c r="AP23">
        <v>3.294</v>
      </c>
      <c r="AV23">
        <v>-1</v>
      </c>
    </row>
    <row r="24" spans="1:48" x14ac:dyDescent="0.55000000000000004">
      <c r="A24" t="str">
        <f>HYPERLINK("https://www.infodis.net/philips/net/Shipment/Details?InfodisNumber=1565948&amp;DomainCode=PHILIPSM1", "1565948")</f>
        <v>1565948</v>
      </c>
      <c r="B24" t="s">
        <v>2460</v>
      </c>
      <c r="C24" t="s">
        <v>2461</v>
      </c>
      <c r="D24" t="s">
        <v>2462</v>
      </c>
      <c r="E24" t="s">
        <v>2461</v>
      </c>
      <c r="F24" t="s">
        <v>2463</v>
      </c>
      <c r="G24" t="s">
        <v>601</v>
      </c>
      <c r="H24" t="s">
        <v>180</v>
      </c>
      <c r="I24" t="s">
        <v>2057</v>
      </c>
      <c r="J24" t="s">
        <v>2464</v>
      </c>
      <c r="K24" t="s">
        <v>2465</v>
      </c>
      <c r="L24" t="s">
        <v>79</v>
      </c>
      <c r="M24" t="s">
        <v>60</v>
      </c>
      <c r="P24" t="s">
        <v>602</v>
      </c>
      <c r="R24" t="s">
        <v>2466</v>
      </c>
      <c r="S24" s="2">
        <v>44152</v>
      </c>
      <c r="T24" s="2">
        <v>44152</v>
      </c>
      <c r="V24" s="2">
        <v>44155</v>
      </c>
      <c r="Y24" t="s">
        <v>2387</v>
      </c>
      <c r="Z24" t="s">
        <v>2387</v>
      </c>
      <c r="AA24" t="s">
        <v>2387</v>
      </c>
      <c r="AB24" t="s">
        <v>67</v>
      </c>
      <c r="AC24" t="s">
        <v>67</v>
      </c>
      <c r="AD24" t="s">
        <v>67</v>
      </c>
      <c r="AF24" t="s">
        <v>2179</v>
      </c>
      <c r="AG24" t="s">
        <v>2180</v>
      </c>
      <c r="AH24" t="s">
        <v>2179</v>
      </c>
      <c r="AI24" t="s">
        <v>605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0.65</v>
      </c>
      <c r="AP24">
        <v>2.5000000000000001E-2</v>
      </c>
      <c r="AV24">
        <v>-1</v>
      </c>
    </row>
    <row r="25" spans="1:48" x14ac:dyDescent="0.55000000000000004">
      <c r="A25" t="str">
        <f>HYPERLINK("https://www.infodis.net/philips/net/Shipment/Details?InfodisNumber=1565952&amp;DomainCode=PHILIPSM1", "1565952")</f>
        <v>1565952</v>
      </c>
      <c r="B25" t="s">
        <v>2467</v>
      </c>
      <c r="C25" t="s">
        <v>2080</v>
      </c>
      <c r="D25" t="s">
        <v>2081</v>
      </c>
      <c r="E25" t="s">
        <v>1428</v>
      </c>
      <c r="F25" t="s">
        <v>2468</v>
      </c>
      <c r="G25" t="s">
        <v>1430</v>
      </c>
      <c r="H25" t="s">
        <v>244</v>
      </c>
      <c r="I25" t="s">
        <v>2084</v>
      </c>
      <c r="J25" t="s">
        <v>2057</v>
      </c>
      <c r="K25" t="s">
        <v>601</v>
      </c>
      <c r="L25" t="s">
        <v>180</v>
      </c>
      <c r="M25" t="s">
        <v>60</v>
      </c>
      <c r="P25" t="s">
        <v>1432</v>
      </c>
      <c r="Q25" t="s">
        <v>2469</v>
      </c>
      <c r="R25" t="s">
        <v>602</v>
      </c>
      <c r="S25" s="2">
        <v>44152</v>
      </c>
      <c r="T25" s="2">
        <v>44153</v>
      </c>
      <c r="U25" s="2">
        <v>44153</v>
      </c>
      <c r="V25" s="2">
        <v>44158</v>
      </c>
      <c r="W25" s="2">
        <v>44153</v>
      </c>
      <c r="Y25" t="s">
        <v>2359</v>
      </c>
      <c r="Z25" t="s">
        <v>2359</v>
      </c>
      <c r="AA25" t="s">
        <v>603</v>
      </c>
      <c r="AB25" t="s">
        <v>67</v>
      </c>
      <c r="AC25" t="s">
        <v>67</v>
      </c>
      <c r="AD25" t="s">
        <v>68</v>
      </c>
      <c r="AF25" t="s">
        <v>2399</v>
      </c>
      <c r="AG25" t="s">
        <v>2400</v>
      </c>
      <c r="AH25" t="s">
        <v>2399</v>
      </c>
      <c r="AI25" t="s">
        <v>605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71</v>
      </c>
      <c r="AP25">
        <v>0.48</v>
      </c>
      <c r="AV25">
        <v>-1</v>
      </c>
    </row>
    <row r="26" spans="1:48" x14ac:dyDescent="0.55000000000000004">
      <c r="A26" t="str">
        <f>HYPERLINK("https://www.infodis.net/philips/net/Shipment/Details?InfodisNumber=6990232&amp;DomainCode=PHILIPSR1", "6990232")</f>
        <v>6990232</v>
      </c>
      <c r="B26" t="s">
        <v>2470</v>
      </c>
      <c r="C26" t="s">
        <v>2471</v>
      </c>
      <c r="D26" t="s">
        <v>2472</v>
      </c>
      <c r="E26" t="s">
        <v>458</v>
      </c>
      <c r="F26" t="s">
        <v>2473</v>
      </c>
      <c r="G26" t="s">
        <v>2429</v>
      </c>
      <c r="H26" t="s">
        <v>180</v>
      </c>
      <c r="I26" t="s">
        <v>652</v>
      </c>
      <c r="J26" t="s">
        <v>2396</v>
      </c>
      <c r="K26" t="s">
        <v>433</v>
      </c>
      <c r="L26" t="s">
        <v>79</v>
      </c>
      <c r="M26" t="s">
        <v>60</v>
      </c>
      <c r="P26" t="s">
        <v>613</v>
      </c>
      <c r="Q26" t="s">
        <v>2474</v>
      </c>
      <c r="R26" t="s">
        <v>2475</v>
      </c>
      <c r="S26" s="2">
        <v>44152</v>
      </c>
      <c r="T26" s="2">
        <v>44153</v>
      </c>
      <c r="U26" s="2">
        <v>44153</v>
      </c>
      <c r="V26" s="2">
        <v>44156</v>
      </c>
      <c r="Y26" t="s">
        <v>2476</v>
      </c>
      <c r="Z26" t="s">
        <v>2476</v>
      </c>
      <c r="AA26" t="s">
        <v>2476</v>
      </c>
      <c r="AB26" t="s">
        <v>67</v>
      </c>
      <c r="AC26" t="s">
        <v>67</v>
      </c>
      <c r="AD26" t="s">
        <v>67</v>
      </c>
      <c r="AF26" t="s">
        <v>2179</v>
      </c>
      <c r="AG26" t="s">
        <v>2180</v>
      </c>
      <c r="AH26" t="s">
        <v>2179</v>
      </c>
      <c r="AI26" t="s">
        <v>252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4.99</v>
      </c>
      <c r="AP26">
        <v>4.0999999999999988E-2</v>
      </c>
      <c r="AV26">
        <v>-1</v>
      </c>
    </row>
    <row r="27" spans="1:48" x14ac:dyDescent="0.55000000000000004">
      <c r="A27" t="str">
        <f>HYPERLINK("https://www.infodis.net/philips/net/Shipment/Details?InfodisNumber=6990210&amp;DomainCode=PHILIPSR1", "6990210")</f>
        <v>6990210</v>
      </c>
      <c r="B27" t="s">
        <v>2477</v>
      </c>
      <c r="C27" t="s">
        <v>2471</v>
      </c>
      <c r="D27" t="s">
        <v>2472</v>
      </c>
      <c r="E27" t="s">
        <v>458</v>
      </c>
      <c r="F27" t="s">
        <v>2473</v>
      </c>
      <c r="G27" t="s">
        <v>2429</v>
      </c>
      <c r="H27" t="s">
        <v>180</v>
      </c>
      <c r="I27" t="s">
        <v>652</v>
      </c>
      <c r="J27" t="s">
        <v>2396</v>
      </c>
      <c r="K27" t="s">
        <v>433</v>
      </c>
      <c r="L27" t="s">
        <v>79</v>
      </c>
      <c r="M27" t="s">
        <v>60</v>
      </c>
      <c r="P27" t="s">
        <v>613</v>
      </c>
      <c r="Q27" t="s">
        <v>2478</v>
      </c>
      <c r="R27" t="s">
        <v>2475</v>
      </c>
      <c r="S27" s="2">
        <v>44152</v>
      </c>
      <c r="T27" s="2">
        <v>44153</v>
      </c>
      <c r="U27" s="2">
        <v>44153</v>
      </c>
      <c r="V27" s="2">
        <v>44156</v>
      </c>
      <c r="Y27" t="s">
        <v>2476</v>
      </c>
      <c r="Z27" t="s">
        <v>2476</v>
      </c>
      <c r="AA27" t="s">
        <v>2476</v>
      </c>
      <c r="AB27" t="s">
        <v>67</v>
      </c>
      <c r="AC27" t="s">
        <v>67</v>
      </c>
      <c r="AD27" t="s">
        <v>67</v>
      </c>
      <c r="AF27" t="s">
        <v>2179</v>
      </c>
      <c r="AG27" t="s">
        <v>2180</v>
      </c>
      <c r="AH27" t="s">
        <v>2179</v>
      </c>
      <c r="AI27" t="s">
        <v>252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2.27</v>
      </c>
      <c r="AP27">
        <v>1.9E-2</v>
      </c>
      <c r="AV27">
        <v>-1</v>
      </c>
    </row>
    <row r="28" spans="1:48" x14ac:dyDescent="0.55000000000000004">
      <c r="A28" t="str">
        <f>HYPERLINK("https://www.infodis.net/philips/net/Shipment/Details?InfodisNumber=6990241&amp;DomainCode=PHILIPSR1", "6990241")</f>
        <v>6990241</v>
      </c>
      <c r="B28" t="s">
        <v>2479</v>
      </c>
      <c r="C28" t="s">
        <v>2243</v>
      </c>
      <c r="D28" t="s">
        <v>2244</v>
      </c>
      <c r="E28" t="s">
        <v>1067</v>
      </c>
      <c r="F28" t="s">
        <v>2480</v>
      </c>
      <c r="G28" t="s">
        <v>1069</v>
      </c>
      <c r="H28" t="s">
        <v>180</v>
      </c>
      <c r="I28" t="s">
        <v>1070</v>
      </c>
      <c r="J28" t="s">
        <v>2481</v>
      </c>
      <c r="K28" t="s">
        <v>2482</v>
      </c>
      <c r="L28" t="s">
        <v>230</v>
      </c>
      <c r="M28" t="s">
        <v>60</v>
      </c>
      <c r="P28" t="s">
        <v>1072</v>
      </c>
      <c r="R28" t="s">
        <v>2483</v>
      </c>
      <c r="S28" s="2">
        <v>44152</v>
      </c>
      <c r="T28" s="2">
        <v>44153</v>
      </c>
      <c r="U28" s="2">
        <v>44153</v>
      </c>
      <c r="V28" s="2">
        <v>44156</v>
      </c>
      <c r="Y28" t="s">
        <v>2476</v>
      </c>
      <c r="Z28" t="s">
        <v>2476</v>
      </c>
      <c r="AA28" t="s">
        <v>2476</v>
      </c>
      <c r="AB28" t="s">
        <v>67</v>
      </c>
      <c r="AC28" t="s">
        <v>67</v>
      </c>
      <c r="AD28" t="s">
        <v>67</v>
      </c>
      <c r="AF28" t="s">
        <v>2179</v>
      </c>
      <c r="AG28" t="s">
        <v>2180</v>
      </c>
      <c r="AH28" t="s">
        <v>2179</v>
      </c>
      <c r="AI28" t="s">
        <v>252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244.94</v>
      </c>
      <c r="AP28">
        <v>2.5489999999999999</v>
      </c>
      <c r="AV28">
        <v>-1</v>
      </c>
    </row>
    <row r="29" spans="1:48" x14ac:dyDescent="0.55000000000000004">
      <c r="A29" t="str">
        <f>HYPERLINK("https://www.infodis.net/philips/net/Shipment/Details?InfodisNumber=4558972&amp;DomainCode=DAP", "4558972")</f>
        <v>4558972</v>
      </c>
      <c r="B29" t="s">
        <v>2484</v>
      </c>
      <c r="C29" t="s">
        <v>2344</v>
      </c>
      <c r="D29" t="s">
        <v>2345</v>
      </c>
      <c r="E29" t="s">
        <v>191</v>
      </c>
      <c r="F29" t="s">
        <v>191</v>
      </c>
      <c r="G29" t="s">
        <v>281</v>
      </c>
      <c r="H29" t="s">
        <v>79</v>
      </c>
      <c r="I29" t="s">
        <v>282</v>
      </c>
      <c r="J29" t="s">
        <v>194</v>
      </c>
      <c r="K29" t="s">
        <v>269</v>
      </c>
      <c r="L29" t="s">
        <v>180</v>
      </c>
      <c r="M29" t="s">
        <v>84</v>
      </c>
      <c r="P29" t="s">
        <v>286</v>
      </c>
      <c r="Q29" t="s">
        <v>2485</v>
      </c>
      <c r="R29" t="s">
        <v>271</v>
      </c>
      <c r="S29" s="2">
        <v>44152</v>
      </c>
      <c r="T29" s="2">
        <v>44153</v>
      </c>
      <c r="V29" s="2">
        <v>44156</v>
      </c>
      <c r="W29" s="2">
        <v>44157</v>
      </c>
      <c r="Y29" t="s">
        <v>66</v>
      </c>
      <c r="Z29" t="s">
        <v>1735</v>
      </c>
      <c r="AA29" t="s">
        <v>1735</v>
      </c>
      <c r="AB29" t="s">
        <v>68</v>
      </c>
      <c r="AC29" t="s">
        <v>67</v>
      </c>
      <c r="AD29" t="s">
        <v>67</v>
      </c>
      <c r="AF29" t="s">
        <v>2179</v>
      </c>
      <c r="AG29" t="s">
        <v>2180</v>
      </c>
      <c r="AH29" t="s">
        <v>2179</v>
      </c>
      <c r="AI29" t="s">
        <v>73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1943</v>
      </c>
      <c r="AP29">
        <v>14.628</v>
      </c>
      <c r="AV29">
        <v>-1</v>
      </c>
    </row>
    <row r="30" spans="1:48" x14ac:dyDescent="0.55000000000000004">
      <c r="A30" t="str">
        <f>HYPERLINK("https://www.infodis.net/philips/net/Shipment/Details?InfodisNumber=6985606&amp;DomainCode=PHILIPSR1", "6985606")</f>
        <v>6985606</v>
      </c>
      <c r="B30" t="s">
        <v>2486</v>
      </c>
      <c r="C30" t="s">
        <v>2449</v>
      </c>
      <c r="D30" t="s">
        <v>2450</v>
      </c>
      <c r="E30" t="s">
        <v>2451</v>
      </c>
      <c r="F30" t="s">
        <v>2452</v>
      </c>
      <c r="G30" t="s">
        <v>2453</v>
      </c>
      <c r="H30" t="s">
        <v>443</v>
      </c>
      <c r="I30" t="s">
        <v>2454</v>
      </c>
      <c r="J30" t="s">
        <v>2455</v>
      </c>
      <c r="K30" t="s">
        <v>2456</v>
      </c>
      <c r="L30" t="s">
        <v>321</v>
      </c>
      <c r="M30" t="s">
        <v>60</v>
      </c>
      <c r="P30" t="s">
        <v>2457</v>
      </c>
      <c r="R30" t="s">
        <v>2459</v>
      </c>
      <c r="S30" s="2">
        <v>44151</v>
      </c>
      <c r="T30" s="2">
        <v>44151</v>
      </c>
      <c r="V30" s="2">
        <v>44154</v>
      </c>
      <c r="Y30" t="s">
        <v>1735</v>
      </c>
      <c r="Z30" t="s">
        <v>1735</v>
      </c>
      <c r="AA30" t="s">
        <v>1735</v>
      </c>
      <c r="AB30" t="s">
        <v>67</v>
      </c>
      <c r="AC30" t="s">
        <v>67</v>
      </c>
      <c r="AD30" t="s">
        <v>67</v>
      </c>
      <c r="AF30" t="s">
        <v>2179</v>
      </c>
      <c r="AG30" t="s">
        <v>2180</v>
      </c>
      <c r="AH30" t="s">
        <v>2179</v>
      </c>
      <c r="AI30" t="s">
        <v>252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160</v>
      </c>
      <c r="AP30">
        <v>2.9460000000000002</v>
      </c>
      <c r="AV30">
        <v>-1</v>
      </c>
    </row>
    <row r="31" spans="1:48" x14ac:dyDescent="0.55000000000000004">
      <c r="A31" t="str">
        <f>HYPERLINK("https://www.infodis.net/philips/net/Shipment/Details?InfodisNumber=6985034&amp;DomainCode=PHILIPSR1", "6985034")</f>
        <v>6985034</v>
      </c>
      <c r="B31" t="s">
        <v>2487</v>
      </c>
      <c r="C31" t="s">
        <v>2449</v>
      </c>
      <c r="D31" t="s">
        <v>2450</v>
      </c>
      <c r="E31" t="s">
        <v>2451</v>
      </c>
      <c r="F31" t="s">
        <v>2452</v>
      </c>
      <c r="G31" t="s">
        <v>2453</v>
      </c>
      <c r="H31" t="s">
        <v>443</v>
      </c>
      <c r="I31" t="s">
        <v>2454</v>
      </c>
      <c r="J31" t="s">
        <v>2455</v>
      </c>
      <c r="K31" t="s">
        <v>2456</v>
      </c>
      <c r="L31" t="s">
        <v>321</v>
      </c>
      <c r="M31" t="s">
        <v>60</v>
      </c>
      <c r="P31" t="s">
        <v>2457</v>
      </c>
      <c r="R31" t="s">
        <v>2459</v>
      </c>
      <c r="S31" s="2">
        <v>44151</v>
      </c>
      <c r="T31" s="2">
        <v>44151</v>
      </c>
      <c r="V31" s="2">
        <v>44154</v>
      </c>
      <c r="Y31" t="s">
        <v>1735</v>
      </c>
      <c r="Z31" t="s">
        <v>1735</v>
      </c>
      <c r="AA31" t="s">
        <v>1735</v>
      </c>
      <c r="AB31" t="s">
        <v>67</v>
      </c>
      <c r="AC31" t="s">
        <v>67</v>
      </c>
      <c r="AD31" t="s">
        <v>67</v>
      </c>
      <c r="AF31" t="s">
        <v>2179</v>
      </c>
      <c r="AG31" t="s">
        <v>2180</v>
      </c>
      <c r="AH31" t="s">
        <v>2179</v>
      </c>
      <c r="AI31" t="s">
        <v>252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160</v>
      </c>
      <c r="AP31">
        <v>2.8570000000000002</v>
      </c>
      <c r="AV31">
        <v>-1</v>
      </c>
    </row>
    <row r="32" spans="1:48" x14ac:dyDescent="0.55000000000000004">
      <c r="A32" t="str">
        <f>HYPERLINK("https://www.infodis.net/philips/net/Shipment/Details?InfodisNumber=4559638&amp;DomainCode=DAP", "4559638")</f>
        <v>4559638</v>
      </c>
      <c r="B32" t="s">
        <v>2488</v>
      </c>
      <c r="C32" t="s">
        <v>212</v>
      </c>
      <c r="D32" t="s">
        <v>213</v>
      </c>
      <c r="E32" t="s">
        <v>214</v>
      </c>
      <c r="F32" t="s">
        <v>1078</v>
      </c>
      <c r="G32" t="s">
        <v>216</v>
      </c>
      <c r="H32" t="s">
        <v>55</v>
      </c>
      <c r="I32" t="s">
        <v>2367</v>
      </c>
      <c r="J32" t="s">
        <v>2368</v>
      </c>
      <c r="K32" t="s">
        <v>269</v>
      </c>
      <c r="L32" t="s">
        <v>180</v>
      </c>
      <c r="M32" t="s">
        <v>60</v>
      </c>
      <c r="P32" t="s">
        <v>2369</v>
      </c>
      <c r="Q32" t="s">
        <v>2489</v>
      </c>
      <c r="R32" t="s">
        <v>271</v>
      </c>
      <c r="S32" s="2">
        <v>44152</v>
      </c>
      <c r="T32" s="2">
        <v>44154</v>
      </c>
      <c r="U32" s="2">
        <v>44154</v>
      </c>
      <c r="V32" s="2">
        <v>44157</v>
      </c>
      <c r="Y32" t="s">
        <v>2371</v>
      </c>
      <c r="Z32" t="s">
        <v>2371</v>
      </c>
      <c r="AA32" t="s">
        <v>2371</v>
      </c>
      <c r="AB32" t="s">
        <v>67</v>
      </c>
      <c r="AC32" t="s">
        <v>67</v>
      </c>
      <c r="AD32" t="s">
        <v>67</v>
      </c>
      <c r="AF32" t="s">
        <v>2179</v>
      </c>
      <c r="AG32" t="s">
        <v>2180</v>
      </c>
      <c r="AH32" t="s">
        <v>2179</v>
      </c>
      <c r="AI32" t="s">
        <v>73</v>
      </c>
      <c r="AJ32">
        <v>0</v>
      </c>
      <c r="AK32">
        <v>0</v>
      </c>
      <c r="AL32">
        <v>0</v>
      </c>
      <c r="AM32">
        <v>0</v>
      </c>
      <c r="AN32">
        <v>6</v>
      </c>
      <c r="AO32">
        <v>972</v>
      </c>
      <c r="AP32">
        <v>7.6320000000000006</v>
      </c>
      <c r="AV32">
        <v>-1</v>
      </c>
    </row>
    <row r="33" spans="1:48" x14ac:dyDescent="0.55000000000000004">
      <c r="A33" t="str">
        <f>HYPERLINK("https://www.infodis.net/philips/net/Shipment/Details?InfodisNumber=1566000&amp;DomainCode=PHILIPSM1", "1566000")</f>
        <v>1566000</v>
      </c>
      <c r="B33" t="s">
        <v>2490</v>
      </c>
      <c r="C33" t="s">
        <v>2491</v>
      </c>
      <c r="D33" t="s">
        <v>2492</v>
      </c>
      <c r="E33" t="s">
        <v>2491</v>
      </c>
      <c r="F33" t="s">
        <v>2493</v>
      </c>
      <c r="G33" t="s">
        <v>1431</v>
      </c>
      <c r="H33" t="s">
        <v>180</v>
      </c>
      <c r="I33" t="s">
        <v>2494</v>
      </c>
      <c r="J33" t="s">
        <v>2495</v>
      </c>
      <c r="K33" t="s">
        <v>2496</v>
      </c>
      <c r="L33" t="s">
        <v>73</v>
      </c>
      <c r="M33" t="s">
        <v>60</v>
      </c>
      <c r="P33" t="s">
        <v>1434</v>
      </c>
      <c r="Q33" t="s">
        <v>2497</v>
      </c>
      <c r="R33" t="s">
        <v>2498</v>
      </c>
      <c r="S33" s="2">
        <v>44152</v>
      </c>
      <c r="T33" s="2">
        <v>44153</v>
      </c>
      <c r="U33" s="2">
        <v>44153</v>
      </c>
      <c r="V33" s="2">
        <v>44153</v>
      </c>
      <c r="Y33" t="s">
        <v>2387</v>
      </c>
      <c r="Z33" t="s">
        <v>2387</v>
      </c>
      <c r="AA33" t="s">
        <v>603</v>
      </c>
      <c r="AB33" t="s">
        <v>67</v>
      </c>
      <c r="AC33" t="s">
        <v>67</v>
      </c>
      <c r="AD33" t="s">
        <v>68</v>
      </c>
      <c r="AF33" t="s">
        <v>2499</v>
      </c>
      <c r="AG33" t="s">
        <v>2500</v>
      </c>
      <c r="AH33" t="s">
        <v>2499</v>
      </c>
      <c r="AI33" t="s">
        <v>605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941.6</v>
      </c>
      <c r="AP33">
        <v>20.289000000000001</v>
      </c>
      <c r="AV33">
        <v>-1</v>
      </c>
    </row>
    <row r="34" spans="1:48" x14ac:dyDescent="0.55000000000000004">
      <c r="A34" t="str">
        <f>HYPERLINK("https://www.infodis.net/philips/net/Shipment/Details?InfodisNumber=4526438&amp;DomainCode=DAP", "4526438")</f>
        <v>4526438</v>
      </c>
      <c r="B34" t="s">
        <v>2501</v>
      </c>
      <c r="C34" t="s">
        <v>2502</v>
      </c>
      <c r="D34" t="s">
        <v>2503</v>
      </c>
      <c r="E34" t="s">
        <v>2504</v>
      </c>
      <c r="F34" t="s">
        <v>2505</v>
      </c>
      <c r="G34" t="s">
        <v>1179</v>
      </c>
      <c r="H34" t="s">
        <v>180</v>
      </c>
      <c r="I34" t="s">
        <v>194</v>
      </c>
      <c r="J34" t="s">
        <v>2506</v>
      </c>
      <c r="K34" t="s">
        <v>2507</v>
      </c>
      <c r="L34" t="s">
        <v>772</v>
      </c>
      <c r="M34" t="s">
        <v>60</v>
      </c>
      <c r="P34" t="s">
        <v>1181</v>
      </c>
      <c r="Q34" t="s">
        <v>2508</v>
      </c>
      <c r="R34" t="s">
        <v>2509</v>
      </c>
      <c r="S34" s="2">
        <v>44105</v>
      </c>
      <c r="T34" s="2">
        <v>44105</v>
      </c>
      <c r="U34" s="2">
        <v>44104</v>
      </c>
      <c r="V34" s="2">
        <v>44110</v>
      </c>
      <c r="W34" s="2">
        <v>44111</v>
      </c>
      <c r="X34" s="2">
        <v>44116</v>
      </c>
      <c r="Y34" t="s">
        <v>1735</v>
      </c>
      <c r="Z34" t="s">
        <v>1735</v>
      </c>
      <c r="AA34" t="s">
        <v>1735</v>
      </c>
      <c r="AB34" t="s">
        <v>67</v>
      </c>
      <c r="AC34" t="s">
        <v>67</v>
      </c>
      <c r="AD34" t="s">
        <v>67</v>
      </c>
      <c r="AF34" t="s">
        <v>2399</v>
      </c>
      <c r="AG34" t="s">
        <v>2400</v>
      </c>
      <c r="AH34" t="s">
        <v>2399</v>
      </c>
      <c r="AI34" t="s">
        <v>73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182.5</v>
      </c>
      <c r="AP34">
        <v>1.4790000000000001</v>
      </c>
      <c r="AV34">
        <v>-1</v>
      </c>
    </row>
    <row r="35" spans="1:48" x14ac:dyDescent="0.55000000000000004">
      <c r="A35" t="str">
        <f>HYPERLINK("https://www.infodis.net/philips/net/Shipment/Details?InfodisNumber=4560468&amp;DomainCode=DAP", "4560468")</f>
        <v>4560468</v>
      </c>
      <c r="B35" t="s">
        <v>2510</v>
      </c>
      <c r="C35" t="s">
        <v>212</v>
      </c>
      <c r="D35" t="s">
        <v>213</v>
      </c>
      <c r="E35" t="s">
        <v>214</v>
      </c>
      <c r="F35" t="s">
        <v>1078</v>
      </c>
      <c r="G35" t="s">
        <v>216</v>
      </c>
      <c r="H35" t="s">
        <v>55</v>
      </c>
      <c r="I35" t="s">
        <v>2367</v>
      </c>
      <c r="J35" t="s">
        <v>2368</v>
      </c>
      <c r="K35" t="s">
        <v>269</v>
      </c>
      <c r="L35" t="s">
        <v>180</v>
      </c>
      <c r="M35" t="s">
        <v>60</v>
      </c>
      <c r="P35" t="s">
        <v>2369</v>
      </c>
      <c r="Q35" t="s">
        <v>2511</v>
      </c>
      <c r="R35" t="s">
        <v>271</v>
      </c>
      <c r="S35" s="2">
        <v>44153</v>
      </c>
      <c r="T35" s="2">
        <v>44154</v>
      </c>
      <c r="U35" s="2">
        <v>44154</v>
      </c>
      <c r="V35" s="2">
        <v>44157</v>
      </c>
      <c r="Y35" t="s">
        <v>2371</v>
      </c>
      <c r="Z35" t="s">
        <v>2371</v>
      </c>
      <c r="AA35" t="s">
        <v>2371</v>
      </c>
      <c r="AB35" t="s">
        <v>67</v>
      </c>
      <c r="AC35" t="s">
        <v>67</v>
      </c>
      <c r="AD35" t="s">
        <v>67</v>
      </c>
      <c r="AF35" t="s">
        <v>2179</v>
      </c>
      <c r="AG35" t="s">
        <v>2180</v>
      </c>
      <c r="AH35" t="s">
        <v>2179</v>
      </c>
      <c r="AI35" t="s">
        <v>73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984</v>
      </c>
      <c r="AP35">
        <v>7.6320000000000006</v>
      </c>
      <c r="AV35">
        <v>-1</v>
      </c>
    </row>
    <row r="36" spans="1:48" x14ac:dyDescent="0.55000000000000004">
      <c r="A36" t="str">
        <f>HYPERLINK("https://www.infodis.net/philips/net/Shipment/Details?InfodisNumber=6992997&amp;DomainCode=PHILIPSR1", "6992997")</f>
        <v>6992997</v>
      </c>
      <c r="B36" t="s">
        <v>2512</v>
      </c>
      <c r="C36" t="s">
        <v>2426</v>
      </c>
      <c r="D36" t="s">
        <v>2427</v>
      </c>
      <c r="E36" t="s">
        <v>458</v>
      </c>
      <c r="F36" t="s">
        <v>2513</v>
      </c>
      <c r="G36" t="s">
        <v>2429</v>
      </c>
      <c r="H36" t="s">
        <v>180</v>
      </c>
      <c r="I36" t="s">
        <v>652</v>
      </c>
      <c r="J36" t="s">
        <v>2396</v>
      </c>
      <c r="K36" t="s">
        <v>433</v>
      </c>
      <c r="L36" t="s">
        <v>79</v>
      </c>
      <c r="M36" t="s">
        <v>60</v>
      </c>
      <c r="P36" t="s">
        <v>613</v>
      </c>
      <c r="Q36" t="s">
        <v>2514</v>
      </c>
      <c r="R36" t="s">
        <v>2475</v>
      </c>
      <c r="S36" s="2">
        <v>44153</v>
      </c>
      <c r="T36" s="2">
        <v>44154</v>
      </c>
      <c r="U36" s="2">
        <v>44153</v>
      </c>
      <c r="V36" s="2">
        <v>44157</v>
      </c>
      <c r="Y36" t="s">
        <v>2476</v>
      </c>
      <c r="Z36" t="s">
        <v>2476</v>
      </c>
      <c r="AA36" t="s">
        <v>2476</v>
      </c>
      <c r="AB36" t="s">
        <v>67</v>
      </c>
      <c r="AC36" t="s">
        <v>67</v>
      </c>
      <c r="AD36" t="s">
        <v>67</v>
      </c>
      <c r="AF36" t="s">
        <v>2179</v>
      </c>
      <c r="AG36" t="s">
        <v>2180</v>
      </c>
      <c r="AH36" t="s">
        <v>2179</v>
      </c>
      <c r="AI36" t="s">
        <v>252</v>
      </c>
      <c r="AJ36">
        <v>0</v>
      </c>
      <c r="AK36">
        <v>0</v>
      </c>
      <c r="AL36">
        <v>0</v>
      </c>
      <c r="AM36">
        <v>0</v>
      </c>
      <c r="AN36">
        <v>7</v>
      </c>
      <c r="AO36">
        <v>1120.83</v>
      </c>
      <c r="AP36">
        <v>11.295</v>
      </c>
      <c r="AV36">
        <v>-1</v>
      </c>
    </row>
    <row r="37" spans="1:48" x14ac:dyDescent="0.55000000000000004">
      <c r="A37" t="str">
        <f>HYPERLINK("https://www.infodis.net/philips/net/Shipment/Details?InfodisNumber=1569802&amp;DomainCode=PHILIPSM1", "1569802")</f>
        <v>1569802</v>
      </c>
      <c r="B37" t="s">
        <v>2515</v>
      </c>
      <c r="C37" t="s">
        <v>2080</v>
      </c>
      <c r="D37" t="s">
        <v>2081</v>
      </c>
      <c r="E37" t="s">
        <v>2089</v>
      </c>
      <c r="F37" t="s">
        <v>2516</v>
      </c>
      <c r="G37" t="s">
        <v>1430</v>
      </c>
      <c r="H37" t="s">
        <v>244</v>
      </c>
      <c r="I37" t="s">
        <v>2084</v>
      </c>
      <c r="J37" t="s">
        <v>293</v>
      </c>
      <c r="K37" t="s">
        <v>937</v>
      </c>
      <c r="L37" t="s">
        <v>938</v>
      </c>
      <c r="M37" t="s">
        <v>84</v>
      </c>
      <c r="P37" t="s">
        <v>1432</v>
      </c>
      <c r="R37" t="s">
        <v>2517</v>
      </c>
      <c r="S37" s="2">
        <v>44153</v>
      </c>
      <c r="T37" s="2">
        <v>44154</v>
      </c>
      <c r="V37" s="2">
        <v>44154</v>
      </c>
      <c r="Y37" t="s">
        <v>2518</v>
      </c>
      <c r="Z37" t="s">
        <v>2518</v>
      </c>
      <c r="AA37" t="s">
        <v>603</v>
      </c>
      <c r="AB37" t="s">
        <v>67</v>
      </c>
      <c r="AC37" t="s">
        <v>67</v>
      </c>
      <c r="AD37" t="s">
        <v>68</v>
      </c>
      <c r="AF37" t="s">
        <v>2388</v>
      </c>
      <c r="AG37" t="s">
        <v>2389</v>
      </c>
      <c r="AH37" t="s">
        <v>2388</v>
      </c>
      <c r="AI37" t="s">
        <v>605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</v>
      </c>
      <c r="AP37">
        <v>0</v>
      </c>
      <c r="AV37">
        <v>-1</v>
      </c>
    </row>
    <row r="38" spans="1:48" x14ac:dyDescent="0.55000000000000004">
      <c r="A38" t="str">
        <f>HYPERLINK("https://www.infodis.net/philips/net/Shipment/Details?InfodisNumber=1570089&amp;DomainCode=PHILIPSM1", "1570089")</f>
        <v>1570089</v>
      </c>
      <c r="B38" t="s">
        <v>2519</v>
      </c>
      <c r="C38" t="s">
        <v>2080</v>
      </c>
      <c r="D38" t="s">
        <v>2081</v>
      </c>
      <c r="E38" t="s">
        <v>2089</v>
      </c>
      <c r="F38" t="s">
        <v>2516</v>
      </c>
      <c r="G38" t="s">
        <v>1430</v>
      </c>
      <c r="H38" t="s">
        <v>244</v>
      </c>
      <c r="I38" t="s">
        <v>2084</v>
      </c>
      <c r="J38" t="s">
        <v>293</v>
      </c>
      <c r="K38" t="s">
        <v>937</v>
      </c>
      <c r="L38" t="s">
        <v>938</v>
      </c>
      <c r="M38" t="s">
        <v>84</v>
      </c>
      <c r="P38" t="s">
        <v>1432</v>
      </c>
      <c r="R38" t="s">
        <v>2517</v>
      </c>
      <c r="S38" s="2">
        <v>44153</v>
      </c>
      <c r="T38" s="2">
        <v>44154</v>
      </c>
      <c r="V38" s="2">
        <v>44154</v>
      </c>
      <c r="Y38" t="s">
        <v>2518</v>
      </c>
      <c r="Z38" t="s">
        <v>2518</v>
      </c>
      <c r="AA38" t="s">
        <v>603</v>
      </c>
      <c r="AB38" t="s">
        <v>67</v>
      </c>
      <c r="AC38" t="s">
        <v>67</v>
      </c>
      <c r="AD38" t="s">
        <v>68</v>
      </c>
      <c r="AF38" t="s">
        <v>2388</v>
      </c>
      <c r="AG38" t="s">
        <v>2389</v>
      </c>
      <c r="AH38" t="s">
        <v>2388</v>
      </c>
      <c r="AI38" t="s">
        <v>605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24</v>
      </c>
      <c r="AP38">
        <v>0</v>
      </c>
      <c r="AV38">
        <v>-1</v>
      </c>
    </row>
    <row r="39" spans="1:48" x14ac:dyDescent="0.55000000000000004">
      <c r="A39" t="str">
        <f>HYPERLINK("https://www.infodis.net/philips/net/Shipment/Details?InfodisNumber=1570087&amp;DomainCode=PHILIPSM1", "1570087")</f>
        <v>1570087</v>
      </c>
      <c r="B39" t="s">
        <v>2520</v>
      </c>
      <c r="C39" t="s">
        <v>2080</v>
      </c>
      <c r="D39" t="s">
        <v>2081</v>
      </c>
      <c r="E39" t="s">
        <v>2089</v>
      </c>
      <c r="F39" t="s">
        <v>2516</v>
      </c>
      <c r="G39" t="s">
        <v>1430</v>
      </c>
      <c r="H39" t="s">
        <v>244</v>
      </c>
      <c r="I39" t="s">
        <v>2084</v>
      </c>
      <c r="J39" t="s">
        <v>293</v>
      </c>
      <c r="K39" t="s">
        <v>937</v>
      </c>
      <c r="L39" t="s">
        <v>938</v>
      </c>
      <c r="M39" t="s">
        <v>84</v>
      </c>
      <c r="P39" t="s">
        <v>1432</v>
      </c>
      <c r="R39" t="s">
        <v>2517</v>
      </c>
      <c r="S39" s="2">
        <v>44153</v>
      </c>
      <c r="T39" s="2">
        <v>44154</v>
      </c>
      <c r="V39" s="2">
        <v>44154</v>
      </c>
      <c r="Y39" t="s">
        <v>2518</v>
      </c>
      <c r="Z39" t="s">
        <v>2518</v>
      </c>
      <c r="AA39" t="s">
        <v>603</v>
      </c>
      <c r="AB39" t="s">
        <v>67</v>
      </c>
      <c r="AC39" t="s">
        <v>67</v>
      </c>
      <c r="AD39" t="s">
        <v>68</v>
      </c>
      <c r="AF39" t="s">
        <v>2388</v>
      </c>
      <c r="AG39" t="s">
        <v>2389</v>
      </c>
      <c r="AH39" t="s">
        <v>2388</v>
      </c>
      <c r="AI39" t="s">
        <v>605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3.3</v>
      </c>
      <c r="AP39">
        <v>0</v>
      </c>
      <c r="AV39">
        <v>-1</v>
      </c>
    </row>
    <row r="40" spans="1:48" x14ac:dyDescent="0.55000000000000004">
      <c r="A40" t="str">
        <f>HYPERLINK("https://www.infodis.net/philips/net/Shipment/Details?InfodisNumber=1579552&amp;DomainCode=PHILIPSM1", "1579552")</f>
        <v>1579552</v>
      </c>
      <c r="B40" t="s">
        <v>2521</v>
      </c>
      <c r="C40" t="s">
        <v>2353</v>
      </c>
      <c r="D40" t="s">
        <v>2354</v>
      </c>
      <c r="E40" t="s">
        <v>2355</v>
      </c>
      <c r="F40" t="s">
        <v>2356</v>
      </c>
      <c r="G40" t="s">
        <v>667</v>
      </c>
      <c r="H40" t="s">
        <v>79</v>
      </c>
      <c r="I40" t="s">
        <v>1813</v>
      </c>
      <c r="J40" t="s">
        <v>2357</v>
      </c>
      <c r="K40" t="s">
        <v>2248</v>
      </c>
      <c r="L40" t="s">
        <v>230</v>
      </c>
      <c r="M40" t="s">
        <v>60</v>
      </c>
      <c r="P40" t="s">
        <v>1853</v>
      </c>
      <c r="Q40" t="s">
        <v>2522</v>
      </c>
      <c r="R40" t="s">
        <v>2293</v>
      </c>
      <c r="S40" s="2">
        <v>44155</v>
      </c>
      <c r="T40" s="2">
        <v>44155</v>
      </c>
      <c r="U40" s="2">
        <v>44155</v>
      </c>
      <c r="V40" s="2">
        <v>44158</v>
      </c>
      <c r="W40" s="2">
        <v>44156</v>
      </c>
      <c r="Y40" t="s">
        <v>2359</v>
      </c>
      <c r="Z40" t="s">
        <v>2359</v>
      </c>
      <c r="AA40" t="s">
        <v>603</v>
      </c>
      <c r="AB40" t="s">
        <v>67</v>
      </c>
      <c r="AC40" t="s">
        <v>67</v>
      </c>
      <c r="AD40" t="s">
        <v>68</v>
      </c>
      <c r="AF40" t="s">
        <v>2179</v>
      </c>
      <c r="AG40" t="s">
        <v>2180</v>
      </c>
      <c r="AH40" t="s">
        <v>2179</v>
      </c>
      <c r="AI40" t="s">
        <v>605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19</v>
      </c>
      <c r="AP40">
        <v>0.157</v>
      </c>
      <c r="AV40">
        <v>-1</v>
      </c>
    </row>
    <row r="41" spans="1:48" x14ac:dyDescent="0.55000000000000004">
      <c r="A41" t="str">
        <f>HYPERLINK("https://www.infodis.net/philips/net/Shipment/Details?InfodisNumber=4139370&amp;DomainCode=DAP", "4139370")</f>
        <v>4139370</v>
      </c>
      <c r="B41" t="s">
        <v>2523</v>
      </c>
      <c r="C41" t="s">
        <v>2524</v>
      </c>
      <c r="D41" t="s">
        <v>2525</v>
      </c>
      <c r="E41" t="s">
        <v>2524</v>
      </c>
      <c r="F41" t="s">
        <v>1837</v>
      </c>
      <c r="G41" t="s">
        <v>2526</v>
      </c>
      <c r="H41" t="s">
        <v>267</v>
      </c>
      <c r="I41" t="s">
        <v>268</v>
      </c>
      <c r="J41" t="s">
        <v>652</v>
      </c>
      <c r="K41" t="s">
        <v>1838</v>
      </c>
      <c r="L41" t="s">
        <v>180</v>
      </c>
      <c r="M41" t="s">
        <v>60</v>
      </c>
      <c r="P41" t="s">
        <v>268</v>
      </c>
      <c r="Q41" t="s">
        <v>2527</v>
      </c>
      <c r="R41" t="s">
        <v>1840</v>
      </c>
      <c r="S41" s="2">
        <v>43580</v>
      </c>
      <c r="T41" s="2">
        <v>43592</v>
      </c>
      <c r="U41" s="2">
        <v>43592</v>
      </c>
      <c r="V41" s="2">
        <v>43595</v>
      </c>
      <c r="W41" s="2">
        <v>43593</v>
      </c>
      <c r="X41" s="2">
        <v>43606</v>
      </c>
      <c r="Y41" t="s">
        <v>1735</v>
      </c>
      <c r="Z41" t="s">
        <v>1735</v>
      </c>
      <c r="AA41" t="s">
        <v>1735</v>
      </c>
      <c r="AB41" t="s">
        <v>67</v>
      </c>
      <c r="AC41" t="s">
        <v>67</v>
      </c>
      <c r="AD41" t="s">
        <v>67</v>
      </c>
      <c r="AF41" t="s">
        <v>2179</v>
      </c>
      <c r="AG41" t="s">
        <v>2180</v>
      </c>
      <c r="AH41" t="s">
        <v>2179</v>
      </c>
      <c r="AI41" t="s">
        <v>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420</v>
      </c>
      <c r="AP41">
        <v>1.1619999999999999</v>
      </c>
      <c r="AV41">
        <v>-1</v>
      </c>
    </row>
    <row r="42" spans="1:48" x14ac:dyDescent="0.55000000000000004">
      <c r="A42" t="str">
        <f>HYPERLINK("https://www.infodis.net/philips/net/Shipment/Details?InfodisNumber=4560439&amp;DomainCode=DAP", "4560439")</f>
        <v>4560439</v>
      </c>
      <c r="B42" t="s">
        <v>2528</v>
      </c>
      <c r="C42" t="s">
        <v>2402</v>
      </c>
      <c r="D42" t="s">
        <v>2403</v>
      </c>
      <c r="E42" t="s">
        <v>2402</v>
      </c>
      <c r="F42" t="s">
        <v>167</v>
      </c>
      <c r="G42" t="s">
        <v>2404</v>
      </c>
      <c r="H42" t="s">
        <v>881</v>
      </c>
      <c r="J42" t="s">
        <v>2405</v>
      </c>
      <c r="K42" t="s">
        <v>1125</v>
      </c>
      <c r="L42" t="s">
        <v>172</v>
      </c>
      <c r="M42" t="s">
        <v>1489</v>
      </c>
      <c r="P42" t="s">
        <v>2406</v>
      </c>
      <c r="R42" t="s">
        <v>1128</v>
      </c>
      <c r="S42" s="2">
        <v>44153</v>
      </c>
      <c r="T42" s="2">
        <v>44165</v>
      </c>
      <c r="V42" s="2">
        <v>44168</v>
      </c>
      <c r="Y42" t="s">
        <v>2398</v>
      </c>
      <c r="Z42" t="s">
        <v>2398</v>
      </c>
      <c r="AA42" t="s">
        <v>2398</v>
      </c>
      <c r="AB42" t="s">
        <v>67</v>
      </c>
      <c r="AC42" t="s">
        <v>67</v>
      </c>
      <c r="AD42" t="s">
        <v>67</v>
      </c>
      <c r="AF42" t="s">
        <v>2179</v>
      </c>
      <c r="AG42" t="s">
        <v>2180</v>
      </c>
      <c r="AH42" t="s">
        <v>2179</v>
      </c>
      <c r="AI42" t="s">
        <v>73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62</v>
      </c>
      <c r="AP42">
        <v>5.9579999999999993</v>
      </c>
      <c r="AV42">
        <v>-1</v>
      </c>
    </row>
    <row r="43" spans="1:48" x14ac:dyDescent="0.55000000000000004">
      <c r="A43" t="str">
        <f>HYPERLINK("https://www.infodis.net/philips/net/Shipment/Details?InfodisNumber=1574635&amp;DomainCode=PHILIPSM1", "1574635")</f>
        <v>1574635</v>
      </c>
      <c r="B43" t="s">
        <v>2529</v>
      </c>
      <c r="C43" t="s">
        <v>2491</v>
      </c>
      <c r="D43" t="s">
        <v>2492</v>
      </c>
      <c r="E43" t="s">
        <v>2491</v>
      </c>
      <c r="F43" t="s">
        <v>2493</v>
      </c>
      <c r="G43" t="s">
        <v>1431</v>
      </c>
      <c r="H43" t="s">
        <v>180</v>
      </c>
      <c r="I43" t="s">
        <v>2494</v>
      </c>
      <c r="J43" t="s">
        <v>2495</v>
      </c>
      <c r="K43" t="s">
        <v>2496</v>
      </c>
      <c r="L43" t="s">
        <v>73</v>
      </c>
      <c r="M43" t="s">
        <v>60</v>
      </c>
      <c r="P43" t="s">
        <v>1434</v>
      </c>
      <c r="Q43" t="s">
        <v>2530</v>
      </c>
      <c r="R43" t="s">
        <v>2498</v>
      </c>
      <c r="S43" s="2">
        <v>44153</v>
      </c>
      <c r="T43" s="2">
        <v>44154</v>
      </c>
      <c r="U43" s="2">
        <v>44154</v>
      </c>
      <c r="V43" s="2">
        <v>44154</v>
      </c>
      <c r="Y43" t="s">
        <v>2387</v>
      </c>
      <c r="Z43" t="s">
        <v>2387</v>
      </c>
      <c r="AA43" t="s">
        <v>603</v>
      </c>
      <c r="AB43" t="s">
        <v>67</v>
      </c>
      <c r="AC43" t="s">
        <v>67</v>
      </c>
      <c r="AD43" t="s">
        <v>68</v>
      </c>
      <c r="AF43" t="s">
        <v>2499</v>
      </c>
      <c r="AG43" t="s">
        <v>2500</v>
      </c>
      <c r="AH43" t="s">
        <v>2499</v>
      </c>
      <c r="AI43" t="s">
        <v>605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423.7</v>
      </c>
      <c r="AP43">
        <v>3.6680000000000001</v>
      </c>
      <c r="AV43">
        <v>-1</v>
      </c>
    </row>
    <row r="44" spans="1:48" x14ac:dyDescent="0.55000000000000004">
      <c r="A44" t="str">
        <f>HYPERLINK("https://www.infodis.net/philips/net/Shipment/Details?InfodisNumber=4475216&amp;DomainCode=DAP", "4475216")</f>
        <v>4475216</v>
      </c>
      <c r="B44" t="s">
        <v>2531</v>
      </c>
      <c r="C44" t="s">
        <v>2532</v>
      </c>
      <c r="D44" t="s">
        <v>2533</v>
      </c>
      <c r="E44" t="s">
        <v>393</v>
      </c>
      <c r="F44" t="s">
        <v>2534</v>
      </c>
      <c r="G44" t="s">
        <v>2535</v>
      </c>
      <c r="H44" t="s">
        <v>772</v>
      </c>
      <c r="I44" t="s">
        <v>194</v>
      </c>
      <c r="J44" t="s">
        <v>268</v>
      </c>
      <c r="K44" t="s">
        <v>855</v>
      </c>
      <c r="L44" t="s">
        <v>267</v>
      </c>
      <c r="M44" t="s">
        <v>60</v>
      </c>
      <c r="P44" t="s">
        <v>2536</v>
      </c>
      <c r="Q44" t="s">
        <v>2537</v>
      </c>
      <c r="R44" t="s">
        <v>268</v>
      </c>
      <c r="S44" s="2">
        <v>44029</v>
      </c>
      <c r="T44" s="2">
        <v>44029</v>
      </c>
      <c r="U44" s="2">
        <v>44029</v>
      </c>
      <c r="V44" s="2">
        <v>44032</v>
      </c>
      <c r="W44" s="2">
        <v>44034</v>
      </c>
      <c r="Y44" t="s">
        <v>1735</v>
      </c>
      <c r="Z44" t="s">
        <v>1735</v>
      </c>
      <c r="AA44" t="s">
        <v>1735</v>
      </c>
      <c r="AB44" t="s">
        <v>67</v>
      </c>
      <c r="AC44" t="s">
        <v>67</v>
      </c>
      <c r="AD44" t="s">
        <v>67</v>
      </c>
      <c r="AF44" t="s">
        <v>2179</v>
      </c>
      <c r="AG44" t="s">
        <v>2180</v>
      </c>
      <c r="AH44" t="s">
        <v>2179</v>
      </c>
      <c r="AI44" t="s">
        <v>73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286</v>
      </c>
      <c r="AP44">
        <v>2.2839999999999998</v>
      </c>
      <c r="AV44">
        <v>-1</v>
      </c>
    </row>
    <row r="45" spans="1:48" x14ac:dyDescent="0.55000000000000004">
      <c r="A45" t="str">
        <f>HYPERLINK("https://www.infodis.net/philips/net/Shipment/Details?InfodisNumber=1446425&amp;DomainCode=PHILIPSM1", "1446425")</f>
        <v>1446425</v>
      </c>
      <c r="B45" t="s">
        <v>2538</v>
      </c>
      <c r="C45" t="s">
        <v>2539</v>
      </c>
      <c r="D45" t="s">
        <v>2540</v>
      </c>
      <c r="E45" t="s">
        <v>2539</v>
      </c>
      <c r="F45" t="s">
        <v>2541</v>
      </c>
      <c r="G45" t="s">
        <v>2542</v>
      </c>
      <c r="H45" t="s">
        <v>180</v>
      </c>
      <c r="I45" t="s">
        <v>652</v>
      </c>
      <c r="J45" t="s">
        <v>2543</v>
      </c>
      <c r="K45" t="s">
        <v>2544</v>
      </c>
      <c r="L45" t="s">
        <v>180</v>
      </c>
      <c r="M45" t="s">
        <v>60</v>
      </c>
      <c r="P45" t="s">
        <v>2545</v>
      </c>
      <c r="Q45" t="s">
        <v>2546</v>
      </c>
      <c r="R45" t="s">
        <v>2547</v>
      </c>
      <c r="S45" s="2">
        <v>44029</v>
      </c>
      <c r="T45" s="2">
        <v>44029</v>
      </c>
      <c r="V45" s="2">
        <v>44032</v>
      </c>
      <c r="X45" s="2">
        <v>44056</v>
      </c>
      <c r="Y45" t="s">
        <v>2359</v>
      </c>
      <c r="Z45" t="s">
        <v>2359</v>
      </c>
      <c r="AA45" t="s">
        <v>2359</v>
      </c>
      <c r="AB45" t="s">
        <v>67</v>
      </c>
      <c r="AC45" t="s">
        <v>67</v>
      </c>
      <c r="AD45" t="s">
        <v>67</v>
      </c>
      <c r="AF45" t="s">
        <v>2179</v>
      </c>
      <c r="AG45" t="s">
        <v>2180</v>
      </c>
      <c r="AH45" t="s">
        <v>2179</v>
      </c>
      <c r="AI45" t="s">
        <v>605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73.48</v>
      </c>
      <c r="AP45">
        <v>0.66900000000000004</v>
      </c>
      <c r="AV45">
        <v>-1</v>
      </c>
    </row>
    <row r="46" spans="1:48" x14ac:dyDescent="0.55000000000000004">
      <c r="A46" t="str">
        <f>HYPERLINK("https://www.infodis.net/philips/net/Shipment/Details?InfodisNumber=1469874&amp;DomainCode=PHILIPSM1", "1469874")</f>
        <v>1469874</v>
      </c>
      <c r="B46" t="s">
        <v>2548</v>
      </c>
      <c r="C46" t="s">
        <v>2080</v>
      </c>
      <c r="D46" t="s">
        <v>2081</v>
      </c>
      <c r="E46" t="s">
        <v>2089</v>
      </c>
      <c r="F46" t="s">
        <v>2549</v>
      </c>
      <c r="G46" t="s">
        <v>1430</v>
      </c>
      <c r="H46" t="s">
        <v>244</v>
      </c>
      <c r="I46" t="s">
        <v>2084</v>
      </c>
      <c r="J46" t="s">
        <v>293</v>
      </c>
      <c r="K46" t="s">
        <v>937</v>
      </c>
      <c r="L46" t="s">
        <v>938</v>
      </c>
      <c r="M46" t="s">
        <v>60</v>
      </c>
      <c r="P46" t="s">
        <v>1432</v>
      </c>
      <c r="Q46" t="s">
        <v>2550</v>
      </c>
      <c r="R46" t="s">
        <v>939</v>
      </c>
      <c r="S46" s="2">
        <v>44051</v>
      </c>
      <c r="T46" s="2">
        <v>44053</v>
      </c>
      <c r="U46" s="2">
        <v>44053</v>
      </c>
      <c r="V46" s="2">
        <v>44058</v>
      </c>
      <c r="W46" s="2">
        <v>44058</v>
      </c>
      <c r="Y46" t="s">
        <v>2387</v>
      </c>
      <c r="Z46" t="s">
        <v>2387</v>
      </c>
      <c r="AA46" t="s">
        <v>603</v>
      </c>
      <c r="AB46" t="s">
        <v>67</v>
      </c>
      <c r="AC46" t="s">
        <v>67</v>
      </c>
      <c r="AD46" t="s">
        <v>68</v>
      </c>
      <c r="AF46" t="s">
        <v>2179</v>
      </c>
      <c r="AG46" t="s">
        <v>2180</v>
      </c>
      <c r="AH46" t="s">
        <v>2179</v>
      </c>
      <c r="AI46" t="s">
        <v>605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214</v>
      </c>
      <c r="AP46">
        <v>0.82599999999999996</v>
      </c>
      <c r="AV46">
        <v>-1</v>
      </c>
    </row>
    <row r="47" spans="1:48" x14ac:dyDescent="0.55000000000000004">
      <c r="A47" t="str">
        <f>HYPERLINK("https://www.infodis.net/philips/net/Shipment/Details?InfodisNumber=1457453&amp;DomainCode=PHILIPSM1", "1457453")</f>
        <v>1457453</v>
      </c>
      <c r="B47" t="s">
        <v>2551</v>
      </c>
      <c r="C47" t="s">
        <v>2080</v>
      </c>
      <c r="D47" t="s">
        <v>2081</v>
      </c>
      <c r="E47" t="s">
        <v>2089</v>
      </c>
      <c r="F47" t="s">
        <v>2552</v>
      </c>
      <c r="G47" t="s">
        <v>1430</v>
      </c>
      <c r="H47" t="s">
        <v>244</v>
      </c>
      <c r="I47" t="s">
        <v>2084</v>
      </c>
      <c r="J47" t="s">
        <v>2553</v>
      </c>
      <c r="K47" t="s">
        <v>2554</v>
      </c>
      <c r="L47" t="s">
        <v>846</v>
      </c>
      <c r="M47" t="s">
        <v>133</v>
      </c>
      <c r="P47" t="s">
        <v>1432</v>
      </c>
      <c r="R47" t="s">
        <v>1557</v>
      </c>
      <c r="S47" s="2">
        <v>44040</v>
      </c>
      <c r="T47" s="2">
        <v>44041</v>
      </c>
      <c r="U47" s="2">
        <v>44041</v>
      </c>
      <c r="V47" s="2">
        <v>44041</v>
      </c>
      <c r="W47" s="2">
        <v>44051</v>
      </c>
      <c r="Y47" t="s">
        <v>2518</v>
      </c>
      <c r="Z47" t="s">
        <v>2518</v>
      </c>
      <c r="AA47" t="s">
        <v>603</v>
      </c>
      <c r="AB47" t="s">
        <v>67</v>
      </c>
      <c r="AC47" t="s">
        <v>67</v>
      </c>
      <c r="AD47" t="s">
        <v>68</v>
      </c>
      <c r="AF47" t="s">
        <v>2388</v>
      </c>
      <c r="AG47" t="s">
        <v>2389</v>
      </c>
      <c r="AH47" t="s">
        <v>2388</v>
      </c>
      <c r="AI47" t="s">
        <v>605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3.4</v>
      </c>
      <c r="AP47">
        <v>-1</v>
      </c>
      <c r="AV47">
        <v>-1</v>
      </c>
    </row>
    <row r="48" spans="1:48" x14ac:dyDescent="0.55000000000000004">
      <c r="A48" t="str">
        <f>HYPERLINK("https://www.infodis.net/philips/net/Shipment/Details?InfodisNumber=1457484&amp;DomainCode=PHILIPSM1", "1457484")</f>
        <v>1457484</v>
      </c>
      <c r="B48" t="s">
        <v>2555</v>
      </c>
      <c r="C48" t="s">
        <v>2539</v>
      </c>
      <c r="D48" t="s">
        <v>2540</v>
      </c>
      <c r="E48" t="s">
        <v>2539</v>
      </c>
      <c r="F48" t="s">
        <v>2556</v>
      </c>
      <c r="G48" t="s">
        <v>2542</v>
      </c>
      <c r="H48" t="s">
        <v>180</v>
      </c>
      <c r="I48" t="s">
        <v>652</v>
      </c>
      <c r="J48" t="s">
        <v>2557</v>
      </c>
      <c r="K48" t="s">
        <v>2558</v>
      </c>
      <c r="L48" t="s">
        <v>881</v>
      </c>
      <c r="M48" t="s">
        <v>60</v>
      </c>
      <c r="P48" t="s">
        <v>2545</v>
      </c>
      <c r="Q48" t="s">
        <v>2559</v>
      </c>
      <c r="R48" t="s">
        <v>2560</v>
      </c>
      <c r="S48" s="2">
        <v>44040</v>
      </c>
      <c r="T48" s="2">
        <v>44040</v>
      </c>
      <c r="V48" s="2">
        <v>44043</v>
      </c>
      <c r="W48" s="2">
        <v>44043</v>
      </c>
      <c r="Y48" t="s">
        <v>2359</v>
      </c>
      <c r="Z48" t="s">
        <v>2359</v>
      </c>
      <c r="AA48" t="s">
        <v>2359</v>
      </c>
      <c r="AB48" t="s">
        <v>67</v>
      </c>
      <c r="AC48" t="s">
        <v>67</v>
      </c>
      <c r="AD48" t="s">
        <v>67</v>
      </c>
      <c r="AF48" t="s">
        <v>2179</v>
      </c>
      <c r="AG48" t="s">
        <v>2180</v>
      </c>
      <c r="AH48" t="s">
        <v>2179</v>
      </c>
      <c r="AI48" t="s">
        <v>605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19</v>
      </c>
      <c r="AP48">
        <v>0.13200000000000001</v>
      </c>
      <c r="AV48">
        <v>-1</v>
      </c>
    </row>
    <row r="49" spans="1:48" x14ac:dyDescent="0.55000000000000004">
      <c r="A49" t="str">
        <f>HYPERLINK("https://www.infodis.net/philips/net/Shipment/Details?InfodisNumber=1462130&amp;DomainCode=PHILIPSM1", "1462130")</f>
        <v>1462130</v>
      </c>
      <c r="B49" t="s">
        <v>2561</v>
      </c>
      <c r="C49" t="s">
        <v>2080</v>
      </c>
      <c r="D49" t="s">
        <v>2081</v>
      </c>
      <c r="E49" t="s">
        <v>2089</v>
      </c>
      <c r="F49" t="s">
        <v>2562</v>
      </c>
      <c r="G49" t="s">
        <v>1430</v>
      </c>
      <c r="H49" t="s">
        <v>244</v>
      </c>
      <c r="I49" t="s">
        <v>2084</v>
      </c>
      <c r="J49" t="s">
        <v>2553</v>
      </c>
      <c r="K49" t="s">
        <v>2554</v>
      </c>
      <c r="L49" t="s">
        <v>846</v>
      </c>
      <c r="M49" t="s">
        <v>133</v>
      </c>
      <c r="P49" t="s">
        <v>1432</v>
      </c>
      <c r="R49" t="s">
        <v>1557</v>
      </c>
      <c r="S49" s="2">
        <v>44043</v>
      </c>
      <c r="T49" s="2">
        <v>44043</v>
      </c>
      <c r="U49" s="2">
        <v>44043</v>
      </c>
      <c r="V49" s="2">
        <v>44043</v>
      </c>
      <c r="W49" s="2">
        <v>44051</v>
      </c>
      <c r="Y49" t="s">
        <v>2518</v>
      </c>
      <c r="Z49" t="s">
        <v>2518</v>
      </c>
      <c r="AA49" t="s">
        <v>603</v>
      </c>
      <c r="AB49" t="s">
        <v>67</v>
      </c>
      <c r="AC49" t="s">
        <v>67</v>
      </c>
      <c r="AD49" t="s">
        <v>68</v>
      </c>
      <c r="AF49" t="s">
        <v>2388</v>
      </c>
      <c r="AG49" t="s">
        <v>2389</v>
      </c>
      <c r="AH49" t="s">
        <v>2388</v>
      </c>
      <c r="AI49" t="s">
        <v>605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0.3</v>
      </c>
      <c r="AP49">
        <v>-1</v>
      </c>
      <c r="AV49">
        <v>-1</v>
      </c>
    </row>
    <row r="50" spans="1:48" x14ac:dyDescent="0.55000000000000004">
      <c r="A50" t="str">
        <f>HYPERLINK("https://www.infodis.net/philips/net/Shipment/Details?InfodisNumber=6995523&amp;DomainCode=PHILIPSR1", "6995523")</f>
        <v>6995523</v>
      </c>
      <c r="B50" t="s">
        <v>2563</v>
      </c>
      <c r="C50" t="s">
        <v>2471</v>
      </c>
      <c r="D50" t="s">
        <v>2472</v>
      </c>
      <c r="E50" t="s">
        <v>458</v>
      </c>
      <c r="F50" t="s">
        <v>2473</v>
      </c>
      <c r="G50" t="s">
        <v>2429</v>
      </c>
      <c r="H50" t="s">
        <v>180</v>
      </c>
      <c r="I50" t="s">
        <v>652</v>
      </c>
      <c r="J50" t="s">
        <v>2396</v>
      </c>
      <c r="K50" t="s">
        <v>433</v>
      </c>
      <c r="L50" t="s">
        <v>79</v>
      </c>
      <c r="M50" t="s">
        <v>60</v>
      </c>
      <c r="P50" t="s">
        <v>613</v>
      </c>
      <c r="Q50" t="s">
        <v>2564</v>
      </c>
      <c r="R50" t="s">
        <v>2475</v>
      </c>
      <c r="S50" s="2">
        <v>44154</v>
      </c>
      <c r="T50" s="2">
        <v>44154</v>
      </c>
      <c r="U50" s="2">
        <v>44154</v>
      </c>
      <c r="V50" s="2">
        <v>44157</v>
      </c>
      <c r="W50" s="2">
        <v>44158</v>
      </c>
      <c r="Y50" t="s">
        <v>2476</v>
      </c>
      <c r="Z50" t="s">
        <v>2476</v>
      </c>
      <c r="AA50" t="s">
        <v>2476</v>
      </c>
      <c r="AB50" t="s">
        <v>67</v>
      </c>
      <c r="AC50" t="s">
        <v>67</v>
      </c>
      <c r="AD50" t="s">
        <v>67</v>
      </c>
      <c r="AF50" t="s">
        <v>2179</v>
      </c>
      <c r="AG50" t="s">
        <v>2180</v>
      </c>
      <c r="AH50" t="s">
        <v>2179</v>
      </c>
      <c r="AI50" t="s">
        <v>252</v>
      </c>
      <c r="AJ50">
        <v>0</v>
      </c>
      <c r="AK50">
        <v>0</v>
      </c>
      <c r="AL50">
        <v>0</v>
      </c>
      <c r="AM50">
        <v>0</v>
      </c>
      <c r="AN50">
        <v>5</v>
      </c>
      <c r="AO50">
        <v>588.76</v>
      </c>
      <c r="AP50">
        <v>9.0609999999999999</v>
      </c>
      <c r="AV50">
        <v>-1</v>
      </c>
    </row>
    <row r="51" spans="1:48" x14ac:dyDescent="0.55000000000000004">
      <c r="A51" t="str">
        <f>HYPERLINK("https://www.infodis.net/philips/net/Shipment/Details?InfodisNumber=6995532&amp;DomainCode=PHILIPSR1", "6995532")</f>
        <v>6995532</v>
      </c>
      <c r="B51" t="s">
        <v>2565</v>
      </c>
      <c r="C51" t="s">
        <v>2471</v>
      </c>
      <c r="D51" t="s">
        <v>2472</v>
      </c>
      <c r="E51" t="s">
        <v>458</v>
      </c>
      <c r="F51" t="s">
        <v>2473</v>
      </c>
      <c r="G51" t="s">
        <v>2429</v>
      </c>
      <c r="H51" t="s">
        <v>180</v>
      </c>
      <c r="I51" t="s">
        <v>652</v>
      </c>
      <c r="J51" t="s">
        <v>2396</v>
      </c>
      <c r="K51" t="s">
        <v>433</v>
      </c>
      <c r="L51" t="s">
        <v>79</v>
      </c>
      <c r="M51" t="s">
        <v>60</v>
      </c>
      <c r="P51" t="s">
        <v>613</v>
      </c>
      <c r="R51" t="s">
        <v>2475</v>
      </c>
      <c r="S51" s="2">
        <v>44154</v>
      </c>
      <c r="T51" s="2">
        <v>44154</v>
      </c>
      <c r="V51" s="2">
        <v>44157</v>
      </c>
      <c r="Y51" t="s">
        <v>2476</v>
      </c>
      <c r="Z51" t="s">
        <v>2476</v>
      </c>
      <c r="AA51" t="s">
        <v>2476</v>
      </c>
      <c r="AB51" t="s">
        <v>67</v>
      </c>
      <c r="AC51" t="s">
        <v>67</v>
      </c>
      <c r="AD51" t="s">
        <v>67</v>
      </c>
      <c r="AF51" t="s">
        <v>2179</v>
      </c>
      <c r="AG51" t="s">
        <v>2180</v>
      </c>
      <c r="AH51" t="s">
        <v>2179</v>
      </c>
      <c r="AI51" t="s">
        <v>252</v>
      </c>
      <c r="AJ51">
        <v>0</v>
      </c>
      <c r="AK51">
        <v>0</v>
      </c>
      <c r="AL51">
        <v>0</v>
      </c>
      <c r="AM51">
        <v>0</v>
      </c>
      <c r="AN51">
        <v>5</v>
      </c>
      <c r="AO51">
        <v>588.76</v>
      </c>
      <c r="AP51">
        <v>9.0609999999999999</v>
      </c>
      <c r="AV51">
        <v>-1</v>
      </c>
    </row>
    <row r="52" spans="1:48" x14ac:dyDescent="0.55000000000000004">
      <c r="A52" t="str">
        <f>HYPERLINK("https://www.infodis.net/philips/net/Shipment/Details?InfodisNumber=1469835&amp;DomainCode=PHILIPSM1", "1469835")</f>
        <v>1469835</v>
      </c>
      <c r="B52" t="s">
        <v>2566</v>
      </c>
      <c r="C52" t="s">
        <v>2080</v>
      </c>
      <c r="D52" t="s">
        <v>2081</v>
      </c>
      <c r="E52" t="s">
        <v>2089</v>
      </c>
      <c r="F52" t="s">
        <v>2567</v>
      </c>
      <c r="G52" t="s">
        <v>1430</v>
      </c>
      <c r="H52" t="s">
        <v>244</v>
      </c>
      <c r="I52" t="s">
        <v>2084</v>
      </c>
      <c r="J52" t="s">
        <v>1036</v>
      </c>
      <c r="K52" t="s">
        <v>1037</v>
      </c>
      <c r="L52" t="s">
        <v>132</v>
      </c>
      <c r="M52" t="s">
        <v>60</v>
      </c>
      <c r="P52" t="s">
        <v>1432</v>
      </c>
      <c r="R52" t="s">
        <v>1040</v>
      </c>
      <c r="S52" s="2">
        <v>44050</v>
      </c>
      <c r="T52" s="2">
        <v>44053</v>
      </c>
      <c r="V52" s="2">
        <v>44058</v>
      </c>
      <c r="Y52" t="s">
        <v>2518</v>
      </c>
      <c r="Z52" t="s">
        <v>2518</v>
      </c>
      <c r="AA52" t="s">
        <v>603</v>
      </c>
      <c r="AB52" t="s">
        <v>67</v>
      </c>
      <c r="AC52" t="s">
        <v>67</v>
      </c>
      <c r="AD52" t="s">
        <v>68</v>
      </c>
      <c r="AF52" t="s">
        <v>2179</v>
      </c>
      <c r="AG52" t="s">
        <v>2180</v>
      </c>
      <c r="AH52" t="s">
        <v>2179</v>
      </c>
      <c r="AI52" t="s">
        <v>605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75</v>
      </c>
      <c r="AP52">
        <v>0</v>
      </c>
      <c r="AV52">
        <v>-1</v>
      </c>
    </row>
    <row r="53" spans="1:48" x14ac:dyDescent="0.55000000000000004">
      <c r="A53" t="str">
        <f>HYPERLINK("https://www.infodis.net/philips/net/Shipment/Details?InfodisNumber=1469909&amp;DomainCode=PHILIPSM1", "1469909")</f>
        <v>1469909</v>
      </c>
      <c r="B53" t="s">
        <v>2568</v>
      </c>
      <c r="C53" t="s">
        <v>2080</v>
      </c>
      <c r="D53" t="s">
        <v>2081</v>
      </c>
      <c r="E53" t="s">
        <v>2082</v>
      </c>
      <c r="F53" t="s">
        <v>2569</v>
      </c>
      <c r="G53" t="s">
        <v>1430</v>
      </c>
      <c r="H53" t="s">
        <v>244</v>
      </c>
      <c r="I53" t="s">
        <v>2084</v>
      </c>
      <c r="J53" t="s">
        <v>2570</v>
      </c>
      <c r="K53" t="s">
        <v>2571</v>
      </c>
      <c r="L53" t="s">
        <v>998</v>
      </c>
      <c r="M53" t="s">
        <v>60</v>
      </c>
      <c r="P53" t="s">
        <v>1432</v>
      </c>
      <c r="Q53" t="s">
        <v>2572</v>
      </c>
      <c r="R53" t="s">
        <v>2573</v>
      </c>
      <c r="S53" s="2">
        <v>44053</v>
      </c>
      <c r="T53" s="2">
        <v>44053</v>
      </c>
      <c r="U53" s="2">
        <v>44053</v>
      </c>
      <c r="V53" s="2">
        <v>44058</v>
      </c>
      <c r="W53" s="2">
        <v>44059</v>
      </c>
      <c r="Y53" t="s">
        <v>2387</v>
      </c>
      <c r="Z53" t="s">
        <v>2387</v>
      </c>
      <c r="AA53" t="s">
        <v>603</v>
      </c>
      <c r="AB53" t="s">
        <v>67</v>
      </c>
      <c r="AC53" t="s">
        <v>67</v>
      </c>
      <c r="AD53" t="s">
        <v>68</v>
      </c>
      <c r="AF53" t="s">
        <v>2179</v>
      </c>
      <c r="AG53" t="s">
        <v>2180</v>
      </c>
      <c r="AH53" t="s">
        <v>2179</v>
      </c>
      <c r="AI53" t="s">
        <v>605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296.60000000000002</v>
      </c>
      <c r="AP53">
        <v>2.77</v>
      </c>
      <c r="AV53">
        <v>-1</v>
      </c>
    </row>
    <row r="54" spans="1:48" x14ac:dyDescent="0.55000000000000004">
      <c r="A54" t="str">
        <f>HYPERLINK("https://www.infodis.net/philips/net/Shipment/Details?InfodisNumber=1469910&amp;DomainCode=PHILIPSM1", "1469910")</f>
        <v>1469910</v>
      </c>
      <c r="B54" t="s">
        <v>2574</v>
      </c>
      <c r="C54" t="s">
        <v>2080</v>
      </c>
      <c r="D54" t="s">
        <v>2081</v>
      </c>
      <c r="E54" t="s">
        <v>2082</v>
      </c>
      <c r="F54" t="s">
        <v>2575</v>
      </c>
      <c r="G54" t="s">
        <v>1430</v>
      </c>
      <c r="H54" t="s">
        <v>244</v>
      </c>
      <c r="I54" t="s">
        <v>2084</v>
      </c>
      <c r="J54" t="s">
        <v>511</v>
      </c>
      <c r="K54" t="s">
        <v>2576</v>
      </c>
      <c r="L54" t="s">
        <v>234</v>
      </c>
      <c r="M54" t="s">
        <v>60</v>
      </c>
      <c r="P54" t="s">
        <v>1432</v>
      </c>
      <c r="Q54" t="s">
        <v>2577</v>
      </c>
      <c r="R54" t="s">
        <v>2578</v>
      </c>
      <c r="S54" s="2">
        <v>44053</v>
      </c>
      <c r="T54" s="2">
        <v>44053</v>
      </c>
      <c r="U54" s="2">
        <v>44053</v>
      </c>
      <c r="V54" s="2">
        <v>44058</v>
      </c>
      <c r="W54" s="2">
        <v>44057</v>
      </c>
      <c r="Y54" t="s">
        <v>2387</v>
      </c>
      <c r="Z54" t="s">
        <v>2387</v>
      </c>
      <c r="AA54" t="s">
        <v>603</v>
      </c>
      <c r="AB54" t="s">
        <v>67</v>
      </c>
      <c r="AC54" t="s">
        <v>67</v>
      </c>
      <c r="AD54" t="s">
        <v>68</v>
      </c>
      <c r="AF54" t="s">
        <v>2179</v>
      </c>
      <c r="AG54" t="s">
        <v>2180</v>
      </c>
      <c r="AH54" t="s">
        <v>2179</v>
      </c>
      <c r="AI54" t="s">
        <v>605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33.1</v>
      </c>
      <c r="AP54">
        <v>0.17499999999999999</v>
      </c>
      <c r="AV54">
        <v>-1</v>
      </c>
    </row>
    <row r="55" spans="1:48" x14ac:dyDescent="0.55000000000000004">
      <c r="A55" t="str">
        <f>HYPERLINK("https://www.infodis.net/philips/net/Shipment/Details?InfodisNumber=6598347&amp;DomainCode=PHILIPSR1", "6598347")</f>
        <v>6598347</v>
      </c>
      <c r="B55" t="s">
        <v>2579</v>
      </c>
      <c r="C55" t="s">
        <v>2580</v>
      </c>
      <c r="D55" t="s">
        <v>2581</v>
      </c>
      <c r="E55" t="s">
        <v>1187</v>
      </c>
      <c r="F55" t="s">
        <v>2582</v>
      </c>
      <c r="G55" t="s">
        <v>880</v>
      </c>
      <c r="H55" t="s">
        <v>881</v>
      </c>
      <c r="I55" t="s">
        <v>2583</v>
      </c>
      <c r="J55" t="s">
        <v>2405</v>
      </c>
      <c r="K55" t="s">
        <v>2584</v>
      </c>
      <c r="L55" t="s">
        <v>172</v>
      </c>
      <c r="M55" t="s">
        <v>60</v>
      </c>
      <c r="P55" t="s">
        <v>888</v>
      </c>
      <c r="R55" t="s">
        <v>2582</v>
      </c>
      <c r="S55" s="2">
        <v>44011</v>
      </c>
      <c r="T55" s="2">
        <v>44012</v>
      </c>
      <c r="V55" s="2">
        <v>44017</v>
      </c>
      <c r="Y55" t="s">
        <v>1735</v>
      </c>
      <c r="Z55" t="s">
        <v>1735</v>
      </c>
      <c r="AA55" t="s">
        <v>1735</v>
      </c>
      <c r="AB55" t="s">
        <v>67</v>
      </c>
      <c r="AC55" t="s">
        <v>67</v>
      </c>
      <c r="AD55" t="s">
        <v>67</v>
      </c>
      <c r="AF55" t="s">
        <v>2399</v>
      </c>
      <c r="AG55" t="s">
        <v>2400</v>
      </c>
      <c r="AH55" t="s">
        <v>2399</v>
      </c>
      <c r="AI55" t="s">
        <v>252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87</v>
      </c>
      <c r="AP55">
        <v>0</v>
      </c>
      <c r="AV55">
        <v>-1</v>
      </c>
    </row>
    <row r="56" spans="1:48" x14ac:dyDescent="0.55000000000000004">
      <c r="A56" t="str">
        <f>HYPERLINK("https://www.infodis.net/philips/net/Shipment/Details?InfodisNumber=1472368&amp;DomainCode=PHILIPSM1", "1472368")</f>
        <v>1472368</v>
      </c>
      <c r="B56" t="s">
        <v>2585</v>
      </c>
      <c r="C56" t="s">
        <v>2080</v>
      </c>
      <c r="D56" t="s">
        <v>2081</v>
      </c>
      <c r="E56" t="s">
        <v>2082</v>
      </c>
      <c r="F56" t="s">
        <v>2569</v>
      </c>
      <c r="G56" t="s">
        <v>1430</v>
      </c>
      <c r="H56" t="s">
        <v>244</v>
      </c>
      <c r="I56" t="s">
        <v>2084</v>
      </c>
      <c r="J56" t="s">
        <v>2570</v>
      </c>
      <c r="K56" t="s">
        <v>2571</v>
      </c>
      <c r="L56" t="s">
        <v>998</v>
      </c>
      <c r="M56" t="s">
        <v>60</v>
      </c>
      <c r="P56" t="s">
        <v>1432</v>
      </c>
      <c r="Q56" t="s">
        <v>2586</v>
      </c>
      <c r="R56" t="s">
        <v>2573</v>
      </c>
      <c r="S56" s="2">
        <v>44054</v>
      </c>
      <c r="T56" s="2">
        <v>44054</v>
      </c>
      <c r="U56" s="2">
        <v>44055</v>
      </c>
      <c r="V56" s="2">
        <v>44059</v>
      </c>
      <c r="W56" s="2">
        <v>44063</v>
      </c>
      <c r="Y56" t="s">
        <v>2387</v>
      </c>
      <c r="Z56" t="s">
        <v>2387</v>
      </c>
      <c r="AA56" t="s">
        <v>603</v>
      </c>
      <c r="AB56" t="s">
        <v>67</v>
      </c>
      <c r="AC56" t="s">
        <v>67</v>
      </c>
      <c r="AD56" t="s">
        <v>68</v>
      </c>
      <c r="AF56" t="s">
        <v>2179</v>
      </c>
      <c r="AG56" t="s">
        <v>2180</v>
      </c>
      <c r="AH56" t="s">
        <v>2179</v>
      </c>
      <c r="AI56" t="s">
        <v>605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1111.5999999999999</v>
      </c>
      <c r="AP56">
        <v>8</v>
      </c>
      <c r="AV56">
        <v>-1</v>
      </c>
    </row>
    <row r="57" spans="1:48" x14ac:dyDescent="0.55000000000000004">
      <c r="A57" t="str">
        <f>HYPERLINK("https://www.infodis.net/philips/net/Shipment/Details?InfodisNumber=1472762&amp;DomainCode=PHILIPSM1", "1472762")</f>
        <v>1472762</v>
      </c>
      <c r="B57" t="s">
        <v>2587</v>
      </c>
      <c r="C57" t="s">
        <v>2080</v>
      </c>
      <c r="D57" t="s">
        <v>2081</v>
      </c>
      <c r="E57" t="s">
        <v>1428</v>
      </c>
      <c r="F57" t="s">
        <v>2588</v>
      </c>
      <c r="G57" t="s">
        <v>1430</v>
      </c>
      <c r="H57" t="s">
        <v>244</v>
      </c>
      <c r="I57" t="s">
        <v>2084</v>
      </c>
      <c r="J57" t="s">
        <v>2057</v>
      </c>
      <c r="K57" t="s">
        <v>2589</v>
      </c>
      <c r="L57" t="s">
        <v>180</v>
      </c>
      <c r="M57" t="s">
        <v>60</v>
      </c>
      <c r="P57" t="s">
        <v>1432</v>
      </c>
      <c r="Q57" t="s">
        <v>2590</v>
      </c>
      <c r="R57" t="s">
        <v>2591</v>
      </c>
      <c r="S57" s="2">
        <v>44054</v>
      </c>
      <c r="T57" s="2">
        <v>44055</v>
      </c>
      <c r="U57" s="2">
        <v>44057</v>
      </c>
      <c r="V57" s="2">
        <v>44060</v>
      </c>
      <c r="W57" s="2">
        <v>44063</v>
      </c>
      <c r="Y57" t="s">
        <v>2387</v>
      </c>
      <c r="Z57" t="s">
        <v>2387</v>
      </c>
      <c r="AA57" t="s">
        <v>603</v>
      </c>
      <c r="AB57" t="s">
        <v>67</v>
      </c>
      <c r="AC57" t="s">
        <v>67</v>
      </c>
      <c r="AD57" t="s">
        <v>68</v>
      </c>
      <c r="AF57" t="s">
        <v>2179</v>
      </c>
      <c r="AG57" t="s">
        <v>2180</v>
      </c>
      <c r="AH57" t="s">
        <v>2179</v>
      </c>
      <c r="AI57" t="s">
        <v>605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185</v>
      </c>
      <c r="AP57">
        <v>0.92200000000000004</v>
      </c>
      <c r="AV57">
        <v>-1</v>
      </c>
    </row>
    <row r="58" spans="1:48" x14ac:dyDescent="0.55000000000000004">
      <c r="A58" t="str">
        <f>HYPERLINK("https://www.infodis.net/philips/net/Shipment/Details?InfodisNumber=4492829&amp;DomainCode=DAP", "4492829")</f>
        <v>4492829</v>
      </c>
      <c r="B58" t="s">
        <v>2592</v>
      </c>
      <c r="C58" t="s">
        <v>2593</v>
      </c>
      <c r="D58" t="s">
        <v>2594</v>
      </c>
      <c r="E58" t="s">
        <v>2593</v>
      </c>
      <c r="F58" t="s">
        <v>571</v>
      </c>
      <c r="G58" t="s">
        <v>2595</v>
      </c>
      <c r="H58" t="s">
        <v>180</v>
      </c>
      <c r="I58" t="s">
        <v>2596</v>
      </c>
      <c r="J58" t="s">
        <v>2396</v>
      </c>
      <c r="K58" t="s">
        <v>546</v>
      </c>
      <c r="L58" t="s">
        <v>79</v>
      </c>
      <c r="M58" t="s">
        <v>60</v>
      </c>
      <c r="P58" t="s">
        <v>2597</v>
      </c>
      <c r="R58" t="s">
        <v>575</v>
      </c>
      <c r="S58" s="2">
        <v>44057</v>
      </c>
      <c r="T58" s="2">
        <v>44057</v>
      </c>
      <c r="U58" s="2">
        <v>44056</v>
      </c>
      <c r="V58" s="2">
        <v>44060</v>
      </c>
      <c r="W58" s="2">
        <v>44057</v>
      </c>
      <c r="X58" s="2">
        <v>44061</v>
      </c>
      <c r="Y58" t="s">
        <v>1735</v>
      </c>
      <c r="Z58" t="s">
        <v>1735</v>
      </c>
      <c r="AA58" t="s">
        <v>1735</v>
      </c>
      <c r="AB58" t="s">
        <v>67</v>
      </c>
      <c r="AC58" t="s">
        <v>67</v>
      </c>
      <c r="AD58" t="s">
        <v>67</v>
      </c>
      <c r="AF58" t="s">
        <v>2179</v>
      </c>
      <c r="AG58" t="s">
        <v>2180</v>
      </c>
      <c r="AH58" t="s">
        <v>2179</v>
      </c>
      <c r="AI58" t="s">
        <v>73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1258.72</v>
      </c>
      <c r="AP58">
        <v>1.4E-2</v>
      </c>
      <c r="AV58">
        <v>-1</v>
      </c>
    </row>
    <row r="59" spans="1:48" x14ac:dyDescent="0.55000000000000004">
      <c r="A59" t="str">
        <f>HYPERLINK("https://www.infodis.net/philips/net/Shipment/Details?InfodisNumber=1578041&amp;DomainCode=PHILIPSM1", "1578041")</f>
        <v>1578041</v>
      </c>
      <c r="B59" t="s">
        <v>2598</v>
      </c>
      <c r="C59" t="s">
        <v>2353</v>
      </c>
      <c r="D59" t="s">
        <v>2354</v>
      </c>
      <c r="E59" t="s">
        <v>2355</v>
      </c>
      <c r="F59" t="s">
        <v>2356</v>
      </c>
      <c r="G59" t="s">
        <v>667</v>
      </c>
      <c r="H59" t="s">
        <v>79</v>
      </c>
      <c r="I59" t="s">
        <v>1813</v>
      </c>
      <c r="J59" t="s">
        <v>2357</v>
      </c>
      <c r="K59" t="s">
        <v>2248</v>
      </c>
      <c r="L59" t="s">
        <v>230</v>
      </c>
      <c r="M59" t="s">
        <v>60</v>
      </c>
      <c r="P59" t="s">
        <v>1853</v>
      </c>
      <c r="Q59" t="s">
        <v>2599</v>
      </c>
      <c r="R59" t="s">
        <v>2293</v>
      </c>
      <c r="S59" s="2">
        <v>44154</v>
      </c>
      <c r="T59" s="2">
        <v>44154</v>
      </c>
      <c r="U59" s="2">
        <v>44154</v>
      </c>
      <c r="V59" s="2">
        <v>44157</v>
      </c>
      <c r="W59" s="2">
        <v>44155</v>
      </c>
      <c r="Y59" t="s">
        <v>2359</v>
      </c>
      <c r="Z59" t="s">
        <v>2359</v>
      </c>
      <c r="AA59" t="s">
        <v>603</v>
      </c>
      <c r="AB59" t="s">
        <v>67</v>
      </c>
      <c r="AC59" t="s">
        <v>67</v>
      </c>
      <c r="AD59" t="s">
        <v>68</v>
      </c>
      <c r="AF59" t="s">
        <v>2179</v>
      </c>
      <c r="AG59" t="s">
        <v>2180</v>
      </c>
      <c r="AH59" t="s">
        <v>2179</v>
      </c>
      <c r="AI59" t="s">
        <v>605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192</v>
      </c>
      <c r="AP59">
        <v>1.3149999999999999</v>
      </c>
      <c r="AV59">
        <v>-1</v>
      </c>
    </row>
    <row r="60" spans="1:48" x14ac:dyDescent="0.55000000000000004">
      <c r="A60" t="str">
        <f>HYPERLINK("https://www.infodis.net/philips/net/Shipment/Details?InfodisNumber=4560907&amp;DomainCode=DAP", "4560907")</f>
        <v>4560907</v>
      </c>
      <c r="B60" t="s">
        <v>2600</v>
      </c>
      <c r="C60" t="s">
        <v>2227</v>
      </c>
      <c r="D60" t="s">
        <v>2228</v>
      </c>
      <c r="E60" t="s">
        <v>94</v>
      </c>
      <c r="F60" t="s">
        <v>121</v>
      </c>
      <c r="G60" t="s">
        <v>424</v>
      </c>
      <c r="H60" t="s">
        <v>79</v>
      </c>
      <c r="I60" t="s">
        <v>2601</v>
      </c>
      <c r="J60" t="s">
        <v>2602</v>
      </c>
      <c r="K60" t="s">
        <v>124</v>
      </c>
      <c r="L60" t="s">
        <v>125</v>
      </c>
      <c r="M60" t="s">
        <v>60</v>
      </c>
      <c r="P60" t="s">
        <v>2229</v>
      </c>
      <c r="R60" t="s">
        <v>126</v>
      </c>
      <c r="S60" s="2">
        <v>44154</v>
      </c>
      <c r="T60" s="2">
        <v>44159</v>
      </c>
      <c r="V60" s="2">
        <v>44164</v>
      </c>
      <c r="Y60" t="s">
        <v>2051</v>
      </c>
      <c r="Z60" t="s">
        <v>2051</v>
      </c>
      <c r="AA60" t="s">
        <v>2051</v>
      </c>
      <c r="AB60" t="s">
        <v>67</v>
      </c>
      <c r="AC60" t="s">
        <v>67</v>
      </c>
      <c r="AD60" t="s">
        <v>67</v>
      </c>
      <c r="AF60" t="s">
        <v>2399</v>
      </c>
      <c r="AG60" t="s">
        <v>2400</v>
      </c>
      <c r="AH60" t="s">
        <v>2399</v>
      </c>
      <c r="AI60" t="s">
        <v>73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1519.51</v>
      </c>
      <c r="AP60">
        <v>9.6379999999999999</v>
      </c>
      <c r="AV60">
        <v>-1</v>
      </c>
    </row>
    <row r="61" spans="1:48" x14ac:dyDescent="0.55000000000000004">
      <c r="A61" t="str">
        <f>HYPERLINK("https://www.infodis.net/philips/net/Shipment/Details?InfodisNumber=1491562&amp;DomainCode=PHILIPSM1", "1491562")</f>
        <v>1491562</v>
      </c>
      <c r="B61" t="s">
        <v>2603</v>
      </c>
      <c r="C61" t="s">
        <v>2539</v>
      </c>
      <c r="D61" t="s">
        <v>2540</v>
      </c>
      <c r="E61" t="s">
        <v>2539</v>
      </c>
      <c r="F61" t="s">
        <v>2549</v>
      </c>
      <c r="G61" t="s">
        <v>2542</v>
      </c>
      <c r="H61" t="s">
        <v>180</v>
      </c>
      <c r="I61" t="s">
        <v>652</v>
      </c>
      <c r="J61" t="s">
        <v>293</v>
      </c>
      <c r="K61" t="s">
        <v>937</v>
      </c>
      <c r="L61" t="s">
        <v>938</v>
      </c>
      <c r="M61" t="s">
        <v>60</v>
      </c>
      <c r="P61" t="s">
        <v>2545</v>
      </c>
      <c r="Q61" t="s">
        <v>2604</v>
      </c>
      <c r="R61" t="s">
        <v>939</v>
      </c>
      <c r="S61" s="2">
        <v>44074</v>
      </c>
      <c r="T61" s="2">
        <v>44074</v>
      </c>
      <c r="U61" s="2">
        <v>44074</v>
      </c>
      <c r="V61" s="2">
        <v>44079</v>
      </c>
      <c r="Y61" t="s">
        <v>2359</v>
      </c>
      <c r="Z61" t="s">
        <v>2359</v>
      </c>
      <c r="AA61" t="s">
        <v>2359</v>
      </c>
      <c r="AB61" t="s">
        <v>67</v>
      </c>
      <c r="AC61" t="s">
        <v>67</v>
      </c>
      <c r="AD61" t="s">
        <v>67</v>
      </c>
      <c r="AF61" t="s">
        <v>2399</v>
      </c>
      <c r="AG61" t="s">
        <v>2400</v>
      </c>
      <c r="AH61" t="s">
        <v>2399</v>
      </c>
      <c r="AI61" t="s">
        <v>605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227</v>
      </c>
      <c r="AP61">
        <v>1.764</v>
      </c>
      <c r="AV61">
        <v>-1</v>
      </c>
    </row>
    <row r="62" spans="1:48" x14ac:dyDescent="0.55000000000000004">
      <c r="A62" t="str">
        <f>HYPERLINK("https://www.infodis.net/philips/net/Shipment/Details?InfodisNumber=1579335&amp;DomainCode=PHILIPSM1", "1579335")</f>
        <v>1579335</v>
      </c>
      <c r="B62" t="s">
        <v>2605</v>
      </c>
      <c r="C62" t="s">
        <v>2080</v>
      </c>
      <c r="D62" t="s">
        <v>2081</v>
      </c>
      <c r="E62" t="s">
        <v>2089</v>
      </c>
      <c r="F62" t="s">
        <v>2606</v>
      </c>
      <c r="G62" t="s">
        <v>1430</v>
      </c>
      <c r="H62" t="s">
        <v>244</v>
      </c>
      <c r="I62" t="s">
        <v>2084</v>
      </c>
      <c r="J62" t="s">
        <v>2607</v>
      </c>
      <c r="K62" t="s">
        <v>1380</v>
      </c>
      <c r="L62" t="s">
        <v>132</v>
      </c>
      <c r="M62" t="s">
        <v>60</v>
      </c>
      <c r="P62" t="s">
        <v>1432</v>
      </c>
      <c r="Q62" t="s">
        <v>2608</v>
      </c>
      <c r="R62" t="s">
        <v>2609</v>
      </c>
      <c r="S62" s="2">
        <v>44154</v>
      </c>
      <c r="T62" s="2">
        <v>44154</v>
      </c>
      <c r="U62" s="2">
        <v>44154</v>
      </c>
      <c r="V62" s="2">
        <v>44155</v>
      </c>
      <c r="W62" s="2">
        <v>44158</v>
      </c>
      <c r="Y62" t="s">
        <v>2387</v>
      </c>
      <c r="Z62" t="s">
        <v>2387</v>
      </c>
      <c r="AA62" t="s">
        <v>603</v>
      </c>
      <c r="AB62" t="s">
        <v>67</v>
      </c>
      <c r="AC62" t="s">
        <v>67</v>
      </c>
      <c r="AD62" t="s">
        <v>68</v>
      </c>
      <c r="AF62" t="s">
        <v>2610</v>
      </c>
      <c r="AG62" t="s">
        <v>2611</v>
      </c>
      <c r="AH62" t="s">
        <v>2610</v>
      </c>
      <c r="AI62" t="s">
        <v>605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</v>
      </c>
      <c r="AP62">
        <v>2.5000000000000001E-2</v>
      </c>
      <c r="AV62">
        <v>-1</v>
      </c>
    </row>
    <row r="63" spans="1:48" x14ac:dyDescent="0.55000000000000004">
      <c r="A63" t="str">
        <f>HYPERLINK("https://www.infodis.net/philips/net/Shipment/Details?InfodisNumber=4561029&amp;DomainCode=DAP", "4561029")</f>
        <v>4561029</v>
      </c>
      <c r="B63" t="s">
        <v>2612</v>
      </c>
      <c r="C63" t="s">
        <v>2613</v>
      </c>
      <c r="D63" t="s">
        <v>2614</v>
      </c>
      <c r="E63" t="s">
        <v>2613</v>
      </c>
      <c r="F63" t="s">
        <v>291</v>
      </c>
      <c r="G63" t="s">
        <v>292</v>
      </c>
      <c r="H63" t="s">
        <v>207</v>
      </c>
      <c r="I63" t="s">
        <v>2615</v>
      </c>
      <c r="J63" t="s">
        <v>2616</v>
      </c>
      <c r="K63" t="s">
        <v>295</v>
      </c>
      <c r="L63" t="s">
        <v>296</v>
      </c>
      <c r="M63" t="s">
        <v>84</v>
      </c>
      <c r="P63" t="s">
        <v>299</v>
      </c>
      <c r="Q63" t="s">
        <v>2617</v>
      </c>
      <c r="R63" t="s">
        <v>300</v>
      </c>
      <c r="S63" s="2">
        <v>44154</v>
      </c>
      <c r="T63" s="2">
        <v>44158</v>
      </c>
      <c r="U63" s="2">
        <v>44158</v>
      </c>
      <c r="V63" s="2">
        <v>44163</v>
      </c>
      <c r="W63" s="2">
        <v>44158</v>
      </c>
      <c r="Y63" t="s">
        <v>1735</v>
      </c>
      <c r="Z63" t="s">
        <v>1735</v>
      </c>
      <c r="AA63" t="s">
        <v>1735</v>
      </c>
      <c r="AB63" t="s">
        <v>67</v>
      </c>
      <c r="AC63" t="s">
        <v>67</v>
      </c>
      <c r="AD63" t="s">
        <v>67</v>
      </c>
      <c r="AF63" t="s">
        <v>2399</v>
      </c>
      <c r="AG63" t="s">
        <v>2400</v>
      </c>
      <c r="AH63" t="s">
        <v>2399</v>
      </c>
      <c r="AI63" t="s">
        <v>73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514</v>
      </c>
      <c r="AP63">
        <v>4.0279999999999996</v>
      </c>
      <c r="AV63">
        <v>-1</v>
      </c>
    </row>
    <row r="64" spans="1:48" x14ac:dyDescent="0.55000000000000004">
      <c r="A64" t="str">
        <f>HYPERLINK("https://www.infodis.net/philips/net/Shipment/Details?InfodisNumber=4561058&amp;DomainCode=DAP", "4561058")</f>
        <v>4561058</v>
      </c>
      <c r="B64" t="s">
        <v>2618</v>
      </c>
      <c r="C64" t="s">
        <v>2619</v>
      </c>
      <c r="D64" t="s">
        <v>2620</v>
      </c>
      <c r="E64" t="s">
        <v>2619</v>
      </c>
      <c r="F64" t="s">
        <v>77</v>
      </c>
      <c r="G64" t="s">
        <v>546</v>
      </c>
      <c r="H64" t="s">
        <v>79</v>
      </c>
      <c r="I64" t="s">
        <v>80</v>
      </c>
      <c r="J64" t="s">
        <v>2141</v>
      </c>
      <c r="K64" t="s">
        <v>82</v>
      </c>
      <c r="L64" t="s">
        <v>83</v>
      </c>
      <c r="M64" t="s">
        <v>261</v>
      </c>
      <c r="P64" t="s">
        <v>348</v>
      </c>
      <c r="Q64" t="s">
        <v>2621</v>
      </c>
      <c r="R64" t="s">
        <v>87</v>
      </c>
      <c r="S64" s="2">
        <v>44154</v>
      </c>
      <c r="T64" s="2">
        <v>44161</v>
      </c>
      <c r="V64" s="2">
        <v>44164</v>
      </c>
      <c r="X64" s="2">
        <v>44159</v>
      </c>
      <c r="Y64" t="s">
        <v>66</v>
      </c>
      <c r="Z64" t="s">
        <v>2051</v>
      </c>
      <c r="AA64" t="s">
        <v>2051</v>
      </c>
      <c r="AB64" t="s">
        <v>68</v>
      </c>
      <c r="AC64" t="s">
        <v>67</v>
      </c>
      <c r="AD64" t="s">
        <v>67</v>
      </c>
      <c r="AF64" t="s">
        <v>2179</v>
      </c>
      <c r="AG64" t="s">
        <v>2180</v>
      </c>
      <c r="AH64" t="s">
        <v>2179</v>
      </c>
      <c r="AI64" t="s">
        <v>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211</v>
      </c>
      <c r="AP64">
        <v>2.6819999999999999</v>
      </c>
      <c r="AV64">
        <v>-1</v>
      </c>
    </row>
    <row r="65" spans="1:48" x14ac:dyDescent="0.55000000000000004">
      <c r="A65" t="str">
        <f>HYPERLINK("https://www.infodis.net/philips/net/Shipment/Details?InfodisNumber=4561103&amp;DomainCode=DAP", "4561103")</f>
        <v>4561103</v>
      </c>
      <c r="B65" t="s">
        <v>2622</v>
      </c>
      <c r="C65" t="s">
        <v>212</v>
      </c>
      <c r="D65" t="s">
        <v>213</v>
      </c>
      <c r="E65" t="s">
        <v>214</v>
      </c>
      <c r="F65" t="s">
        <v>2069</v>
      </c>
      <c r="G65" t="s">
        <v>216</v>
      </c>
      <c r="H65" t="s">
        <v>55</v>
      </c>
      <c r="I65" t="s">
        <v>2367</v>
      </c>
      <c r="J65" t="s">
        <v>293</v>
      </c>
      <c r="K65" t="s">
        <v>937</v>
      </c>
      <c r="L65" t="s">
        <v>938</v>
      </c>
      <c r="M65" t="s">
        <v>60</v>
      </c>
      <c r="P65" t="s">
        <v>2369</v>
      </c>
      <c r="Q65" t="s">
        <v>2623</v>
      </c>
      <c r="R65" t="s">
        <v>2424</v>
      </c>
      <c r="S65" s="2">
        <v>44154</v>
      </c>
      <c r="T65" s="2">
        <v>44159</v>
      </c>
      <c r="U65" s="2">
        <v>44158</v>
      </c>
      <c r="V65" s="2">
        <v>44162</v>
      </c>
      <c r="Y65" t="s">
        <v>2398</v>
      </c>
      <c r="Z65" t="s">
        <v>2398</v>
      </c>
      <c r="AA65" t="s">
        <v>2398</v>
      </c>
      <c r="AB65" t="s">
        <v>67</v>
      </c>
      <c r="AC65" t="s">
        <v>67</v>
      </c>
      <c r="AD65" t="s">
        <v>67</v>
      </c>
      <c r="AF65" t="s">
        <v>2179</v>
      </c>
      <c r="AG65" t="s">
        <v>2180</v>
      </c>
      <c r="AH65" t="s">
        <v>2179</v>
      </c>
      <c r="AI65" t="s">
        <v>73</v>
      </c>
      <c r="AJ65">
        <v>0</v>
      </c>
      <c r="AK65">
        <v>0</v>
      </c>
      <c r="AL65">
        <v>0</v>
      </c>
      <c r="AM65">
        <v>0</v>
      </c>
      <c r="AN65">
        <v>8</v>
      </c>
      <c r="AO65">
        <v>748.8</v>
      </c>
      <c r="AP65">
        <v>8.4600000000000009</v>
      </c>
      <c r="AV65">
        <v>-1</v>
      </c>
    </row>
    <row r="66" spans="1:48" x14ac:dyDescent="0.55000000000000004">
      <c r="A66" t="str">
        <f>HYPERLINK("https://www.infodis.net/philips/net/Shipment/Details?InfodisNumber=4511872&amp;DomainCode=DAP", "4511872")</f>
        <v>4511872</v>
      </c>
      <c r="B66" t="s">
        <v>2624</v>
      </c>
      <c r="C66" t="s">
        <v>2532</v>
      </c>
      <c r="D66" t="s">
        <v>2533</v>
      </c>
      <c r="E66" t="s">
        <v>2186</v>
      </c>
      <c r="F66" t="s">
        <v>256</v>
      </c>
      <c r="G66" t="s">
        <v>2535</v>
      </c>
      <c r="H66" t="s">
        <v>772</v>
      </c>
      <c r="I66" t="s">
        <v>2625</v>
      </c>
      <c r="J66" t="s">
        <v>2626</v>
      </c>
      <c r="K66" t="s">
        <v>259</v>
      </c>
      <c r="L66" t="s">
        <v>260</v>
      </c>
      <c r="M66" t="s">
        <v>60</v>
      </c>
      <c r="O66" t="s">
        <v>2627</v>
      </c>
      <c r="P66" t="s">
        <v>2536</v>
      </c>
      <c r="R66" t="s">
        <v>262</v>
      </c>
      <c r="S66" s="2">
        <v>44085</v>
      </c>
      <c r="T66" s="2">
        <v>44085</v>
      </c>
      <c r="V66" s="2">
        <v>44088</v>
      </c>
      <c r="Y66" t="s">
        <v>66</v>
      </c>
      <c r="Z66" t="s">
        <v>1735</v>
      </c>
      <c r="AA66" t="s">
        <v>1735</v>
      </c>
      <c r="AB66" t="s">
        <v>68</v>
      </c>
      <c r="AC66" t="s">
        <v>67</v>
      </c>
      <c r="AD66" t="s">
        <v>67</v>
      </c>
      <c r="AF66" t="s">
        <v>2179</v>
      </c>
      <c r="AG66" t="s">
        <v>2180</v>
      </c>
      <c r="AH66" t="s">
        <v>2179</v>
      </c>
      <c r="AI66" t="s">
        <v>73</v>
      </c>
      <c r="AJ66">
        <v>0</v>
      </c>
      <c r="AK66">
        <v>0</v>
      </c>
      <c r="AL66">
        <v>0</v>
      </c>
      <c r="AM66">
        <v>0</v>
      </c>
      <c r="AN66">
        <v>5</v>
      </c>
      <c r="AO66">
        <v>-1</v>
      </c>
      <c r="AP66">
        <v>2.8</v>
      </c>
      <c r="AV66">
        <v>-1</v>
      </c>
    </row>
    <row r="67" spans="1:48" x14ac:dyDescent="0.55000000000000004">
      <c r="A67" t="str">
        <f>HYPERLINK("https://www.infodis.net/philips/net/Shipment/Details?InfodisNumber=6794756&amp;DomainCode=PHILIPSR1", "6794756")</f>
        <v>6794756</v>
      </c>
      <c r="B67" t="s">
        <v>2628</v>
      </c>
      <c r="C67" t="s">
        <v>2426</v>
      </c>
      <c r="D67" t="s">
        <v>2427</v>
      </c>
      <c r="E67" t="s">
        <v>458</v>
      </c>
      <c r="F67" t="s">
        <v>2428</v>
      </c>
      <c r="G67" t="s">
        <v>2429</v>
      </c>
      <c r="H67" t="s">
        <v>180</v>
      </c>
      <c r="I67" t="s">
        <v>652</v>
      </c>
      <c r="J67" t="s">
        <v>2308</v>
      </c>
      <c r="K67" t="s">
        <v>2430</v>
      </c>
      <c r="L67" t="s">
        <v>2134</v>
      </c>
      <c r="M67" t="s">
        <v>60</v>
      </c>
      <c r="O67" t="s">
        <v>2629</v>
      </c>
      <c r="P67" t="s">
        <v>613</v>
      </c>
      <c r="Q67" t="s">
        <v>2629</v>
      </c>
      <c r="R67" t="s">
        <v>2432</v>
      </c>
      <c r="S67" s="2">
        <v>44089</v>
      </c>
      <c r="T67" s="2">
        <v>44089</v>
      </c>
      <c r="U67" s="2">
        <v>44089</v>
      </c>
      <c r="V67" s="2">
        <v>44092</v>
      </c>
      <c r="Y67" t="s">
        <v>1735</v>
      </c>
      <c r="Z67" t="s">
        <v>1735</v>
      </c>
      <c r="AA67" t="s">
        <v>1735</v>
      </c>
      <c r="AB67" t="s">
        <v>67</v>
      </c>
      <c r="AC67" t="s">
        <v>67</v>
      </c>
      <c r="AD67" t="s">
        <v>67</v>
      </c>
      <c r="AF67" t="s">
        <v>2179</v>
      </c>
      <c r="AG67" t="s">
        <v>2180</v>
      </c>
      <c r="AH67" t="s">
        <v>2179</v>
      </c>
      <c r="AI67" t="s">
        <v>252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0.2</v>
      </c>
      <c r="AV67">
        <v>-1</v>
      </c>
    </row>
    <row r="68" spans="1:48" x14ac:dyDescent="0.55000000000000004">
      <c r="A68" t="str">
        <f>HYPERLINK("https://www.infodis.net/philips/net/Shipment/Details?InfodisNumber=4514166&amp;DomainCode=DAP", "4514166")</f>
        <v>4514166</v>
      </c>
      <c r="B68" t="s">
        <v>2630</v>
      </c>
      <c r="C68" t="s">
        <v>2631</v>
      </c>
      <c r="D68" t="s">
        <v>2632</v>
      </c>
      <c r="E68" t="s">
        <v>2631</v>
      </c>
      <c r="F68" t="s">
        <v>393</v>
      </c>
      <c r="G68" t="s">
        <v>2633</v>
      </c>
      <c r="H68" t="s">
        <v>2204</v>
      </c>
      <c r="I68" t="s">
        <v>2634</v>
      </c>
      <c r="J68" t="s">
        <v>2367</v>
      </c>
      <c r="K68" t="s">
        <v>855</v>
      </c>
      <c r="L68" t="s">
        <v>267</v>
      </c>
      <c r="M68" t="s">
        <v>84</v>
      </c>
      <c r="P68" t="s">
        <v>2635</v>
      </c>
      <c r="R68" t="s">
        <v>268</v>
      </c>
      <c r="S68" s="2">
        <v>44089</v>
      </c>
      <c r="T68" s="2">
        <v>44090</v>
      </c>
      <c r="V68" s="2">
        <v>44093</v>
      </c>
      <c r="Y68" t="s">
        <v>2411</v>
      </c>
      <c r="Z68" t="s">
        <v>2411</v>
      </c>
      <c r="AA68" t="s">
        <v>2411</v>
      </c>
      <c r="AB68" t="s">
        <v>67</v>
      </c>
      <c r="AC68" t="s">
        <v>67</v>
      </c>
      <c r="AD68" t="s">
        <v>67</v>
      </c>
      <c r="AF68" t="s">
        <v>2179</v>
      </c>
      <c r="AG68" t="s">
        <v>2180</v>
      </c>
      <c r="AH68" t="s">
        <v>2179</v>
      </c>
      <c r="AI68" t="s">
        <v>73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56</v>
      </c>
      <c r="AP68">
        <v>0.34599999999999997</v>
      </c>
      <c r="AV68">
        <v>-1</v>
      </c>
    </row>
    <row r="69" spans="1:48" x14ac:dyDescent="0.55000000000000004">
      <c r="A69" t="str">
        <f>HYPERLINK("https://www.infodis.net/philips/net/Shipment/Details?InfodisNumber=4515249&amp;DomainCode=DAP", "4515249")</f>
        <v>4515249</v>
      </c>
      <c r="B69" t="s">
        <v>2636</v>
      </c>
      <c r="C69" t="s">
        <v>2637</v>
      </c>
      <c r="D69" t="s">
        <v>2638</v>
      </c>
      <c r="E69" t="s">
        <v>304</v>
      </c>
      <c r="F69" t="s">
        <v>2639</v>
      </c>
      <c r="G69" t="s">
        <v>284</v>
      </c>
      <c r="H69" t="s">
        <v>285</v>
      </c>
      <c r="I69" t="s">
        <v>2640</v>
      </c>
      <c r="J69" t="s">
        <v>844</v>
      </c>
      <c r="K69" t="s">
        <v>1733</v>
      </c>
      <c r="L69" t="s">
        <v>846</v>
      </c>
      <c r="M69" t="s">
        <v>60</v>
      </c>
      <c r="P69" t="s">
        <v>287</v>
      </c>
      <c r="R69" t="s">
        <v>1734</v>
      </c>
      <c r="S69" s="2">
        <v>44091</v>
      </c>
      <c r="T69" s="2">
        <v>44092</v>
      </c>
      <c r="V69" s="2">
        <v>44097</v>
      </c>
      <c r="Y69" t="s">
        <v>2411</v>
      </c>
      <c r="Z69" t="s">
        <v>2411</v>
      </c>
      <c r="AA69" t="s">
        <v>2411</v>
      </c>
      <c r="AB69" t="s">
        <v>67</v>
      </c>
      <c r="AC69" t="s">
        <v>67</v>
      </c>
      <c r="AD69" t="s">
        <v>67</v>
      </c>
      <c r="AF69" t="s">
        <v>2399</v>
      </c>
      <c r="AG69" t="s">
        <v>2400</v>
      </c>
      <c r="AH69" t="s">
        <v>2399</v>
      </c>
      <c r="AI69" t="s">
        <v>73</v>
      </c>
      <c r="AJ69">
        <v>0</v>
      </c>
      <c r="AK69">
        <v>0</v>
      </c>
      <c r="AL69">
        <v>0</v>
      </c>
      <c r="AM69">
        <v>0</v>
      </c>
      <c r="AN69">
        <v>5</v>
      </c>
      <c r="AO69">
        <v>1610</v>
      </c>
      <c r="AP69">
        <v>11.52</v>
      </c>
      <c r="AV69">
        <v>-1</v>
      </c>
    </row>
    <row r="70" spans="1:48" x14ac:dyDescent="0.55000000000000004">
      <c r="A70" t="str">
        <f>HYPERLINK("https://www.infodis.net/philips/net/Shipment/Details?InfodisNumber=4516119&amp;DomainCode=DAP", "4516119")</f>
        <v>4516119</v>
      </c>
      <c r="B70" t="s">
        <v>2641</v>
      </c>
      <c r="C70" t="s">
        <v>2532</v>
      </c>
      <c r="D70" t="s">
        <v>2533</v>
      </c>
      <c r="E70" t="s">
        <v>393</v>
      </c>
      <c r="F70" t="s">
        <v>393</v>
      </c>
      <c r="G70" t="s">
        <v>2535</v>
      </c>
      <c r="H70" t="s">
        <v>772</v>
      </c>
      <c r="I70" t="s">
        <v>2642</v>
      </c>
      <c r="J70" t="s">
        <v>268</v>
      </c>
      <c r="K70" t="s">
        <v>855</v>
      </c>
      <c r="L70" t="s">
        <v>267</v>
      </c>
      <c r="M70" t="s">
        <v>84</v>
      </c>
      <c r="O70" t="s">
        <v>2643</v>
      </c>
      <c r="P70" t="s">
        <v>2536</v>
      </c>
      <c r="R70" t="s">
        <v>268</v>
      </c>
      <c r="S70" s="2">
        <v>44091</v>
      </c>
      <c r="T70" s="2">
        <v>44091</v>
      </c>
      <c r="V70" s="2">
        <v>44094</v>
      </c>
      <c r="Y70" t="s">
        <v>1735</v>
      </c>
      <c r="Z70" t="s">
        <v>1735</v>
      </c>
      <c r="AA70" t="s">
        <v>1735</v>
      </c>
      <c r="AB70" t="s">
        <v>67</v>
      </c>
      <c r="AC70" t="s">
        <v>67</v>
      </c>
      <c r="AD70" t="s">
        <v>67</v>
      </c>
      <c r="AF70" t="s">
        <v>2179</v>
      </c>
      <c r="AG70" t="s">
        <v>2180</v>
      </c>
      <c r="AH70" t="s">
        <v>2179</v>
      </c>
      <c r="AI70" t="s">
        <v>73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-1</v>
      </c>
      <c r="AP70">
        <v>0.41099999999999998</v>
      </c>
      <c r="AV70">
        <v>-1</v>
      </c>
    </row>
    <row r="71" spans="1:48" x14ac:dyDescent="0.55000000000000004">
      <c r="A71" t="str">
        <f>HYPERLINK("https://www.infodis.net/philips/net/Shipment/Details?InfodisNumber=6813476&amp;DomainCode=PHILIPSR1", "6813476")</f>
        <v>6813476</v>
      </c>
      <c r="B71" t="s">
        <v>2644</v>
      </c>
      <c r="C71" t="s">
        <v>2426</v>
      </c>
      <c r="D71" t="s">
        <v>2427</v>
      </c>
      <c r="E71" t="s">
        <v>458</v>
      </c>
      <c r="F71" t="s">
        <v>2428</v>
      </c>
      <c r="G71" t="s">
        <v>2429</v>
      </c>
      <c r="H71" t="s">
        <v>180</v>
      </c>
      <c r="I71" t="s">
        <v>652</v>
      </c>
      <c r="J71" t="s">
        <v>2308</v>
      </c>
      <c r="K71" t="s">
        <v>2430</v>
      </c>
      <c r="L71" t="s">
        <v>2134</v>
      </c>
      <c r="M71" t="s">
        <v>60</v>
      </c>
      <c r="O71" t="s">
        <v>2645</v>
      </c>
      <c r="P71" t="s">
        <v>613</v>
      </c>
      <c r="Q71" t="s">
        <v>2645</v>
      </c>
      <c r="R71" t="s">
        <v>2432</v>
      </c>
      <c r="S71" s="2">
        <v>44093</v>
      </c>
      <c r="T71" s="2">
        <v>44095</v>
      </c>
      <c r="U71" s="2">
        <v>44096</v>
      </c>
      <c r="V71" s="2">
        <v>44098</v>
      </c>
      <c r="Y71" t="s">
        <v>1735</v>
      </c>
      <c r="Z71" t="s">
        <v>1735</v>
      </c>
      <c r="AA71" t="s">
        <v>1735</v>
      </c>
      <c r="AB71" t="s">
        <v>67</v>
      </c>
      <c r="AC71" t="s">
        <v>67</v>
      </c>
      <c r="AD71" t="s">
        <v>67</v>
      </c>
      <c r="AF71" t="s">
        <v>2179</v>
      </c>
      <c r="AG71" t="s">
        <v>2180</v>
      </c>
      <c r="AH71" t="s">
        <v>2179</v>
      </c>
      <c r="AI71" t="s">
        <v>252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49.5</v>
      </c>
      <c r="AP71">
        <v>0.503</v>
      </c>
      <c r="AV71">
        <v>-1</v>
      </c>
    </row>
    <row r="72" spans="1:48" x14ac:dyDescent="0.55000000000000004">
      <c r="A72" t="str">
        <f>HYPERLINK("https://www.infodis.net/philips/net/Shipment/Details?InfodisNumber=6996379&amp;DomainCode=PHILIPSR1", "6996379")</f>
        <v>6996379</v>
      </c>
      <c r="B72" t="s">
        <v>2646</v>
      </c>
      <c r="C72" t="s">
        <v>2471</v>
      </c>
      <c r="D72" t="s">
        <v>2472</v>
      </c>
      <c r="E72" t="s">
        <v>458</v>
      </c>
      <c r="F72" t="s">
        <v>2473</v>
      </c>
      <c r="G72" t="s">
        <v>2429</v>
      </c>
      <c r="H72" t="s">
        <v>180</v>
      </c>
      <c r="I72" t="s">
        <v>652</v>
      </c>
      <c r="J72" t="s">
        <v>2396</v>
      </c>
      <c r="K72" t="s">
        <v>433</v>
      </c>
      <c r="L72" t="s">
        <v>79</v>
      </c>
      <c r="M72" t="s">
        <v>60</v>
      </c>
      <c r="P72" t="s">
        <v>613</v>
      </c>
      <c r="Q72" t="s">
        <v>2647</v>
      </c>
      <c r="R72" t="s">
        <v>2475</v>
      </c>
      <c r="S72" s="2">
        <v>44154</v>
      </c>
      <c r="T72" s="2">
        <v>44155</v>
      </c>
      <c r="U72" s="2">
        <v>44154</v>
      </c>
      <c r="V72" s="2">
        <v>44158</v>
      </c>
      <c r="W72" s="2">
        <v>44158</v>
      </c>
      <c r="Y72" t="s">
        <v>2476</v>
      </c>
      <c r="Z72" t="s">
        <v>2476</v>
      </c>
      <c r="AA72" t="s">
        <v>2476</v>
      </c>
      <c r="AB72" t="s">
        <v>67</v>
      </c>
      <c r="AC72" t="s">
        <v>67</v>
      </c>
      <c r="AD72" t="s">
        <v>67</v>
      </c>
      <c r="AF72" t="s">
        <v>2179</v>
      </c>
      <c r="AG72" t="s">
        <v>2180</v>
      </c>
      <c r="AH72" t="s">
        <v>2179</v>
      </c>
      <c r="AI72" t="s">
        <v>252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107.5</v>
      </c>
      <c r="AP72">
        <v>1.6679999999999999</v>
      </c>
      <c r="AV72">
        <v>-1</v>
      </c>
    </row>
    <row r="73" spans="1:48" x14ac:dyDescent="0.55000000000000004">
      <c r="A73" t="str">
        <f>HYPERLINK("https://www.infodis.net/philips/net/Shipment/Details?InfodisNumber=1514056&amp;DomainCode=PHILIPSM1", "1514056")</f>
        <v>1514056</v>
      </c>
      <c r="B73" t="s">
        <v>2648</v>
      </c>
      <c r="C73" t="s">
        <v>2080</v>
      </c>
      <c r="D73" t="s">
        <v>2081</v>
      </c>
      <c r="E73" t="s">
        <v>2082</v>
      </c>
      <c r="F73" t="s">
        <v>2649</v>
      </c>
      <c r="G73" t="s">
        <v>1430</v>
      </c>
      <c r="H73" t="s">
        <v>244</v>
      </c>
      <c r="I73" t="s">
        <v>2084</v>
      </c>
      <c r="J73" t="s">
        <v>2650</v>
      </c>
      <c r="K73" t="s">
        <v>2651</v>
      </c>
      <c r="L73" t="s">
        <v>2652</v>
      </c>
      <c r="M73" t="s">
        <v>60</v>
      </c>
      <c r="P73" t="s">
        <v>1432</v>
      </c>
      <c r="Q73" t="s">
        <v>2653</v>
      </c>
      <c r="R73" t="s">
        <v>2650</v>
      </c>
      <c r="S73" s="2">
        <v>44096</v>
      </c>
      <c r="T73" s="2">
        <v>44096</v>
      </c>
      <c r="U73" s="2">
        <v>44102</v>
      </c>
      <c r="V73" s="2">
        <v>44097</v>
      </c>
      <c r="W73" s="2">
        <v>44103</v>
      </c>
      <c r="Y73" t="s">
        <v>2387</v>
      </c>
      <c r="Z73" t="s">
        <v>2387</v>
      </c>
      <c r="AA73" t="s">
        <v>603</v>
      </c>
      <c r="AB73" t="s">
        <v>67</v>
      </c>
      <c r="AC73" t="s">
        <v>67</v>
      </c>
      <c r="AD73" t="s">
        <v>68</v>
      </c>
      <c r="AF73" t="s">
        <v>2610</v>
      </c>
      <c r="AG73" t="s">
        <v>2611</v>
      </c>
      <c r="AH73" t="s">
        <v>2610</v>
      </c>
      <c r="AI73" t="s">
        <v>605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1.8</v>
      </c>
      <c r="AP73">
        <v>2.5999999999999999E-2</v>
      </c>
      <c r="AV73">
        <v>-1</v>
      </c>
    </row>
    <row r="74" spans="1:48" x14ac:dyDescent="0.55000000000000004">
      <c r="A74" t="str">
        <f>HYPERLINK("https://www.infodis.net/philips/net/Shipment/Details?InfodisNumber=1514596&amp;DomainCode=PHILIPSM1", "1514596")</f>
        <v>1514596</v>
      </c>
      <c r="B74" t="s">
        <v>2654</v>
      </c>
      <c r="C74" t="s">
        <v>2080</v>
      </c>
      <c r="D74" t="s">
        <v>2081</v>
      </c>
      <c r="E74" t="s">
        <v>2082</v>
      </c>
      <c r="F74" t="s">
        <v>2083</v>
      </c>
      <c r="G74" t="s">
        <v>1430</v>
      </c>
      <c r="H74" t="s">
        <v>244</v>
      </c>
      <c r="I74" t="s">
        <v>2084</v>
      </c>
      <c r="J74" t="s">
        <v>2085</v>
      </c>
      <c r="K74" t="s">
        <v>2086</v>
      </c>
      <c r="L74" t="s">
        <v>2087</v>
      </c>
      <c r="M74" t="s">
        <v>60</v>
      </c>
      <c r="P74" t="s">
        <v>1432</v>
      </c>
      <c r="Q74" t="s">
        <v>2655</v>
      </c>
      <c r="R74" t="s">
        <v>2086</v>
      </c>
      <c r="S74" s="2">
        <v>44096</v>
      </c>
      <c r="T74" s="2">
        <v>44097</v>
      </c>
      <c r="U74" s="2">
        <v>44097</v>
      </c>
      <c r="V74" s="2">
        <v>44098</v>
      </c>
      <c r="Y74" t="s">
        <v>2387</v>
      </c>
      <c r="Z74" t="s">
        <v>2387</v>
      </c>
      <c r="AA74" t="s">
        <v>603</v>
      </c>
      <c r="AB74" t="s">
        <v>67</v>
      </c>
      <c r="AC74" t="s">
        <v>67</v>
      </c>
      <c r="AD74" t="s">
        <v>68</v>
      </c>
      <c r="AF74" t="s">
        <v>2610</v>
      </c>
      <c r="AG74" t="s">
        <v>2611</v>
      </c>
      <c r="AH74" t="s">
        <v>2610</v>
      </c>
      <c r="AI74" t="s">
        <v>605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13.8</v>
      </c>
      <c r="AP74">
        <v>0.2</v>
      </c>
      <c r="AV74">
        <v>-1</v>
      </c>
    </row>
    <row r="75" spans="1:48" x14ac:dyDescent="0.55000000000000004">
      <c r="A75" t="str">
        <f>HYPERLINK("https://www.infodis.net/philips/net/Shipment/Details?InfodisNumber=6996412&amp;DomainCode=PHILIPSR1", "6996412")</f>
        <v>6996412</v>
      </c>
      <c r="B75" t="s">
        <v>2656</v>
      </c>
      <c r="C75" t="s">
        <v>2471</v>
      </c>
      <c r="D75" t="s">
        <v>2472</v>
      </c>
      <c r="E75" t="s">
        <v>458</v>
      </c>
      <c r="F75" t="s">
        <v>2473</v>
      </c>
      <c r="G75" t="s">
        <v>2429</v>
      </c>
      <c r="H75" t="s">
        <v>180</v>
      </c>
      <c r="I75" t="s">
        <v>652</v>
      </c>
      <c r="J75" t="s">
        <v>2396</v>
      </c>
      <c r="K75" t="s">
        <v>433</v>
      </c>
      <c r="L75" t="s">
        <v>79</v>
      </c>
      <c r="M75" t="s">
        <v>60</v>
      </c>
      <c r="P75" t="s">
        <v>613</v>
      </c>
      <c r="Q75" t="s">
        <v>2657</v>
      </c>
      <c r="R75" t="s">
        <v>2475</v>
      </c>
      <c r="S75" s="2">
        <v>44154</v>
      </c>
      <c r="T75" s="2">
        <v>44155</v>
      </c>
      <c r="U75" s="2">
        <v>44154</v>
      </c>
      <c r="V75" s="2">
        <v>44158</v>
      </c>
      <c r="W75" s="2">
        <v>44158</v>
      </c>
      <c r="Y75" t="s">
        <v>2476</v>
      </c>
      <c r="Z75" t="s">
        <v>2476</v>
      </c>
      <c r="AA75" t="s">
        <v>2476</v>
      </c>
      <c r="AB75" t="s">
        <v>67</v>
      </c>
      <c r="AC75" t="s">
        <v>67</v>
      </c>
      <c r="AD75" t="s">
        <v>67</v>
      </c>
      <c r="AF75" t="s">
        <v>2179</v>
      </c>
      <c r="AG75" t="s">
        <v>2180</v>
      </c>
      <c r="AH75" t="s">
        <v>2179</v>
      </c>
      <c r="AI75" t="s">
        <v>252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414.58</v>
      </c>
      <c r="AP75">
        <v>4.024</v>
      </c>
      <c r="AV75">
        <v>-1</v>
      </c>
    </row>
    <row r="76" spans="1:48" x14ac:dyDescent="0.55000000000000004">
      <c r="A76" t="str">
        <f>HYPERLINK("https://www.infodis.net/philips/net/Shipment/Details?InfodisNumber=1516096&amp;DomainCode=PHILIPSM1", "1516096")</f>
        <v>1516096</v>
      </c>
      <c r="B76" t="s">
        <v>2658</v>
      </c>
      <c r="C76" t="s">
        <v>2080</v>
      </c>
      <c r="D76" t="s">
        <v>2081</v>
      </c>
      <c r="E76" t="s">
        <v>2082</v>
      </c>
      <c r="F76" t="s">
        <v>2649</v>
      </c>
      <c r="G76" t="s">
        <v>1430</v>
      </c>
      <c r="H76" t="s">
        <v>244</v>
      </c>
      <c r="I76" t="s">
        <v>2084</v>
      </c>
      <c r="J76" t="s">
        <v>2650</v>
      </c>
      <c r="K76" t="s">
        <v>2651</v>
      </c>
      <c r="L76" t="s">
        <v>2652</v>
      </c>
      <c r="M76" t="s">
        <v>60</v>
      </c>
      <c r="P76" t="s">
        <v>1432</v>
      </c>
      <c r="Q76" t="s">
        <v>2659</v>
      </c>
      <c r="R76" t="s">
        <v>2650</v>
      </c>
      <c r="S76" s="2">
        <v>44098</v>
      </c>
      <c r="T76" s="2">
        <v>44098</v>
      </c>
      <c r="U76" s="2">
        <v>44102</v>
      </c>
      <c r="V76" s="2">
        <v>44099</v>
      </c>
      <c r="W76" s="2">
        <v>44103</v>
      </c>
      <c r="Y76" t="s">
        <v>2387</v>
      </c>
      <c r="Z76" t="s">
        <v>2387</v>
      </c>
      <c r="AA76" t="s">
        <v>603</v>
      </c>
      <c r="AB76" t="s">
        <v>67</v>
      </c>
      <c r="AC76" t="s">
        <v>67</v>
      </c>
      <c r="AD76" t="s">
        <v>68</v>
      </c>
      <c r="AF76" t="s">
        <v>2610</v>
      </c>
      <c r="AG76" t="s">
        <v>2611</v>
      </c>
      <c r="AH76" t="s">
        <v>2610</v>
      </c>
      <c r="AI76" t="s">
        <v>605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1.8</v>
      </c>
      <c r="AP76">
        <v>2.3E-2</v>
      </c>
      <c r="AV76">
        <v>-1</v>
      </c>
    </row>
    <row r="77" spans="1:48" x14ac:dyDescent="0.55000000000000004">
      <c r="A77" t="str">
        <f>HYPERLINK("https://www.infodis.net/philips/net/Shipment/Details?InfodisNumber=1516032&amp;DomainCode=PHILIPSM1", "1516032")</f>
        <v>1516032</v>
      </c>
      <c r="B77" t="s">
        <v>2660</v>
      </c>
      <c r="C77" t="s">
        <v>2080</v>
      </c>
      <c r="D77" t="s">
        <v>2081</v>
      </c>
      <c r="E77" t="s">
        <v>2089</v>
      </c>
      <c r="F77" t="s">
        <v>2661</v>
      </c>
      <c r="G77" t="s">
        <v>1430</v>
      </c>
      <c r="H77" t="s">
        <v>244</v>
      </c>
      <c r="I77" t="s">
        <v>2084</v>
      </c>
      <c r="J77" t="s">
        <v>2057</v>
      </c>
      <c r="K77" t="s">
        <v>2662</v>
      </c>
      <c r="L77" t="s">
        <v>180</v>
      </c>
      <c r="M77" t="s">
        <v>60</v>
      </c>
      <c r="P77" t="s">
        <v>1432</v>
      </c>
      <c r="Q77" t="s">
        <v>2663</v>
      </c>
      <c r="R77" t="s">
        <v>2664</v>
      </c>
      <c r="S77" s="2">
        <v>44097</v>
      </c>
      <c r="T77" s="2">
        <v>44098</v>
      </c>
      <c r="U77" s="2">
        <v>44098</v>
      </c>
      <c r="V77" s="2">
        <v>44101</v>
      </c>
      <c r="W77" s="2">
        <v>44107</v>
      </c>
      <c r="Y77" t="s">
        <v>2387</v>
      </c>
      <c r="Z77" t="s">
        <v>2387</v>
      </c>
      <c r="AA77" t="s">
        <v>603</v>
      </c>
      <c r="AB77" t="s">
        <v>67</v>
      </c>
      <c r="AC77" t="s">
        <v>67</v>
      </c>
      <c r="AD77" t="s">
        <v>68</v>
      </c>
      <c r="AF77" t="s">
        <v>2179</v>
      </c>
      <c r="AG77" t="s">
        <v>2180</v>
      </c>
      <c r="AH77" t="s">
        <v>2179</v>
      </c>
      <c r="AI77" t="s">
        <v>605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124</v>
      </c>
      <c r="AP77">
        <v>1.5940000000000001</v>
      </c>
      <c r="AV77">
        <v>-1</v>
      </c>
    </row>
    <row r="78" spans="1:48" x14ac:dyDescent="0.55000000000000004">
      <c r="A78" t="str">
        <f>HYPERLINK("https://www.infodis.net/philips/net/Shipment/Details?InfodisNumber=6996427&amp;DomainCode=PHILIPSR1", "6996427")</f>
        <v>6996427</v>
      </c>
      <c r="B78" t="s">
        <v>2665</v>
      </c>
      <c r="C78" t="s">
        <v>2426</v>
      </c>
      <c r="D78" t="s">
        <v>2427</v>
      </c>
      <c r="E78" t="s">
        <v>458</v>
      </c>
      <c r="F78" t="s">
        <v>1300</v>
      </c>
      <c r="G78" t="s">
        <v>2429</v>
      </c>
      <c r="H78" t="s">
        <v>180</v>
      </c>
      <c r="I78" t="s">
        <v>652</v>
      </c>
      <c r="J78" t="s">
        <v>1301</v>
      </c>
      <c r="K78" t="s">
        <v>1302</v>
      </c>
      <c r="L78" t="s">
        <v>1303</v>
      </c>
      <c r="M78" t="s">
        <v>60</v>
      </c>
      <c r="P78" t="s">
        <v>613</v>
      </c>
      <c r="Q78" t="s">
        <v>2666</v>
      </c>
      <c r="R78" t="s">
        <v>1304</v>
      </c>
      <c r="S78" s="2">
        <v>44154</v>
      </c>
      <c r="T78" s="2">
        <v>44155</v>
      </c>
      <c r="U78" s="2">
        <v>44154</v>
      </c>
      <c r="V78" s="2">
        <v>44158</v>
      </c>
      <c r="Y78" t="s">
        <v>1735</v>
      </c>
      <c r="Z78" t="s">
        <v>1735</v>
      </c>
      <c r="AA78" t="s">
        <v>1735</v>
      </c>
      <c r="AB78" t="s">
        <v>67</v>
      </c>
      <c r="AC78" t="s">
        <v>67</v>
      </c>
      <c r="AD78" t="s">
        <v>67</v>
      </c>
      <c r="AF78" t="s">
        <v>2179</v>
      </c>
      <c r="AG78" t="s">
        <v>2180</v>
      </c>
      <c r="AH78" t="s">
        <v>2179</v>
      </c>
      <c r="AI78" t="s">
        <v>252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122</v>
      </c>
      <c r="AP78">
        <v>1.825</v>
      </c>
      <c r="AV78">
        <v>-1</v>
      </c>
    </row>
    <row r="79" spans="1:48" x14ac:dyDescent="0.55000000000000004">
      <c r="A79" t="str">
        <f>HYPERLINK("https://www.infodis.net/philips/net/Shipment/Details?InfodisNumber=4522481&amp;DomainCode=DAP", "4522481")</f>
        <v>4522481</v>
      </c>
      <c r="B79" t="s">
        <v>2667</v>
      </c>
      <c r="C79" t="s">
        <v>212</v>
      </c>
      <c r="D79" t="s">
        <v>213</v>
      </c>
      <c r="E79" t="s">
        <v>214</v>
      </c>
      <c r="F79" t="s">
        <v>2209</v>
      </c>
      <c r="G79" t="s">
        <v>216</v>
      </c>
      <c r="H79" t="s">
        <v>55</v>
      </c>
      <c r="I79" t="s">
        <v>2367</v>
      </c>
      <c r="J79" t="s">
        <v>2141</v>
      </c>
      <c r="K79" t="s">
        <v>2668</v>
      </c>
      <c r="L79" t="s">
        <v>83</v>
      </c>
      <c r="M79" t="s">
        <v>60</v>
      </c>
      <c r="P79" t="s">
        <v>2369</v>
      </c>
      <c r="R79" t="s">
        <v>87</v>
      </c>
      <c r="S79" s="2">
        <v>44099</v>
      </c>
      <c r="T79" s="2">
        <v>44099</v>
      </c>
      <c r="U79" s="2">
        <v>44102</v>
      </c>
      <c r="V79" s="2">
        <v>44102</v>
      </c>
      <c r="Y79" t="s">
        <v>1735</v>
      </c>
      <c r="Z79" t="s">
        <v>1735</v>
      </c>
      <c r="AA79" t="s">
        <v>1735</v>
      </c>
      <c r="AB79" t="s">
        <v>67</v>
      </c>
      <c r="AC79" t="s">
        <v>67</v>
      </c>
      <c r="AD79" t="s">
        <v>67</v>
      </c>
      <c r="AF79" t="s">
        <v>2179</v>
      </c>
      <c r="AG79" t="s">
        <v>2180</v>
      </c>
      <c r="AH79" t="s">
        <v>2179</v>
      </c>
      <c r="AI79" t="s">
        <v>73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908</v>
      </c>
      <c r="AP79">
        <v>-1</v>
      </c>
      <c r="AV79">
        <v>-1</v>
      </c>
    </row>
    <row r="80" spans="1:48" x14ac:dyDescent="0.55000000000000004">
      <c r="A80" t="str">
        <f>HYPERLINK("https://www.infodis.net/philips/net/Shipment/Details?InfodisNumber=4522729&amp;DomainCode=DAP", "4522729")</f>
        <v>4522729</v>
      </c>
      <c r="B80" t="s">
        <v>2669</v>
      </c>
      <c r="C80" t="s">
        <v>2067</v>
      </c>
      <c r="D80" t="s">
        <v>2068</v>
      </c>
      <c r="E80" t="s">
        <v>77</v>
      </c>
      <c r="F80" t="s">
        <v>77</v>
      </c>
      <c r="G80" t="s">
        <v>2670</v>
      </c>
      <c r="H80" t="s">
        <v>244</v>
      </c>
      <c r="I80" t="s">
        <v>2671</v>
      </c>
      <c r="J80" t="s">
        <v>2141</v>
      </c>
      <c r="K80" t="s">
        <v>82</v>
      </c>
      <c r="L80" t="s">
        <v>83</v>
      </c>
      <c r="M80" t="s">
        <v>84</v>
      </c>
      <c r="P80" t="s">
        <v>2672</v>
      </c>
      <c r="R80" t="s">
        <v>87</v>
      </c>
      <c r="S80" s="2">
        <v>44099</v>
      </c>
      <c r="T80" s="2">
        <v>44102</v>
      </c>
      <c r="V80" s="2">
        <v>44107</v>
      </c>
      <c r="Y80" t="s">
        <v>2411</v>
      </c>
      <c r="Z80" t="s">
        <v>2411</v>
      </c>
      <c r="AA80" t="s">
        <v>2411</v>
      </c>
      <c r="AB80" t="s">
        <v>67</v>
      </c>
      <c r="AC80" t="s">
        <v>67</v>
      </c>
      <c r="AD80" t="s">
        <v>67</v>
      </c>
      <c r="AF80" t="s">
        <v>2399</v>
      </c>
      <c r="AG80" t="s">
        <v>2400</v>
      </c>
      <c r="AH80" t="s">
        <v>2399</v>
      </c>
      <c r="AI80" t="s">
        <v>73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2470</v>
      </c>
      <c r="AP80">
        <v>17.489000000000001</v>
      </c>
      <c r="AV80">
        <v>-1</v>
      </c>
    </row>
    <row r="81" spans="1:48" x14ac:dyDescent="0.55000000000000004">
      <c r="A81" t="str">
        <f>HYPERLINK("https://www.infodis.net/philips/net/Shipment/Details?InfodisNumber=1519376&amp;DomainCode=PHILIPSM1", "1519376")</f>
        <v>1519376</v>
      </c>
      <c r="B81" t="s">
        <v>2673</v>
      </c>
      <c r="C81" t="s">
        <v>2080</v>
      </c>
      <c r="D81" t="s">
        <v>2081</v>
      </c>
      <c r="E81" t="s">
        <v>2089</v>
      </c>
      <c r="F81" t="s">
        <v>2674</v>
      </c>
      <c r="G81" t="s">
        <v>1430</v>
      </c>
      <c r="H81" t="s">
        <v>244</v>
      </c>
      <c r="I81" t="s">
        <v>2084</v>
      </c>
      <c r="J81" t="s">
        <v>2675</v>
      </c>
      <c r="K81" t="s">
        <v>2676</v>
      </c>
      <c r="L81" t="s">
        <v>647</v>
      </c>
      <c r="M81" t="s">
        <v>60</v>
      </c>
      <c r="P81" t="s">
        <v>1432</v>
      </c>
      <c r="Q81" t="s">
        <v>2677</v>
      </c>
      <c r="R81" t="s">
        <v>648</v>
      </c>
      <c r="S81" s="2">
        <v>44102</v>
      </c>
      <c r="T81" s="2">
        <v>44102</v>
      </c>
      <c r="U81" s="2">
        <v>44102</v>
      </c>
      <c r="V81" s="2">
        <v>44105</v>
      </c>
      <c r="W81" s="2">
        <v>44107</v>
      </c>
      <c r="Y81" t="s">
        <v>2387</v>
      </c>
      <c r="Z81" t="s">
        <v>2387</v>
      </c>
      <c r="AA81" t="s">
        <v>603</v>
      </c>
      <c r="AB81" t="s">
        <v>67</v>
      </c>
      <c r="AC81" t="s">
        <v>67</v>
      </c>
      <c r="AD81" t="s">
        <v>68</v>
      </c>
      <c r="AF81" t="s">
        <v>2179</v>
      </c>
      <c r="AG81" t="s">
        <v>2180</v>
      </c>
      <c r="AH81" t="s">
        <v>2179</v>
      </c>
      <c r="AI81" t="s">
        <v>605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0.6</v>
      </c>
      <c r="AP81">
        <v>9.0000000000000011E-3</v>
      </c>
      <c r="AV81">
        <v>-1</v>
      </c>
    </row>
    <row r="82" spans="1:48" x14ac:dyDescent="0.55000000000000004">
      <c r="A82" t="str">
        <f>HYPERLINK("https://www.infodis.net/philips/net/Shipment/Details?InfodisNumber=6839297&amp;DomainCode=PHILIPSR1", "6839297")</f>
        <v>6839297</v>
      </c>
      <c r="B82" t="s">
        <v>2678</v>
      </c>
      <c r="C82" t="s">
        <v>2426</v>
      </c>
      <c r="D82" t="s">
        <v>2427</v>
      </c>
      <c r="E82" t="s">
        <v>458</v>
      </c>
      <c r="F82" t="s">
        <v>2679</v>
      </c>
      <c r="G82" t="s">
        <v>2429</v>
      </c>
      <c r="H82" t="s">
        <v>180</v>
      </c>
      <c r="I82" t="s">
        <v>652</v>
      </c>
      <c r="J82" t="s">
        <v>2495</v>
      </c>
      <c r="K82" t="s">
        <v>2496</v>
      </c>
      <c r="L82" t="s">
        <v>73</v>
      </c>
      <c r="M82" t="s">
        <v>60</v>
      </c>
      <c r="P82" t="s">
        <v>613</v>
      </c>
      <c r="R82" t="s">
        <v>2495</v>
      </c>
      <c r="S82" s="2">
        <v>44102</v>
      </c>
      <c r="T82" s="2">
        <v>44103</v>
      </c>
      <c r="U82" s="2">
        <v>44102</v>
      </c>
      <c r="V82" s="2">
        <v>44106</v>
      </c>
      <c r="W82" s="2">
        <v>44106</v>
      </c>
      <c r="X82" s="2">
        <v>44109</v>
      </c>
      <c r="Y82" t="s">
        <v>2476</v>
      </c>
      <c r="Z82" t="s">
        <v>2476</v>
      </c>
      <c r="AA82" t="s">
        <v>2476</v>
      </c>
      <c r="AB82" t="s">
        <v>67</v>
      </c>
      <c r="AC82" t="s">
        <v>67</v>
      </c>
      <c r="AD82" t="s">
        <v>67</v>
      </c>
      <c r="AF82" t="s">
        <v>2179</v>
      </c>
      <c r="AG82" t="s">
        <v>2180</v>
      </c>
      <c r="AH82" t="s">
        <v>2179</v>
      </c>
      <c r="AI82" t="s">
        <v>252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83.01</v>
      </c>
      <c r="AP82">
        <v>1.0069999999999999</v>
      </c>
      <c r="AV82">
        <v>-1</v>
      </c>
    </row>
    <row r="83" spans="1:48" x14ac:dyDescent="0.55000000000000004">
      <c r="A83" t="str">
        <f>HYPERLINK("https://www.infodis.net/philips/net/Shipment/Details?InfodisNumber=4561266&amp;DomainCode=DAP", "4561266")</f>
        <v>4561266</v>
      </c>
      <c r="B83" t="s">
        <v>2680</v>
      </c>
      <c r="C83" t="s">
        <v>212</v>
      </c>
      <c r="D83" t="s">
        <v>213</v>
      </c>
      <c r="E83" t="s">
        <v>214</v>
      </c>
      <c r="F83" t="s">
        <v>1078</v>
      </c>
      <c r="G83" t="s">
        <v>216</v>
      </c>
      <c r="H83" t="s">
        <v>55</v>
      </c>
      <c r="I83" t="s">
        <v>2367</v>
      </c>
      <c r="J83" t="s">
        <v>2368</v>
      </c>
      <c r="K83" t="s">
        <v>269</v>
      </c>
      <c r="L83" t="s">
        <v>180</v>
      </c>
      <c r="M83" t="s">
        <v>60</v>
      </c>
      <c r="P83" t="s">
        <v>2369</v>
      </c>
      <c r="Q83" t="s">
        <v>2681</v>
      </c>
      <c r="R83" t="s">
        <v>271</v>
      </c>
      <c r="S83" s="2">
        <v>44154</v>
      </c>
      <c r="T83" s="2">
        <v>44155</v>
      </c>
      <c r="U83" s="2">
        <v>44155</v>
      </c>
      <c r="V83" s="2">
        <v>44158</v>
      </c>
      <c r="Y83" t="s">
        <v>2371</v>
      </c>
      <c r="Z83" t="s">
        <v>2371</v>
      </c>
      <c r="AA83" t="s">
        <v>2371</v>
      </c>
      <c r="AB83" t="s">
        <v>67</v>
      </c>
      <c r="AC83" t="s">
        <v>67</v>
      </c>
      <c r="AD83" t="s">
        <v>67</v>
      </c>
      <c r="AF83" t="s">
        <v>2179</v>
      </c>
      <c r="AG83" t="s">
        <v>2180</v>
      </c>
      <c r="AH83" t="s">
        <v>2179</v>
      </c>
      <c r="AI83" t="s">
        <v>73</v>
      </c>
      <c r="AJ83">
        <v>0</v>
      </c>
      <c r="AK83">
        <v>0</v>
      </c>
      <c r="AL83">
        <v>0</v>
      </c>
      <c r="AM83">
        <v>0</v>
      </c>
      <c r="AN83">
        <v>7</v>
      </c>
      <c r="AO83">
        <v>1156</v>
      </c>
      <c r="AP83">
        <v>8.9039999999999999</v>
      </c>
      <c r="AV83">
        <v>-1</v>
      </c>
    </row>
    <row r="84" spans="1:48" x14ac:dyDescent="0.55000000000000004">
      <c r="A84" t="str">
        <f>HYPERLINK("https://www.infodis.net/philips/net/Shipment/Details?InfodisNumber=1519463&amp;DomainCode=PHILIPSM1", "1519463")</f>
        <v>1519463</v>
      </c>
      <c r="B84" t="s">
        <v>2682</v>
      </c>
      <c r="C84" t="s">
        <v>2080</v>
      </c>
      <c r="D84" t="s">
        <v>2081</v>
      </c>
      <c r="E84" t="s">
        <v>1428</v>
      </c>
      <c r="F84" t="s">
        <v>2683</v>
      </c>
      <c r="G84" t="s">
        <v>1430</v>
      </c>
      <c r="H84" t="s">
        <v>244</v>
      </c>
      <c r="I84" t="s">
        <v>2084</v>
      </c>
      <c r="J84" t="s">
        <v>2684</v>
      </c>
      <c r="K84" t="s">
        <v>143</v>
      </c>
      <c r="L84" t="s">
        <v>83</v>
      </c>
      <c r="M84" t="s">
        <v>60</v>
      </c>
      <c r="P84" t="s">
        <v>1432</v>
      </c>
      <c r="Q84" t="s">
        <v>2685</v>
      </c>
      <c r="R84" t="s">
        <v>144</v>
      </c>
      <c r="S84" s="2">
        <v>44103</v>
      </c>
      <c r="T84" s="2">
        <v>44103</v>
      </c>
      <c r="U84" s="2">
        <v>44103</v>
      </c>
      <c r="V84" s="2">
        <v>44108</v>
      </c>
      <c r="W84" s="2">
        <v>44108</v>
      </c>
      <c r="Y84" t="s">
        <v>2387</v>
      </c>
      <c r="Z84" t="s">
        <v>2387</v>
      </c>
      <c r="AA84" t="s">
        <v>603</v>
      </c>
      <c r="AB84" t="s">
        <v>67</v>
      </c>
      <c r="AC84" t="s">
        <v>67</v>
      </c>
      <c r="AD84" t="s">
        <v>68</v>
      </c>
      <c r="AF84" t="s">
        <v>2399</v>
      </c>
      <c r="AG84" t="s">
        <v>2400</v>
      </c>
      <c r="AH84" t="s">
        <v>2399</v>
      </c>
      <c r="AI84" t="s">
        <v>605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11.9</v>
      </c>
      <c r="AP84">
        <v>8.1000000000000003E-2</v>
      </c>
      <c r="AV84">
        <v>-1</v>
      </c>
    </row>
    <row r="85" spans="1:48" x14ac:dyDescent="0.55000000000000004">
      <c r="A85" t="str">
        <f>HYPERLINK("https://www.infodis.net/philips/net/Shipment/Details?InfodisNumber=1519466&amp;DomainCode=PHILIPSM1", "1519466")</f>
        <v>1519466</v>
      </c>
      <c r="B85" t="s">
        <v>2686</v>
      </c>
      <c r="C85" t="s">
        <v>2080</v>
      </c>
      <c r="D85" t="s">
        <v>2081</v>
      </c>
      <c r="E85" t="s">
        <v>1428</v>
      </c>
      <c r="F85" t="s">
        <v>2687</v>
      </c>
      <c r="G85" t="s">
        <v>1430</v>
      </c>
      <c r="H85" t="s">
        <v>244</v>
      </c>
      <c r="I85" t="s">
        <v>2084</v>
      </c>
      <c r="J85" t="s">
        <v>2688</v>
      </c>
      <c r="K85" t="s">
        <v>2689</v>
      </c>
      <c r="L85" t="s">
        <v>207</v>
      </c>
      <c r="M85" t="s">
        <v>60</v>
      </c>
      <c r="P85" t="s">
        <v>1432</v>
      </c>
      <c r="Q85" t="s">
        <v>2690</v>
      </c>
      <c r="R85" t="s">
        <v>2691</v>
      </c>
      <c r="S85" s="2">
        <v>44103</v>
      </c>
      <c r="T85" s="2">
        <v>44103</v>
      </c>
      <c r="U85" s="2">
        <v>44103</v>
      </c>
      <c r="V85" s="2">
        <v>44108</v>
      </c>
      <c r="W85" s="2">
        <v>44108</v>
      </c>
      <c r="Y85" t="s">
        <v>2387</v>
      </c>
      <c r="Z85" t="s">
        <v>2387</v>
      </c>
      <c r="AA85" t="s">
        <v>603</v>
      </c>
      <c r="AB85" t="s">
        <v>67</v>
      </c>
      <c r="AC85" t="s">
        <v>67</v>
      </c>
      <c r="AD85" t="s">
        <v>68</v>
      </c>
      <c r="AF85" t="s">
        <v>2399</v>
      </c>
      <c r="AG85" t="s">
        <v>2400</v>
      </c>
      <c r="AH85" t="s">
        <v>2399</v>
      </c>
      <c r="AI85" t="s">
        <v>605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99.9</v>
      </c>
      <c r="AP85">
        <v>0.73199999999999998</v>
      </c>
      <c r="AV85">
        <v>-1</v>
      </c>
    </row>
    <row r="86" spans="1:48" x14ac:dyDescent="0.55000000000000004">
      <c r="A86" t="str">
        <f>HYPERLINK("https://www.infodis.net/philips/net/Shipment/Details?InfodisNumber=6845590&amp;DomainCode=PHILIPSR1", "6845590")</f>
        <v>6845590</v>
      </c>
      <c r="B86" t="s">
        <v>2692</v>
      </c>
      <c r="C86" t="s">
        <v>2449</v>
      </c>
      <c r="D86" t="s">
        <v>2450</v>
      </c>
      <c r="E86" t="s">
        <v>2449</v>
      </c>
      <c r="F86" t="s">
        <v>2452</v>
      </c>
      <c r="G86" t="s">
        <v>2453</v>
      </c>
      <c r="H86" t="s">
        <v>443</v>
      </c>
      <c r="I86" t="s">
        <v>2454</v>
      </c>
      <c r="J86" t="s">
        <v>2455</v>
      </c>
      <c r="K86" t="s">
        <v>2456</v>
      </c>
      <c r="L86" t="s">
        <v>321</v>
      </c>
      <c r="M86" t="s">
        <v>60</v>
      </c>
      <c r="O86" t="s">
        <v>2693</v>
      </c>
      <c r="P86" t="s">
        <v>2457</v>
      </c>
      <c r="R86" t="s">
        <v>2459</v>
      </c>
      <c r="S86" s="2">
        <v>44103</v>
      </c>
      <c r="T86" s="2">
        <v>44106</v>
      </c>
      <c r="V86" s="2">
        <v>44109</v>
      </c>
      <c r="W86" s="2">
        <v>44107</v>
      </c>
      <c r="X86" s="2">
        <v>44111</v>
      </c>
      <c r="Y86" t="s">
        <v>1735</v>
      </c>
      <c r="Z86" t="s">
        <v>1735</v>
      </c>
      <c r="AA86" t="s">
        <v>1735</v>
      </c>
      <c r="AB86" t="s">
        <v>67</v>
      </c>
      <c r="AC86" t="s">
        <v>67</v>
      </c>
      <c r="AD86" t="s">
        <v>67</v>
      </c>
      <c r="AF86" t="s">
        <v>2179</v>
      </c>
      <c r="AG86" t="s">
        <v>2180</v>
      </c>
      <c r="AH86" t="s">
        <v>2179</v>
      </c>
      <c r="AI86" t="s">
        <v>252</v>
      </c>
      <c r="AJ86">
        <v>0</v>
      </c>
      <c r="AK86">
        <v>0</v>
      </c>
      <c r="AL86">
        <v>0</v>
      </c>
      <c r="AM86">
        <v>0</v>
      </c>
      <c r="AN86">
        <v>8</v>
      </c>
      <c r="AO86">
        <v>200</v>
      </c>
      <c r="AP86">
        <v>14.141999999999999</v>
      </c>
      <c r="AV86">
        <v>-1</v>
      </c>
    </row>
    <row r="87" spans="1:48" x14ac:dyDescent="0.55000000000000004">
      <c r="A87" t="str">
        <f>HYPERLINK("https://www.infodis.net/philips/net/Shipment/Details?InfodisNumber=4525342&amp;DomainCode=DAP", "4525342")</f>
        <v>4525342</v>
      </c>
      <c r="B87" t="s">
        <v>2694</v>
      </c>
      <c r="C87" t="s">
        <v>2631</v>
      </c>
      <c r="D87" t="s">
        <v>2632</v>
      </c>
      <c r="E87" t="s">
        <v>2631</v>
      </c>
      <c r="F87" t="s">
        <v>393</v>
      </c>
      <c r="G87" t="s">
        <v>2633</v>
      </c>
      <c r="H87" t="s">
        <v>2204</v>
      </c>
      <c r="I87" t="s">
        <v>2634</v>
      </c>
      <c r="J87" t="s">
        <v>2367</v>
      </c>
      <c r="K87" t="s">
        <v>855</v>
      </c>
      <c r="L87" t="s">
        <v>267</v>
      </c>
      <c r="M87" t="s">
        <v>84</v>
      </c>
      <c r="P87" t="s">
        <v>2635</v>
      </c>
      <c r="R87" t="s">
        <v>268</v>
      </c>
      <c r="S87" s="2">
        <v>44103</v>
      </c>
      <c r="T87" s="2">
        <v>44104</v>
      </c>
      <c r="V87" s="2">
        <v>44107</v>
      </c>
      <c r="Y87" t="s">
        <v>2411</v>
      </c>
      <c r="Z87" t="s">
        <v>2411</v>
      </c>
      <c r="AA87" t="s">
        <v>2411</v>
      </c>
      <c r="AB87" t="s">
        <v>67</v>
      </c>
      <c r="AC87" t="s">
        <v>67</v>
      </c>
      <c r="AD87" t="s">
        <v>67</v>
      </c>
      <c r="AF87" t="s">
        <v>2179</v>
      </c>
      <c r="AG87" t="s">
        <v>2180</v>
      </c>
      <c r="AH87" t="s">
        <v>2179</v>
      </c>
      <c r="AI87" t="s">
        <v>73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56</v>
      </c>
      <c r="AP87">
        <v>0.38400000000000001</v>
      </c>
      <c r="AV87">
        <v>-1</v>
      </c>
    </row>
    <row r="88" spans="1:48" x14ac:dyDescent="0.55000000000000004">
      <c r="A88" t="str">
        <f>HYPERLINK("https://www.infodis.net/philips/net/Shipment/Details?InfodisNumber=1522592&amp;DomainCode=PHILIPSM1", "1522592")</f>
        <v>1522592</v>
      </c>
      <c r="B88" t="s">
        <v>2695</v>
      </c>
      <c r="C88" t="s">
        <v>2080</v>
      </c>
      <c r="D88" t="s">
        <v>2081</v>
      </c>
      <c r="E88" t="s">
        <v>2089</v>
      </c>
      <c r="G88" t="s">
        <v>1430</v>
      </c>
      <c r="H88" t="s">
        <v>244</v>
      </c>
      <c r="I88" t="s">
        <v>2084</v>
      </c>
      <c r="J88" t="s">
        <v>2583</v>
      </c>
      <c r="K88" t="s">
        <v>2696</v>
      </c>
      <c r="L88" t="s">
        <v>881</v>
      </c>
      <c r="M88" t="s">
        <v>60</v>
      </c>
      <c r="P88" t="s">
        <v>1432</v>
      </c>
      <c r="Q88" t="s">
        <v>2697</v>
      </c>
      <c r="R88" t="s">
        <v>2698</v>
      </c>
      <c r="S88" s="2">
        <v>44103</v>
      </c>
      <c r="T88" s="2">
        <v>44104</v>
      </c>
      <c r="U88" s="2">
        <v>44104</v>
      </c>
      <c r="V88" s="2">
        <v>44104</v>
      </c>
      <c r="W88" s="2">
        <v>44109</v>
      </c>
      <c r="Y88" t="s">
        <v>2387</v>
      </c>
      <c r="Z88" t="s">
        <v>2387</v>
      </c>
      <c r="AA88" t="s">
        <v>603</v>
      </c>
      <c r="AB88" t="s">
        <v>67</v>
      </c>
      <c r="AC88" t="s">
        <v>67</v>
      </c>
      <c r="AD88" t="s">
        <v>68</v>
      </c>
      <c r="AF88" t="s">
        <v>2388</v>
      </c>
      <c r="AG88" t="s">
        <v>2389</v>
      </c>
      <c r="AH88" t="s">
        <v>2388</v>
      </c>
      <c r="AI88" t="s">
        <v>605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2.1999999999999999E-2</v>
      </c>
      <c r="AV88">
        <v>-1</v>
      </c>
    </row>
    <row r="89" spans="1:48" x14ac:dyDescent="0.55000000000000004">
      <c r="A89" t="str">
        <f>HYPERLINK("https://www.infodis.net/philips/net/Shipment/Details?InfodisNumber=1523271&amp;DomainCode=PHILIPSM1", "1523271")</f>
        <v>1523271</v>
      </c>
      <c r="B89" t="s">
        <v>2699</v>
      </c>
      <c r="C89" t="s">
        <v>2080</v>
      </c>
      <c r="D89" t="s">
        <v>2081</v>
      </c>
      <c r="E89" t="s">
        <v>1428</v>
      </c>
      <c r="F89" t="s">
        <v>2700</v>
      </c>
      <c r="G89" t="s">
        <v>1430</v>
      </c>
      <c r="H89" t="s">
        <v>244</v>
      </c>
      <c r="I89" t="s">
        <v>2084</v>
      </c>
      <c r="J89" t="s">
        <v>2602</v>
      </c>
      <c r="K89" t="s">
        <v>2701</v>
      </c>
      <c r="L89" t="s">
        <v>125</v>
      </c>
      <c r="M89" t="s">
        <v>60</v>
      </c>
      <c r="P89" t="s">
        <v>1432</v>
      </c>
      <c r="Q89" t="s">
        <v>2702</v>
      </c>
      <c r="R89" t="s">
        <v>2703</v>
      </c>
      <c r="S89" s="2">
        <v>44104</v>
      </c>
      <c r="T89" s="2">
        <v>44104</v>
      </c>
      <c r="U89" s="2">
        <v>44104</v>
      </c>
      <c r="V89" s="2">
        <v>44109</v>
      </c>
      <c r="W89" s="2">
        <v>44105</v>
      </c>
      <c r="Y89" t="s">
        <v>2387</v>
      </c>
      <c r="Z89" t="s">
        <v>2387</v>
      </c>
      <c r="AA89" t="s">
        <v>603</v>
      </c>
      <c r="AB89" t="s">
        <v>67</v>
      </c>
      <c r="AC89" t="s">
        <v>67</v>
      </c>
      <c r="AD89" t="s">
        <v>68</v>
      </c>
      <c r="AF89" t="s">
        <v>2399</v>
      </c>
      <c r="AG89" t="s">
        <v>2400</v>
      </c>
      <c r="AH89" t="s">
        <v>2399</v>
      </c>
      <c r="AI89" t="s">
        <v>605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76.7</v>
      </c>
      <c r="AP89">
        <v>0.55399999999999994</v>
      </c>
      <c r="AV89">
        <v>-1</v>
      </c>
    </row>
    <row r="90" spans="1:48" x14ac:dyDescent="0.55000000000000004">
      <c r="A90" t="str">
        <f>HYPERLINK("https://www.infodis.net/philips/net/Shipment/Details?InfodisNumber=6996673&amp;DomainCode=PHILIPSR1", "6996673")</f>
        <v>6996673</v>
      </c>
      <c r="B90" t="s">
        <v>2704</v>
      </c>
      <c r="C90" t="s">
        <v>2426</v>
      </c>
      <c r="D90" t="s">
        <v>2427</v>
      </c>
      <c r="E90" t="s">
        <v>458</v>
      </c>
      <c r="F90" t="s">
        <v>2705</v>
      </c>
      <c r="G90" t="s">
        <v>2429</v>
      </c>
      <c r="H90" t="s">
        <v>180</v>
      </c>
      <c r="I90" t="s">
        <v>652</v>
      </c>
      <c r="J90" t="s">
        <v>2706</v>
      </c>
      <c r="K90" t="s">
        <v>2707</v>
      </c>
      <c r="L90" t="s">
        <v>2708</v>
      </c>
      <c r="M90" t="s">
        <v>1794</v>
      </c>
      <c r="P90" t="s">
        <v>613</v>
      </c>
      <c r="Q90" t="s">
        <v>2709</v>
      </c>
      <c r="R90" t="s">
        <v>2710</v>
      </c>
      <c r="S90" s="2">
        <v>44154</v>
      </c>
      <c r="T90" s="2">
        <v>44155</v>
      </c>
      <c r="U90" s="2">
        <v>44154</v>
      </c>
      <c r="V90" s="2">
        <v>44158</v>
      </c>
      <c r="Y90" t="s">
        <v>1735</v>
      </c>
      <c r="Z90" t="s">
        <v>1735</v>
      </c>
      <c r="AA90" t="s">
        <v>66</v>
      </c>
      <c r="AB90" t="s">
        <v>67</v>
      </c>
      <c r="AC90" t="s">
        <v>67</v>
      </c>
      <c r="AD90" t="s">
        <v>68</v>
      </c>
      <c r="AF90" t="s">
        <v>2179</v>
      </c>
      <c r="AG90" t="s">
        <v>2180</v>
      </c>
      <c r="AH90" t="s">
        <v>2179</v>
      </c>
      <c r="AI90" t="s">
        <v>252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56</v>
      </c>
      <c r="AP90">
        <v>1.359</v>
      </c>
      <c r="AV90">
        <v>-1</v>
      </c>
    </row>
    <row r="91" spans="1:48" x14ac:dyDescent="0.55000000000000004">
      <c r="A91" t="str">
        <f>HYPERLINK("https://www.infodis.net/philips/net/Shipment/Details?InfodisNumber=1527575&amp;DomainCode=PHILIPSM1", "1527575")</f>
        <v>1527575</v>
      </c>
      <c r="B91" t="s">
        <v>2711</v>
      </c>
      <c r="C91" t="s">
        <v>2080</v>
      </c>
      <c r="D91" t="s">
        <v>2081</v>
      </c>
      <c r="E91" t="s">
        <v>1428</v>
      </c>
      <c r="F91" t="s">
        <v>2712</v>
      </c>
      <c r="G91" t="s">
        <v>1430</v>
      </c>
      <c r="H91" t="s">
        <v>244</v>
      </c>
      <c r="I91" t="s">
        <v>2084</v>
      </c>
      <c r="J91" t="s">
        <v>293</v>
      </c>
      <c r="K91" t="s">
        <v>945</v>
      </c>
      <c r="L91" t="s">
        <v>938</v>
      </c>
      <c r="M91" t="s">
        <v>84</v>
      </c>
      <c r="P91" t="s">
        <v>1432</v>
      </c>
      <c r="R91" t="s">
        <v>2517</v>
      </c>
      <c r="S91" s="2">
        <v>44106</v>
      </c>
      <c r="T91" s="2">
        <v>44109</v>
      </c>
      <c r="V91" s="2">
        <v>44114</v>
      </c>
      <c r="Y91" t="s">
        <v>2518</v>
      </c>
      <c r="Z91" t="s">
        <v>2518</v>
      </c>
      <c r="AA91" t="s">
        <v>603</v>
      </c>
      <c r="AB91" t="s">
        <v>67</v>
      </c>
      <c r="AC91" t="s">
        <v>67</v>
      </c>
      <c r="AD91" t="s">
        <v>68</v>
      </c>
      <c r="AF91" t="s">
        <v>2399</v>
      </c>
      <c r="AG91" t="s">
        <v>2400</v>
      </c>
      <c r="AH91" t="s">
        <v>2399</v>
      </c>
      <c r="AI91" t="s">
        <v>605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17.100000000000001</v>
      </c>
      <c r="AP91">
        <v>0</v>
      </c>
      <c r="AV91">
        <v>-1</v>
      </c>
    </row>
    <row r="92" spans="1:48" x14ac:dyDescent="0.55000000000000004">
      <c r="A92" t="str">
        <f>HYPERLINK("https://www.infodis.net/philips/net/Shipment/Details?InfodisNumber=4561288&amp;DomainCode=DAP", "4561288")</f>
        <v>4561288</v>
      </c>
      <c r="B92" t="s">
        <v>2713</v>
      </c>
      <c r="C92" t="s">
        <v>212</v>
      </c>
      <c r="D92" t="s">
        <v>213</v>
      </c>
      <c r="E92" t="s">
        <v>214</v>
      </c>
      <c r="F92" t="s">
        <v>1078</v>
      </c>
      <c r="G92" t="s">
        <v>216</v>
      </c>
      <c r="H92" t="s">
        <v>55</v>
      </c>
      <c r="I92" t="s">
        <v>2367</v>
      </c>
      <c r="J92" t="s">
        <v>2368</v>
      </c>
      <c r="K92" t="s">
        <v>269</v>
      </c>
      <c r="L92" t="s">
        <v>180</v>
      </c>
      <c r="M92" t="s">
        <v>60</v>
      </c>
      <c r="P92" t="s">
        <v>2369</v>
      </c>
      <c r="Q92" t="s">
        <v>2714</v>
      </c>
      <c r="R92" t="s">
        <v>271</v>
      </c>
      <c r="S92" s="2">
        <v>44154</v>
      </c>
      <c r="T92" s="2">
        <v>44155</v>
      </c>
      <c r="U92" s="2">
        <v>44155</v>
      </c>
      <c r="V92" s="2">
        <v>44158</v>
      </c>
      <c r="Y92" t="s">
        <v>2371</v>
      </c>
      <c r="Z92" t="s">
        <v>2371</v>
      </c>
      <c r="AA92" t="s">
        <v>2371</v>
      </c>
      <c r="AB92" t="s">
        <v>67</v>
      </c>
      <c r="AC92" t="s">
        <v>67</v>
      </c>
      <c r="AD92" t="s">
        <v>67</v>
      </c>
      <c r="AF92" t="s">
        <v>2179</v>
      </c>
      <c r="AG92" t="s">
        <v>2180</v>
      </c>
      <c r="AH92" t="s">
        <v>2179</v>
      </c>
      <c r="AI92" t="s">
        <v>73</v>
      </c>
      <c r="AJ92">
        <v>0</v>
      </c>
      <c r="AK92">
        <v>0</v>
      </c>
      <c r="AL92">
        <v>0</v>
      </c>
      <c r="AM92">
        <v>0</v>
      </c>
      <c r="AN92">
        <v>7</v>
      </c>
      <c r="AO92">
        <v>1195</v>
      </c>
      <c r="AP92">
        <v>8.9039999999999999</v>
      </c>
      <c r="AV92">
        <v>-1</v>
      </c>
    </row>
    <row r="93" spans="1:48" x14ac:dyDescent="0.55000000000000004">
      <c r="A93" t="str">
        <f>HYPERLINK("https://www.infodis.net/philips/net/Shipment/Details?InfodisNumber=6858495&amp;DomainCode=PHILIPSR1", "6858495")</f>
        <v>6858495</v>
      </c>
      <c r="B93" t="s">
        <v>2715</v>
      </c>
      <c r="C93" t="s">
        <v>2716</v>
      </c>
      <c r="D93" t="s">
        <v>2717</v>
      </c>
      <c r="E93" t="s">
        <v>242</v>
      </c>
      <c r="F93" t="s">
        <v>1450</v>
      </c>
      <c r="G93" t="s">
        <v>895</v>
      </c>
      <c r="H93" t="s">
        <v>180</v>
      </c>
      <c r="I93" t="s">
        <v>1451</v>
      </c>
      <c r="J93" t="s">
        <v>268</v>
      </c>
      <c r="K93" t="s">
        <v>2718</v>
      </c>
      <c r="L93" t="s">
        <v>267</v>
      </c>
      <c r="M93" t="s">
        <v>60</v>
      </c>
      <c r="O93" t="s">
        <v>2719</v>
      </c>
      <c r="P93" t="s">
        <v>898</v>
      </c>
      <c r="Q93" t="s">
        <v>2720</v>
      </c>
      <c r="R93" t="s">
        <v>1335</v>
      </c>
      <c r="S93" s="2">
        <v>44109</v>
      </c>
      <c r="T93" s="2">
        <v>44110</v>
      </c>
      <c r="U93" s="2">
        <v>44112</v>
      </c>
      <c r="V93" s="2">
        <v>44116</v>
      </c>
      <c r="W93" s="2">
        <v>44116</v>
      </c>
      <c r="X93" s="2">
        <v>44125</v>
      </c>
      <c r="Y93" t="s">
        <v>1735</v>
      </c>
      <c r="Z93" t="s">
        <v>1735</v>
      </c>
      <c r="AA93" t="s">
        <v>1735</v>
      </c>
      <c r="AB93" t="s">
        <v>67</v>
      </c>
      <c r="AC93" t="s">
        <v>67</v>
      </c>
      <c r="AD93" t="s">
        <v>67</v>
      </c>
      <c r="AF93" t="s">
        <v>2179</v>
      </c>
      <c r="AG93" t="s">
        <v>2180</v>
      </c>
      <c r="AH93" t="s">
        <v>2179</v>
      </c>
      <c r="AI93" t="s">
        <v>252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234</v>
      </c>
      <c r="AP93">
        <v>1.8879999999999999</v>
      </c>
      <c r="AV93">
        <v>-1</v>
      </c>
    </row>
    <row r="94" spans="1:48" x14ac:dyDescent="0.55000000000000004">
      <c r="A94" t="str">
        <f>HYPERLINK("https://www.infodis.net/philips/net/Shipment/Details?InfodisNumber=4561350&amp;DomainCode=DAP", "4561350")</f>
        <v>4561350</v>
      </c>
      <c r="B94" t="s">
        <v>2721</v>
      </c>
      <c r="C94" t="s">
        <v>2207</v>
      </c>
      <c r="D94" t="s">
        <v>2208</v>
      </c>
      <c r="E94" t="s">
        <v>2269</v>
      </c>
      <c r="F94" t="s">
        <v>121</v>
      </c>
      <c r="G94" t="s">
        <v>259</v>
      </c>
      <c r="H94" t="s">
        <v>260</v>
      </c>
      <c r="I94" t="s">
        <v>2626</v>
      </c>
      <c r="J94" t="s">
        <v>2602</v>
      </c>
      <c r="K94" t="s">
        <v>124</v>
      </c>
      <c r="L94" t="s">
        <v>125</v>
      </c>
      <c r="M94" t="s">
        <v>60</v>
      </c>
      <c r="P94" t="s">
        <v>2211</v>
      </c>
      <c r="R94" t="s">
        <v>126</v>
      </c>
      <c r="S94" s="2">
        <v>44154</v>
      </c>
      <c r="T94" s="2">
        <v>44158</v>
      </c>
      <c r="V94" s="2">
        <v>44161</v>
      </c>
      <c r="Y94" t="s">
        <v>2411</v>
      </c>
      <c r="Z94" t="s">
        <v>2411</v>
      </c>
      <c r="AA94" t="s">
        <v>2411</v>
      </c>
      <c r="AB94" t="s">
        <v>67</v>
      </c>
      <c r="AC94" t="s">
        <v>67</v>
      </c>
      <c r="AD94" t="s">
        <v>67</v>
      </c>
      <c r="AF94" t="s">
        <v>2179</v>
      </c>
      <c r="AG94" t="s">
        <v>2180</v>
      </c>
      <c r="AH94" t="s">
        <v>2179</v>
      </c>
      <c r="AI94" t="s">
        <v>73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832</v>
      </c>
      <c r="AP94">
        <v>7.3250000000000002</v>
      </c>
      <c r="AV94">
        <v>-1</v>
      </c>
    </row>
    <row r="95" spans="1:48" x14ac:dyDescent="0.55000000000000004">
      <c r="A95" t="str">
        <f>HYPERLINK("https://www.infodis.net/philips/net/Shipment/Details?InfodisNumber=6861012&amp;DomainCode=PHILIPSR1", "6861012")</f>
        <v>6861012</v>
      </c>
      <c r="B95" t="s">
        <v>2722</v>
      </c>
      <c r="C95" t="s">
        <v>2449</v>
      </c>
      <c r="D95" t="s">
        <v>2450</v>
      </c>
      <c r="E95" t="s">
        <v>2449</v>
      </c>
      <c r="F95" t="s">
        <v>2452</v>
      </c>
      <c r="G95" t="s">
        <v>2453</v>
      </c>
      <c r="H95" t="s">
        <v>443</v>
      </c>
      <c r="I95" t="s">
        <v>2454</v>
      </c>
      <c r="J95" t="s">
        <v>2455</v>
      </c>
      <c r="K95" t="s">
        <v>2456</v>
      </c>
      <c r="L95" t="s">
        <v>321</v>
      </c>
      <c r="M95" t="s">
        <v>60</v>
      </c>
      <c r="P95" t="s">
        <v>2457</v>
      </c>
      <c r="R95" t="s">
        <v>2459</v>
      </c>
      <c r="S95" s="2">
        <v>44109</v>
      </c>
      <c r="T95" s="2">
        <v>44109</v>
      </c>
      <c r="U95" s="2">
        <v>44110</v>
      </c>
      <c r="V95" s="2">
        <v>44112</v>
      </c>
      <c r="W95" s="2">
        <v>44111</v>
      </c>
      <c r="X95" s="2">
        <v>44117</v>
      </c>
      <c r="Y95" t="s">
        <v>1735</v>
      </c>
      <c r="Z95" t="s">
        <v>1735</v>
      </c>
      <c r="AA95" t="s">
        <v>1735</v>
      </c>
      <c r="AB95" t="s">
        <v>67</v>
      </c>
      <c r="AC95" t="s">
        <v>67</v>
      </c>
      <c r="AD95" t="s">
        <v>67</v>
      </c>
      <c r="AF95" t="s">
        <v>2179</v>
      </c>
      <c r="AG95" t="s">
        <v>2180</v>
      </c>
      <c r="AH95" t="s">
        <v>2179</v>
      </c>
      <c r="AI95" t="s">
        <v>252</v>
      </c>
      <c r="AJ95">
        <v>0</v>
      </c>
      <c r="AK95">
        <v>0</v>
      </c>
      <c r="AL95">
        <v>0</v>
      </c>
      <c r="AM95">
        <v>0</v>
      </c>
      <c r="AN95">
        <v>6</v>
      </c>
      <c r="AO95">
        <v>1050</v>
      </c>
      <c r="AP95">
        <v>10.198</v>
      </c>
      <c r="AV95">
        <v>-1</v>
      </c>
    </row>
    <row r="96" spans="1:48" x14ac:dyDescent="0.55000000000000004">
      <c r="A96" t="str">
        <f>HYPERLINK("https://www.infodis.net/philips/net/Shipment/Details?InfodisNumber=4528764&amp;DomainCode=DAP", "4528764")</f>
        <v>4528764</v>
      </c>
      <c r="B96" t="s">
        <v>2723</v>
      </c>
      <c r="C96" t="s">
        <v>2637</v>
      </c>
      <c r="D96" t="s">
        <v>2638</v>
      </c>
      <c r="E96" t="s">
        <v>304</v>
      </c>
      <c r="F96" t="s">
        <v>2639</v>
      </c>
      <c r="G96" t="s">
        <v>284</v>
      </c>
      <c r="H96" t="s">
        <v>285</v>
      </c>
      <c r="I96" t="s">
        <v>2640</v>
      </c>
      <c r="J96" t="s">
        <v>844</v>
      </c>
      <c r="K96" t="s">
        <v>1733</v>
      </c>
      <c r="L96" t="s">
        <v>846</v>
      </c>
      <c r="M96" t="s">
        <v>60</v>
      </c>
      <c r="P96" t="s">
        <v>287</v>
      </c>
      <c r="Q96" t="s">
        <v>2724</v>
      </c>
      <c r="R96" t="s">
        <v>1734</v>
      </c>
      <c r="S96" s="2">
        <v>44110</v>
      </c>
      <c r="T96" s="2">
        <v>44111</v>
      </c>
      <c r="U96" s="2">
        <v>44111</v>
      </c>
      <c r="V96" s="2">
        <v>44116</v>
      </c>
      <c r="W96" s="2">
        <v>44112</v>
      </c>
      <c r="X96" s="2">
        <v>44116</v>
      </c>
      <c r="Y96" t="s">
        <v>2411</v>
      </c>
      <c r="Z96" t="s">
        <v>2411</v>
      </c>
      <c r="AA96" t="s">
        <v>2411</v>
      </c>
      <c r="AB96" t="s">
        <v>67</v>
      </c>
      <c r="AC96" t="s">
        <v>67</v>
      </c>
      <c r="AD96" t="s">
        <v>67</v>
      </c>
      <c r="AF96" t="s">
        <v>2399</v>
      </c>
      <c r="AG96" t="s">
        <v>2400</v>
      </c>
      <c r="AH96" t="s">
        <v>2399</v>
      </c>
      <c r="AI96" t="s">
        <v>73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960</v>
      </c>
      <c r="AP96">
        <v>6.9120000000000008</v>
      </c>
      <c r="AV96">
        <v>-1</v>
      </c>
    </row>
    <row r="97" spans="1:48" x14ac:dyDescent="0.55000000000000004">
      <c r="A97" t="str">
        <f>HYPERLINK("https://www.infodis.net/philips/net/Shipment/Details?InfodisNumber=4528857&amp;DomainCode=DAP", "4528857")</f>
        <v>4528857</v>
      </c>
      <c r="B97" t="s">
        <v>2725</v>
      </c>
      <c r="C97" t="s">
        <v>2726</v>
      </c>
      <c r="D97" t="s">
        <v>2727</v>
      </c>
      <c r="E97" t="s">
        <v>2726</v>
      </c>
      <c r="F97" t="s">
        <v>571</v>
      </c>
      <c r="G97" t="s">
        <v>2728</v>
      </c>
      <c r="H97" t="s">
        <v>55</v>
      </c>
      <c r="I97" t="s">
        <v>2367</v>
      </c>
      <c r="J97" t="s">
        <v>2396</v>
      </c>
      <c r="K97" t="s">
        <v>546</v>
      </c>
      <c r="L97" t="s">
        <v>79</v>
      </c>
      <c r="M97" t="s">
        <v>1489</v>
      </c>
      <c r="P97" t="s">
        <v>2729</v>
      </c>
      <c r="Q97" t="s">
        <v>2730</v>
      </c>
      <c r="R97" t="s">
        <v>575</v>
      </c>
      <c r="S97" s="2">
        <v>44110</v>
      </c>
      <c r="T97" s="2">
        <v>44111</v>
      </c>
      <c r="U97" s="2">
        <v>44112</v>
      </c>
      <c r="V97" s="2">
        <v>44114</v>
      </c>
      <c r="Y97" t="s">
        <v>1735</v>
      </c>
      <c r="Z97" t="s">
        <v>1735</v>
      </c>
      <c r="AA97" t="s">
        <v>66</v>
      </c>
      <c r="AB97" t="s">
        <v>67</v>
      </c>
      <c r="AC97" t="s">
        <v>67</v>
      </c>
      <c r="AD97" t="s">
        <v>68</v>
      </c>
      <c r="AF97" t="s">
        <v>2179</v>
      </c>
      <c r="AG97" t="s">
        <v>2180</v>
      </c>
      <c r="AH97" t="s">
        <v>2179</v>
      </c>
      <c r="AI97" t="s">
        <v>73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415</v>
      </c>
      <c r="AP97">
        <v>-1</v>
      </c>
      <c r="AV97">
        <v>-1</v>
      </c>
    </row>
    <row r="98" spans="1:48" x14ac:dyDescent="0.55000000000000004">
      <c r="A98" t="str">
        <f>HYPERLINK("https://www.infodis.net/philips/net/Shipment/Details?InfodisNumber=4529316&amp;DomainCode=DAP", "4529316")</f>
        <v>4529316</v>
      </c>
      <c r="B98" t="s">
        <v>2731</v>
      </c>
      <c r="C98" t="s">
        <v>2732</v>
      </c>
      <c r="D98" t="s">
        <v>2733</v>
      </c>
      <c r="E98" t="s">
        <v>2734</v>
      </c>
      <c r="F98" t="s">
        <v>2048</v>
      </c>
      <c r="G98" t="s">
        <v>266</v>
      </c>
      <c r="H98" t="s">
        <v>267</v>
      </c>
      <c r="I98" t="s">
        <v>268</v>
      </c>
      <c r="J98" t="s">
        <v>2735</v>
      </c>
      <c r="K98" t="s">
        <v>1262</v>
      </c>
      <c r="L98" t="s">
        <v>1263</v>
      </c>
      <c r="M98" t="s">
        <v>261</v>
      </c>
      <c r="P98" t="s">
        <v>2736</v>
      </c>
      <c r="Q98" t="s">
        <v>2737</v>
      </c>
      <c r="R98" t="s">
        <v>1264</v>
      </c>
      <c r="S98" s="2">
        <v>44111</v>
      </c>
      <c r="T98" s="2">
        <v>44131</v>
      </c>
      <c r="V98" s="2">
        <v>44134</v>
      </c>
      <c r="Y98" t="s">
        <v>66</v>
      </c>
      <c r="Z98" t="s">
        <v>2411</v>
      </c>
      <c r="AA98" t="s">
        <v>2411</v>
      </c>
      <c r="AB98" t="s">
        <v>68</v>
      </c>
      <c r="AC98" t="s">
        <v>67</v>
      </c>
      <c r="AD98" t="s">
        <v>67</v>
      </c>
      <c r="AF98" t="s">
        <v>2179</v>
      </c>
      <c r="AG98" t="s">
        <v>2180</v>
      </c>
      <c r="AH98" t="s">
        <v>2179</v>
      </c>
      <c r="AI98" t="s">
        <v>73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963</v>
      </c>
      <c r="AP98">
        <v>1.47</v>
      </c>
      <c r="AV98">
        <v>-1</v>
      </c>
    </row>
    <row r="99" spans="1:48" x14ac:dyDescent="0.55000000000000004">
      <c r="A99" t="str">
        <f>HYPERLINK("https://www.infodis.net/philips/net/Shipment/Details?InfodisNumber=4529442&amp;DomainCode=DAP", "4529442")</f>
        <v>4529442</v>
      </c>
      <c r="B99" t="s">
        <v>2738</v>
      </c>
      <c r="C99" t="s">
        <v>933</v>
      </c>
      <c r="D99" t="s">
        <v>934</v>
      </c>
      <c r="E99" t="s">
        <v>291</v>
      </c>
      <c r="F99" t="s">
        <v>2110</v>
      </c>
      <c r="G99" t="s">
        <v>295</v>
      </c>
      <c r="H99" t="s">
        <v>296</v>
      </c>
      <c r="I99" t="s">
        <v>2739</v>
      </c>
      <c r="J99" t="s">
        <v>268</v>
      </c>
      <c r="K99" t="s">
        <v>2111</v>
      </c>
      <c r="L99" t="s">
        <v>79</v>
      </c>
      <c r="M99" t="s">
        <v>60</v>
      </c>
      <c r="P99" t="s">
        <v>300</v>
      </c>
      <c r="Q99" t="s">
        <v>2740</v>
      </c>
      <c r="R99" t="s">
        <v>1335</v>
      </c>
      <c r="S99" s="2">
        <v>44111</v>
      </c>
      <c r="T99" s="2">
        <v>44112</v>
      </c>
      <c r="U99" s="2">
        <v>44112</v>
      </c>
      <c r="V99" s="2">
        <v>44125</v>
      </c>
      <c r="W99" s="2">
        <v>44113</v>
      </c>
      <c r="X99" s="2">
        <v>44123</v>
      </c>
      <c r="Y99" t="s">
        <v>2411</v>
      </c>
      <c r="Z99" t="s">
        <v>2411</v>
      </c>
      <c r="AA99" t="s">
        <v>2411</v>
      </c>
      <c r="AB99" t="s">
        <v>67</v>
      </c>
      <c r="AC99" t="s">
        <v>67</v>
      </c>
      <c r="AD99" t="s">
        <v>67</v>
      </c>
      <c r="AF99" t="s">
        <v>2179</v>
      </c>
      <c r="AG99" t="s">
        <v>2180</v>
      </c>
      <c r="AH99" t="s">
        <v>2179</v>
      </c>
      <c r="AI99" t="s">
        <v>73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416.05</v>
      </c>
      <c r="AP99">
        <v>1.5609999999999999</v>
      </c>
      <c r="AV99">
        <v>-1</v>
      </c>
    </row>
    <row r="100" spans="1:48" x14ac:dyDescent="0.55000000000000004">
      <c r="A100" t="str">
        <f>HYPERLINK("https://www.infodis.net/philips/net/Shipment/Details?InfodisNumber=1532767&amp;DomainCode=PHILIPSM1", "1532767")</f>
        <v>1532767</v>
      </c>
      <c r="B100" t="s">
        <v>2741</v>
      </c>
      <c r="C100" t="s">
        <v>2080</v>
      </c>
      <c r="D100" t="s">
        <v>2081</v>
      </c>
      <c r="E100" t="s">
        <v>2082</v>
      </c>
      <c r="F100" t="s">
        <v>2569</v>
      </c>
      <c r="G100" t="s">
        <v>1430</v>
      </c>
      <c r="H100" t="s">
        <v>244</v>
      </c>
      <c r="I100" t="s">
        <v>2084</v>
      </c>
      <c r="J100" t="s">
        <v>2570</v>
      </c>
      <c r="K100" t="s">
        <v>2571</v>
      </c>
      <c r="L100" t="s">
        <v>998</v>
      </c>
      <c r="M100" t="s">
        <v>60</v>
      </c>
      <c r="P100" t="s">
        <v>1432</v>
      </c>
      <c r="R100" t="s">
        <v>2573</v>
      </c>
      <c r="S100" s="2">
        <v>44111</v>
      </c>
      <c r="T100" s="2">
        <v>44111</v>
      </c>
      <c r="V100" s="2">
        <v>44116</v>
      </c>
      <c r="Y100" t="s">
        <v>2518</v>
      </c>
      <c r="Z100" t="s">
        <v>2518</v>
      </c>
      <c r="AA100" t="s">
        <v>603</v>
      </c>
      <c r="AB100" t="s">
        <v>67</v>
      </c>
      <c r="AC100" t="s">
        <v>67</v>
      </c>
      <c r="AD100" t="s">
        <v>68</v>
      </c>
      <c r="AF100" t="s">
        <v>2399</v>
      </c>
      <c r="AG100" t="s">
        <v>2400</v>
      </c>
      <c r="AH100" t="s">
        <v>2399</v>
      </c>
      <c r="AI100" t="s">
        <v>605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550</v>
      </c>
      <c r="AP100">
        <v>0</v>
      </c>
      <c r="AV100">
        <v>-1</v>
      </c>
    </row>
    <row r="101" spans="1:48" x14ac:dyDescent="0.55000000000000004">
      <c r="A101" t="str">
        <f>HYPERLINK("https://www.infodis.net/philips/net/Shipment/Details?InfodisNumber=6867669&amp;DomainCode=PHILIPSR1", "6867669")</f>
        <v>6867669</v>
      </c>
      <c r="B101" t="s">
        <v>2742</v>
      </c>
      <c r="C101" t="s">
        <v>2449</v>
      </c>
      <c r="D101" t="s">
        <v>2450</v>
      </c>
      <c r="E101" t="s">
        <v>2449</v>
      </c>
      <c r="F101" t="s">
        <v>2452</v>
      </c>
      <c r="G101" t="s">
        <v>2453</v>
      </c>
      <c r="H101" t="s">
        <v>443</v>
      </c>
      <c r="I101" t="s">
        <v>2454</v>
      </c>
      <c r="J101" t="s">
        <v>2455</v>
      </c>
      <c r="K101" t="s">
        <v>2456</v>
      </c>
      <c r="L101" t="s">
        <v>321</v>
      </c>
      <c r="M101" t="s">
        <v>60</v>
      </c>
      <c r="P101" t="s">
        <v>2457</v>
      </c>
      <c r="R101" t="s">
        <v>2459</v>
      </c>
      <c r="S101" s="2">
        <v>44111</v>
      </c>
      <c r="T101" s="2">
        <v>44113</v>
      </c>
      <c r="U101" s="2">
        <v>44113</v>
      </c>
      <c r="V101" s="2">
        <v>44116</v>
      </c>
      <c r="W101" s="2">
        <v>44118</v>
      </c>
      <c r="X101" s="2">
        <v>44124</v>
      </c>
      <c r="Y101" t="s">
        <v>1735</v>
      </c>
      <c r="Z101" t="s">
        <v>1735</v>
      </c>
      <c r="AA101" t="s">
        <v>1735</v>
      </c>
      <c r="AB101" t="s">
        <v>67</v>
      </c>
      <c r="AC101" t="s">
        <v>67</v>
      </c>
      <c r="AD101" t="s">
        <v>67</v>
      </c>
      <c r="AF101" t="s">
        <v>2179</v>
      </c>
      <c r="AG101" t="s">
        <v>2180</v>
      </c>
      <c r="AH101" t="s">
        <v>2179</v>
      </c>
      <c r="AI101" t="s">
        <v>252</v>
      </c>
      <c r="AJ101">
        <v>0</v>
      </c>
      <c r="AK101">
        <v>0</v>
      </c>
      <c r="AL101">
        <v>0</v>
      </c>
      <c r="AM101">
        <v>0</v>
      </c>
      <c r="AN101">
        <v>8</v>
      </c>
      <c r="AO101">
        <v>200</v>
      </c>
      <c r="AP101">
        <v>14.141999999999999</v>
      </c>
      <c r="AV101">
        <v>-1</v>
      </c>
    </row>
    <row r="102" spans="1:48" x14ac:dyDescent="0.55000000000000004">
      <c r="A102" t="str">
        <f>HYPERLINK("https://www.infodis.net/philips/net/Shipment/Details?InfodisNumber=4530096&amp;DomainCode=DAP", "4530096")</f>
        <v>4530096</v>
      </c>
      <c r="B102" t="s">
        <v>2743</v>
      </c>
      <c r="C102" t="s">
        <v>2637</v>
      </c>
      <c r="D102" t="s">
        <v>2638</v>
      </c>
      <c r="E102" t="s">
        <v>304</v>
      </c>
      <c r="F102" t="s">
        <v>2744</v>
      </c>
      <c r="G102" t="s">
        <v>284</v>
      </c>
      <c r="H102" t="s">
        <v>285</v>
      </c>
      <c r="I102" t="s">
        <v>2640</v>
      </c>
      <c r="J102" t="s">
        <v>2506</v>
      </c>
      <c r="K102" t="s">
        <v>2745</v>
      </c>
      <c r="L102" t="s">
        <v>772</v>
      </c>
      <c r="M102" t="s">
        <v>60</v>
      </c>
      <c r="P102" t="s">
        <v>287</v>
      </c>
      <c r="Q102" t="s">
        <v>2746</v>
      </c>
      <c r="R102" t="s">
        <v>2747</v>
      </c>
      <c r="S102" s="2">
        <v>44112</v>
      </c>
      <c r="T102" s="2">
        <v>44113</v>
      </c>
      <c r="U102" s="2">
        <v>44113</v>
      </c>
      <c r="V102" s="2">
        <v>44118</v>
      </c>
      <c r="W102" s="2">
        <v>44113</v>
      </c>
      <c r="X102" s="2">
        <v>44124</v>
      </c>
      <c r="Y102" t="s">
        <v>2411</v>
      </c>
      <c r="Z102" t="s">
        <v>2411</v>
      </c>
      <c r="AA102" t="s">
        <v>2411</v>
      </c>
      <c r="AB102" t="s">
        <v>67</v>
      </c>
      <c r="AC102" t="s">
        <v>67</v>
      </c>
      <c r="AD102" t="s">
        <v>67</v>
      </c>
      <c r="AF102" t="s">
        <v>2399</v>
      </c>
      <c r="AG102" t="s">
        <v>2400</v>
      </c>
      <c r="AH102" t="s">
        <v>2399</v>
      </c>
      <c r="AI102" t="s">
        <v>73</v>
      </c>
      <c r="AJ102">
        <v>0</v>
      </c>
      <c r="AK102">
        <v>0</v>
      </c>
      <c r="AL102">
        <v>0</v>
      </c>
      <c r="AM102">
        <v>0</v>
      </c>
      <c r="AN102">
        <v>6</v>
      </c>
      <c r="AO102">
        <v>1912</v>
      </c>
      <c r="AP102">
        <v>12.672000000000001</v>
      </c>
      <c r="AV102">
        <v>-1</v>
      </c>
    </row>
    <row r="103" spans="1:48" x14ac:dyDescent="0.55000000000000004">
      <c r="A103" t="str">
        <f>HYPERLINK("https://www.infodis.net/philips/net/Shipment/Details?InfodisNumber=4530658&amp;DomainCode=DAP", "4530658")</f>
        <v>4530658</v>
      </c>
      <c r="B103" t="s">
        <v>2748</v>
      </c>
      <c r="C103" t="s">
        <v>212</v>
      </c>
      <c r="D103" t="s">
        <v>213</v>
      </c>
      <c r="E103" t="s">
        <v>214</v>
      </c>
      <c r="F103" t="s">
        <v>2749</v>
      </c>
      <c r="G103" t="s">
        <v>216</v>
      </c>
      <c r="H103" t="s">
        <v>55</v>
      </c>
      <c r="I103" t="s">
        <v>2367</v>
      </c>
      <c r="J103" t="s">
        <v>2750</v>
      </c>
      <c r="K103" t="s">
        <v>1282</v>
      </c>
      <c r="L103" t="s">
        <v>79</v>
      </c>
      <c r="M103" t="s">
        <v>60</v>
      </c>
      <c r="P103" t="s">
        <v>2369</v>
      </c>
      <c r="Q103" t="s">
        <v>2751</v>
      </c>
      <c r="R103" t="s">
        <v>2752</v>
      </c>
      <c r="S103" s="2">
        <v>44112</v>
      </c>
      <c r="T103" s="2">
        <v>44113</v>
      </c>
      <c r="U103" s="2">
        <v>44116</v>
      </c>
      <c r="V103" s="2">
        <v>44116</v>
      </c>
      <c r="W103" s="2">
        <v>44119</v>
      </c>
      <c r="X103" s="2">
        <v>44126</v>
      </c>
      <c r="Y103" t="s">
        <v>2411</v>
      </c>
      <c r="Z103" t="s">
        <v>2411</v>
      </c>
      <c r="AA103" t="s">
        <v>2411</v>
      </c>
      <c r="AB103" t="s">
        <v>67</v>
      </c>
      <c r="AC103" t="s">
        <v>67</v>
      </c>
      <c r="AD103" t="s">
        <v>67</v>
      </c>
      <c r="AF103" t="s">
        <v>2179</v>
      </c>
      <c r="AG103" t="s">
        <v>2180</v>
      </c>
      <c r="AH103" t="s">
        <v>2179</v>
      </c>
      <c r="AI103" t="s">
        <v>73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150</v>
      </c>
      <c r="AP103">
        <v>0.6</v>
      </c>
      <c r="AV103">
        <v>-1</v>
      </c>
    </row>
    <row r="104" spans="1:48" x14ac:dyDescent="0.55000000000000004">
      <c r="A104" t="str">
        <f>HYPERLINK("https://www.infodis.net/philips/net/Shipment/Details?InfodisNumber=6871089&amp;DomainCode=PHILIPSR1", "6871089")</f>
        <v>6871089</v>
      </c>
      <c r="B104" t="s">
        <v>2753</v>
      </c>
      <c r="C104" t="s">
        <v>2754</v>
      </c>
      <c r="D104" t="s">
        <v>2755</v>
      </c>
      <c r="E104" t="s">
        <v>242</v>
      </c>
      <c r="F104" t="s">
        <v>1450</v>
      </c>
      <c r="G104" t="s">
        <v>2756</v>
      </c>
      <c r="H104" t="s">
        <v>180</v>
      </c>
      <c r="I104" t="s">
        <v>2757</v>
      </c>
      <c r="J104" t="s">
        <v>268</v>
      </c>
      <c r="K104" t="s">
        <v>2718</v>
      </c>
      <c r="L104" t="s">
        <v>267</v>
      </c>
      <c r="M104" t="s">
        <v>60</v>
      </c>
      <c r="P104" t="s">
        <v>2758</v>
      </c>
      <c r="Q104" t="s">
        <v>2759</v>
      </c>
      <c r="R104" t="s">
        <v>1335</v>
      </c>
      <c r="S104" s="2">
        <v>44112</v>
      </c>
      <c r="T104" s="2">
        <v>44113</v>
      </c>
      <c r="U104" s="2">
        <v>44112</v>
      </c>
      <c r="V104" s="2">
        <v>44116</v>
      </c>
      <c r="W104" s="2">
        <v>44115</v>
      </c>
      <c r="X104" s="2">
        <v>44120</v>
      </c>
      <c r="Y104" t="s">
        <v>1735</v>
      </c>
      <c r="Z104" t="s">
        <v>1735</v>
      </c>
      <c r="AA104" t="s">
        <v>1735</v>
      </c>
      <c r="AB104" t="s">
        <v>67</v>
      </c>
      <c r="AC104" t="s">
        <v>67</v>
      </c>
      <c r="AD104" t="s">
        <v>67</v>
      </c>
      <c r="AF104" t="s">
        <v>2179</v>
      </c>
      <c r="AG104" t="s">
        <v>2180</v>
      </c>
      <c r="AH104" t="s">
        <v>2179</v>
      </c>
      <c r="AI104" t="s">
        <v>252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37</v>
      </c>
      <c r="AP104">
        <v>0.29499999999999998</v>
      </c>
      <c r="AV104">
        <v>-1</v>
      </c>
    </row>
    <row r="105" spans="1:48" x14ac:dyDescent="0.55000000000000004">
      <c r="A105" t="str">
        <f>HYPERLINK("https://www.infodis.net/philips/net/Shipment/Details?InfodisNumber=4531138&amp;DomainCode=DAP", "4531138")</f>
        <v>4531138</v>
      </c>
      <c r="B105" t="s">
        <v>2760</v>
      </c>
      <c r="C105" t="s">
        <v>2761</v>
      </c>
      <c r="D105" t="s">
        <v>2762</v>
      </c>
      <c r="E105" t="s">
        <v>2761</v>
      </c>
      <c r="F105" t="s">
        <v>191</v>
      </c>
      <c r="G105" t="s">
        <v>2763</v>
      </c>
      <c r="H105" t="s">
        <v>296</v>
      </c>
      <c r="I105" t="s">
        <v>2764</v>
      </c>
      <c r="J105" t="s">
        <v>2341</v>
      </c>
      <c r="K105" t="s">
        <v>219</v>
      </c>
      <c r="L105" t="s">
        <v>180</v>
      </c>
      <c r="M105" t="s">
        <v>84</v>
      </c>
      <c r="P105" t="s">
        <v>2765</v>
      </c>
      <c r="R105" t="s">
        <v>223</v>
      </c>
      <c r="S105" s="2">
        <v>44113</v>
      </c>
      <c r="T105" s="2">
        <v>44117</v>
      </c>
      <c r="V105" s="2">
        <v>44120</v>
      </c>
      <c r="Y105" t="s">
        <v>2411</v>
      </c>
      <c r="Z105" t="s">
        <v>2411</v>
      </c>
      <c r="AA105" t="s">
        <v>2411</v>
      </c>
      <c r="AB105" t="s">
        <v>67</v>
      </c>
      <c r="AC105" t="s">
        <v>67</v>
      </c>
      <c r="AD105" t="s">
        <v>67</v>
      </c>
      <c r="AF105" t="s">
        <v>2179</v>
      </c>
      <c r="AG105" t="s">
        <v>2180</v>
      </c>
      <c r="AH105" t="s">
        <v>2179</v>
      </c>
      <c r="AI105" t="s">
        <v>73</v>
      </c>
      <c r="AJ105">
        <v>0</v>
      </c>
      <c r="AK105">
        <v>0</v>
      </c>
      <c r="AL105">
        <v>0</v>
      </c>
      <c r="AM105">
        <v>0</v>
      </c>
      <c r="AN105">
        <v>8</v>
      </c>
      <c r="AO105">
        <v>1008</v>
      </c>
      <c r="AP105">
        <v>13.92</v>
      </c>
      <c r="AV105">
        <v>-1</v>
      </c>
    </row>
    <row r="106" spans="1:48" x14ac:dyDescent="0.55000000000000004">
      <c r="A106" t="str">
        <f>HYPERLINK("https://www.infodis.net/philips/net/Shipment/Details?InfodisNumber=1535999&amp;DomainCode=PHILIPSM1", "1535999")</f>
        <v>1535999</v>
      </c>
      <c r="B106" t="s">
        <v>2766</v>
      </c>
      <c r="C106" t="s">
        <v>2080</v>
      </c>
      <c r="D106" t="s">
        <v>2081</v>
      </c>
      <c r="E106" t="s">
        <v>2089</v>
      </c>
      <c r="G106" t="s">
        <v>1430</v>
      </c>
      <c r="H106" t="s">
        <v>244</v>
      </c>
      <c r="I106" t="s">
        <v>2084</v>
      </c>
      <c r="J106" t="s">
        <v>2767</v>
      </c>
      <c r="K106" t="s">
        <v>2768</v>
      </c>
      <c r="L106" t="s">
        <v>881</v>
      </c>
      <c r="M106" t="s">
        <v>60</v>
      </c>
      <c r="P106" t="s">
        <v>1432</v>
      </c>
      <c r="Q106" t="s">
        <v>2769</v>
      </c>
      <c r="R106" t="s">
        <v>2770</v>
      </c>
      <c r="S106" s="2">
        <v>44113</v>
      </c>
      <c r="T106" s="2">
        <v>44113</v>
      </c>
      <c r="U106" s="2">
        <v>44118</v>
      </c>
      <c r="V106" s="2">
        <v>44113</v>
      </c>
      <c r="W106" s="2">
        <v>44119</v>
      </c>
      <c r="Y106" t="s">
        <v>2387</v>
      </c>
      <c r="Z106" t="s">
        <v>2387</v>
      </c>
      <c r="AA106" t="s">
        <v>603</v>
      </c>
      <c r="AB106" t="s">
        <v>67</v>
      </c>
      <c r="AC106" t="s">
        <v>67</v>
      </c>
      <c r="AD106" t="s">
        <v>68</v>
      </c>
      <c r="AF106" t="s">
        <v>2388</v>
      </c>
      <c r="AG106" t="s">
        <v>2389</v>
      </c>
      <c r="AH106" t="s">
        <v>2388</v>
      </c>
      <c r="AI106" t="s">
        <v>605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0.9</v>
      </c>
      <c r="AP106">
        <v>2.5999999999999999E-2</v>
      </c>
      <c r="AV106">
        <v>-1</v>
      </c>
    </row>
    <row r="107" spans="1:48" x14ac:dyDescent="0.55000000000000004">
      <c r="A107" t="str">
        <f>HYPERLINK("https://www.infodis.net/philips/net/Shipment/Details?InfodisNumber=6890809&amp;DomainCode=PHILIPSR1", "6890809")</f>
        <v>6890809</v>
      </c>
      <c r="B107" t="s">
        <v>2771</v>
      </c>
      <c r="C107" t="s">
        <v>2754</v>
      </c>
      <c r="D107" t="s">
        <v>2755</v>
      </c>
      <c r="E107" t="s">
        <v>242</v>
      </c>
      <c r="F107" t="s">
        <v>1450</v>
      </c>
      <c r="G107" t="s">
        <v>2756</v>
      </c>
      <c r="H107" t="s">
        <v>180</v>
      </c>
      <c r="I107" t="s">
        <v>2757</v>
      </c>
      <c r="J107" t="s">
        <v>268</v>
      </c>
      <c r="K107" t="s">
        <v>2718</v>
      </c>
      <c r="L107" t="s">
        <v>267</v>
      </c>
      <c r="M107" t="s">
        <v>60</v>
      </c>
      <c r="P107" t="s">
        <v>2758</v>
      </c>
      <c r="Q107" t="s">
        <v>2772</v>
      </c>
      <c r="R107" t="s">
        <v>1335</v>
      </c>
      <c r="S107" s="2">
        <v>44117</v>
      </c>
      <c r="T107" s="2">
        <v>44118</v>
      </c>
      <c r="U107" s="2">
        <v>44117</v>
      </c>
      <c r="V107" s="2">
        <v>44121</v>
      </c>
      <c r="W107" s="2">
        <v>44119</v>
      </c>
      <c r="X107" s="2">
        <v>44125</v>
      </c>
      <c r="Y107" t="s">
        <v>1735</v>
      </c>
      <c r="Z107" t="s">
        <v>1735</v>
      </c>
      <c r="AA107" t="s">
        <v>1735</v>
      </c>
      <c r="AB107" t="s">
        <v>67</v>
      </c>
      <c r="AC107" t="s">
        <v>67</v>
      </c>
      <c r="AD107" t="s">
        <v>67</v>
      </c>
      <c r="AF107" t="s">
        <v>2179</v>
      </c>
      <c r="AG107" t="s">
        <v>2180</v>
      </c>
      <c r="AH107" t="s">
        <v>2179</v>
      </c>
      <c r="AI107" t="s">
        <v>252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90</v>
      </c>
      <c r="AP107">
        <v>1.0469999999999999</v>
      </c>
      <c r="AV107">
        <v>-1</v>
      </c>
    </row>
    <row r="108" spans="1:48" x14ac:dyDescent="0.55000000000000004">
      <c r="A108" t="str">
        <f>HYPERLINK("https://www.infodis.net/philips/net/Shipment/Details?InfodisNumber=4533572&amp;DomainCode=DAP", "4533572")</f>
        <v>4533572</v>
      </c>
      <c r="B108" t="s">
        <v>2773</v>
      </c>
      <c r="C108" t="s">
        <v>2502</v>
      </c>
      <c r="D108" t="s">
        <v>2503</v>
      </c>
      <c r="E108" t="s">
        <v>2502</v>
      </c>
      <c r="F108" t="s">
        <v>2774</v>
      </c>
      <c r="G108" t="s">
        <v>1179</v>
      </c>
      <c r="H108" t="s">
        <v>180</v>
      </c>
      <c r="I108" t="s">
        <v>2368</v>
      </c>
      <c r="J108" t="s">
        <v>157</v>
      </c>
      <c r="K108" t="s">
        <v>2775</v>
      </c>
      <c r="L108" t="s">
        <v>159</v>
      </c>
      <c r="M108" t="s">
        <v>358</v>
      </c>
      <c r="P108" t="s">
        <v>1181</v>
      </c>
      <c r="Q108" t="s">
        <v>2776</v>
      </c>
      <c r="R108" t="s">
        <v>2777</v>
      </c>
      <c r="S108" s="2">
        <v>44117</v>
      </c>
      <c r="T108" s="2">
        <v>44117</v>
      </c>
      <c r="U108" s="2">
        <v>44118</v>
      </c>
      <c r="V108" s="2">
        <v>44120</v>
      </c>
      <c r="W108" s="2">
        <v>44123</v>
      </c>
      <c r="X108" s="2">
        <v>44126</v>
      </c>
      <c r="Y108" t="s">
        <v>1735</v>
      </c>
      <c r="Z108" t="s">
        <v>1735</v>
      </c>
      <c r="AA108" t="s">
        <v>1735</v>
      </c>
      <c r="AB108" t="s">
        <v>67</v>
      </c>
      <c r="AC108" t="s">
        <v>67</v>
      </c>
      <c r="AD108" t="s">
        <v>67</v>
      </c>
      <c r="AF108" t="s">
        <v>2179</v>
      </c>
      <c r="AG108" t="s">
        <v>2180</v>
      </c>
      <c r="AH108" t="s">
        <v>2179</v>
      </c>
      <c r="AI108" t="s">
        <v>73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258.5</v>
      </c>
      <c r="AP108">
        <v>3.839</v>
      </c>
      <c r="AV108">
        <v>-1</v>
      </c>
    </row>
    <row r="109" spans="1:48" x14ac:dyDescent="0.55000000000000004">
      <c r="A109" t="str">
        <f>HYPERLINK("https://www.infodis.net/philips/net/Shipment/Details?InfodisNumber=1537953&amp;DomainCode=PHILIPSM1", "1537953")</f>
        <v>1537953</v>
      </c>
      <c r="B109" t="s">
        <v>2778</v>
      </c>
      <c r="C109" t="s">
        <v>2539</v>
      </c>
      <c r="D109" t="s">
        <v>2540</v>
      </c>
      <c r="E109" t="s">
        <v>2539</v>
      </c>
      <c r="F109" t="s">
        <v>2779</v>
      </c>
      <c r="G109" t="s">
        <v>2542</v>
      </c>
      <c r="H109" t="s">
        <v>180</v>
      </c>
      <c r="I109" t="s">
        <v>652</v>
      </c>
      <c r="J109" t="s">
        <v>2780</v>
      </c>
      <c r="K109" t="s">
        <v>2781</v>
      </c>
      <c r="L109" t="s">
        <v>881</v>
      </c>
      <c r="M109" t="s">
        <v>1658</v>
      </c>
      <c r="P109" t="s">
        <v>2545</v>
      </c>
      <c r="Q109" t="s">
        <v>2782</v>
      </c>
      <c r="R109" t="s">
        <v>2783</v>
      </c>
      <c r="S109" s="2">
        <v>44117</v>
      </c>
      <c r="T109" s="2">
        <v>44117</v>
      </c>
      <c r="U109" s="2">
        <v>44117</v>
      </c>
      <c r="V109" s="2">
        <v>44122</v>
      </c>
      <c r="W109" s="2">
        <v>44119</v>
      </c>
      <c r="X109" s="2">
        <v>44130</v>
      </c>
      <c r="Y109" t="s">
        <v>2359</v>
      </c>
      <c r="Z109" t="s">
        <v>2359</v>
      </c>
      <c r="AA109" t="s">
        <v>2359</v>
      </c>
      <c r="AB109" t="s">
        <v>67</v>
      </c>
      <c r="AC109" t="s">
        <v>67</v>
      </c>
      <c r="AD109" t="s">
        <v>67</v>
      </c>
      <c r="AF109" t="s">
        <v>2399</v>
      </c>
      <c r="AG109" t="s">
        <v>2400</v>
      </c>
      <c r="AH109" t="s">
        <v>2399</v>
      </c>
      <c r="AI109" t="s">
        <v>605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109</v>
      </c>
      <c r="AP109">
        <v>1.133</v>
      </c>
      <c r="AV109">
        <v>-1</v>
      </c>
    </row>
    <row r="110" spans="1:48" x14ac:dyDescent="0.55000000000000004">
      <c r="A110" t="str">
        <f>HYPERLINK("https://www.infodis.net/philips/net/Shipment/Details?InfodisNumber=1537980&amp;DomainCode=PHILIPSM1", "1537980")</f>
        <v>1537980</v>
      </c>
      <c r="B110" t="s">
        <v>2784</v>
      </c>
      <c r="C110" t="s">
        <v>2080</v>
      </c>
      <c r="D110" t="s">
        <v>2081</v>
      </c>
      <c r="E110" t="s">
        <v>2089</v>
      </c>
      <c r="G110" t="s">
        <v>1430</v>
      </c>
      <c r="H110" t="s">
        <v>244</v>
      </c>
      <c r="I110" t="s">
        <v>2084</v>
      </c>
      <c r="J110" t="s">
        <v>2785</v>
      </c>
      <c r="K110" t="s">
        <v>2786</v>
      </c>
      <c r="L110" t="s">
        <v>881</v>
      </c>
      <c r="M110" t="s">
        <v>60</v>
      </c>
      <c r="P110" t="s">
        <v>1432</v>
      </c>
      <c r="Q110" t="s">
        <v>2787</v>
      </c>
      <c r="R110" t="s">
        <v>2788</v>
      </c>
      <c r="S110" s="2">
        <v>44117</v>
      </c>
      <c r="T110" s="2">
        <v>44118</v>
      </c>
      <c r="U110" s="2">
        <v>44120</v>
      </c>
      <c r="V110" s="2">
        <v>44118</v>
      </c>
      <c r="W110" s="2">
        <v>44121</v>
      </c>
      <c r="Y110" t="s">
        <v>2387</v>
      </c>
      <c r="Z110" t="s">
        <v>2387</v>
      </c>
      <c r="AA110" t="s">
        <v>603</v>
      </c>
      <c r="AB110" t="s">
        <v>67</v>
      </c>
      <c r="AC110" t="s">
        <v>67</v>
      </c>
      <c r="AD110" t="s">
        <v>68</v>
      </c>
      <c r="AF110" t="s">
        <v>2388</v>
      </c>
      <c r="AG110" t="s">
        <v>2389</v>
      </c>
      <c r="AH110" t="s">
        <v>2388</v>
      </c>
      <c r="AI110" t="s">
        <v>605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1.2</v>
      </c>
      <c r="AP110">
        <v>2.7E-2</v>
      </c>
      <c r="AV110">
        <v>-1</v>
      </c>
    </row>
    <row r="111" spans="1:48" x14ac:dyDescent="0.55000000000000004">
      <c r="A111" t="str">
        <f>HYPERLINK("https://www.infodis.net/philips/net/Shipment/Details?InfodisNumber=6997382&amp;DomainCode=PHILIPSR1", "6997382")</f>
        <v>6997382</v>
      </c>
      <c r="B111" t="s">
        <v>2789</v>
      </c>
      <c r="C111" t="s">
        <v>2243</v>
      </c>
      <c r="D111" t="s">
        <v>2244</v>
      </c>
      <c r="E111" t="s">
        <v>1067</v>
      </c>
      <c r="F111" t="s">
        <v>2790</v>
      </c>
      <c r="G111" t="s">
        <v>1069</v>
      </c>
      <c r="H111" t="s">
        <v>180</v>
      </c>
      <c r="I111" t="s">
        <v>1070</v>
      </c>
      <c r="J111" t="s">
        <v>2791</v>
      </c>
      <c r="K111" t="s">
        <v>1679</v>
      </c>
      <c r="L111" t="s">
        <v>384</v>
      </c>
      <c r="M111" t="s">
        <v>60</v>
      </c>
      <c r="P111" t="s">
        <v>1072</v>
      </c>
      <c r="R111" t="s">
        <v>2792</v>
      </c>
      <c r="S111" s="2">
        <v>44154</v>
      </c>
      <c r="T111" s="2">
        <v>44155</v>
      </c>
      <c r="V111" s="2">
        <v>44165</v>
      </c>
      <c r="Y111" t="s">
        <v>1735</v>
      </c>
      <c r="Z111" t="s">
        <v>1735</v>
      </c>
      <c r="AA111" t="s">
        <v>1735</v>
      </c>
      <c r="AB111" t="s">
        <v>67</v>
      </c>
      <c r="AC111" t="s">
        <v>67</v>
      </c>
      <c r="AD111" t="s">
        <v>67</v>
      </c>
      <c r="AF111" t="s">
        <v>2179</v>
      </c>
      <c r="AG111" t="s">
        <v>2282</v>
      </c>
      <c r="AH111" t="s">
        <v>2179</v>
      </c>
      <c r="AI111" t="s">
        <v>252</v>
      </c>
      <c r="AJ111">
        <v>0</v>
      </c>
      <c r="AK111">
        <v>0</v>
      </c>
      <c r="AL111">
        <v>0</v>
      </c>
      <c r="AM111">
        <v>0</v>
      </c>
      <c r="AN111">
        <v>12</v>
      </c>
      <c r="AO111">
        <v>2939.28</v>
      </c>
      <c r="AP111">
        <v>31.841000000000001</v>
      </c>
      <c r="AV111">
        <v>-1</v>
      </c>
    </row>
    <row r="112" spans="1:48" x14ac:dyDescent="0.55000000000000004">
      <c r="A112" t="str">
        <f>HYPERLINK("https://www.infodis.net/philips/net/Shipment/Details?InfodisNumber=6894144&amp;DomainCode=PHILIPSR1", "6894144")</f>
        <v>6894144</v>
      </c>
      <c r="B112" t="s">
        <v>2793</v>
      </c>
      <c r="C112" t="s">
        <v>2449</v>
      </c>
      <c r="D112" t="s">
        <v>2450</v>
      </c>
      <c r="E112" t="s">
        <v>2449</v>
      </c>
      <c r="F112" t="s">
        <v>2452</v>
      </c>
      <c r="G112" t="s">
        <v>2453</v>
      </c>
      <c r="H112" t="s">
        <v>443</v>
      </c>
      <c r="I112" t="s">
        <v>2454</v>
      </c>
      <c r="J112" t="s">
        <v>2455</v>
      </c>
      <c r="K112" t="s">
        <v>2456</v>
      </c>
      <c r="L112" t="s">
        <v>321</v>
      </c>
      <c r="M112" t="s">
        <v>60</v>
      </c>
      <c r="P112" t="s">
        <v>2457</v>
      </c>
      <c r="Q112" t="s">
        <v>2794</v>
      </c>
      <c r="R112" t="s">
        <v>2459</v>
      </c>
      <c r="S112" s="2">
        <v>44118</v>
      </c>
      <c r="T112" s="2">
        <v>44120</v>
      </c>
      <c r="U112" s="2">
        <v>44120</v>
      </c>
      <c r="V112" s="2">
        <v>44123</v>
      </c>
      <c r="W112" s="2">
        <v>44121</v>
      </c>
      <c r="X112" s="2">
        <v>44127</v>
      </c>
      <c r="Y112" t="s">
        <v>1735</v>
      </c>
      <c r="Z112" t="s">
        <v>1735</v>
      </c>
      <c r="AA112" t="s">
        <v>1735</v>
      </c>
      <c r="AB112" t="s">
        <v>67</v>
      </c>
      <c r="AC112" t="s">
        <v>67</v>
      </c>
      <c r="AD112" t="s">
        <v>67</v>
      </c>
      <c r="AF112" t="s">
        <v>2179</v>
      </c>
      <c r="AG112" t="s">
        <v>2180</v>
      </c>
      <c r="AH112" t="s">
        <v>2179</v>
      </c>
      <c r="AI112" t="s">
        <v>252</v>
      </c>
      <c r="AJ112">
        <v>0</v>
      </c>
      <c r="AK112">
        <v>0</v>
      </c>
      <c r="AL112">
        <v>0</v>
      </c>
      <c r="AM112">
        <v>0</v>
      </c>
      <c r="AN112">
        <v>8</v>
      </c>
      <c r="AO112">
        <v>1446</v>
      </c>
      <c r="AP112">
        <v>14.829000000000001</v>
      </c>
      <c r="AV112">
        <v>-1</v>
      </c>
    </row>
    <row r="113" spans="1:48" x14ac:dyDescent="0.55000000000000004">
      <c r="A113" t="str">
        <f>HYPERLINK("https://www.infodis.net/philips/net/Shipment/Details?InfodisNumber=4535220&amp;DomainCode=DAP", "4535220")</f>
        <v>4535220</v>
      </c>
      <c r="B113" t="s">
        <v>2795</v>
      </c>
      <c r="C113" t="s">
        <v>2796</v>
      </c>
      <c r="D113" t="s">
        <v>2797</v>
      </c>
      <c r="E113" t="s">
        <v>2202</v>
      </c>
      <c r="F113" t="s">
        <v>2798</v>
      </c>
      <c r="G113" t="s">
        <v>2203</v>
      </c>
      <c r="H113" t="s">
        <v>2204</v>
      </c>
      <c r="I113" t="s">
        <v>2634</v>
      </c>
      <c r="J113" t="s">
        <v>2601</v>
      </c>
      <c r="K113" t="s">
        <v>192</v>
      </c>
      <c r="L113" t="s">
        <v>79</v>
      </c>
      <c r="M113" t="s">
        <v>60</v>
      </c>
      <c r="P113" t="s">
        <v>2205</v>
      </c>
      <c r="Q113" t="s">
        <v>2799</v>
      </c>
      <c r="R113" t="s">
        <v>196</v>
      </c>
      <c r="S113" s="2">
        <v>44119</v>
      </c>
      <c r="T113" s="2">
        <v>44126</v>
      </c>
      <c r="V113" s="2">
        <v>44129</v>
      </c>
      <c r="W113" s="2">
        <v>44129</v>
      </c>
      <c r="X113" s="2">
        <v>44134</v>
      </c>
      <c r="Y113" t="s">
        <v>2411</v>
      </c>
      <c r="Z113" t="s">
        <v>2411</v>
      </c>
      <c r="AA113" t="s">
        <v>2411</v>
      </c>
      <c r="AB113" t="s">
        <v>67</v>
      </c>
      <c r="AC113" t="s">
        <v>67</v>
      </c>
      <c r="AD113" t="s">
        <v>67</v>
      </c>
      <c r="AF113" t="s">
        <v>2179</v>
      </c>
      <c r="AG113" t="s">
        <v>2180</v>
      </c>
      <c r="AH113" t="s">
        <v>2179</v>
      </c>
      <c r="AI113" t="s">
        <v>73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230</v>
      </c>
      <c r="AP113">
        <v>0.74400000000000011</v>
      </c>
      <c r="AV113">
        <v>-1</v>
      </c>
    </row>
    <row r="114" spans="1:48" x14ac:dyDescent="0.55000000000000004">
      <c r="A114" t="str">
        <f>HYPERLINK("https://www.infodis.net/philips/net/Shipment/Details?InfodisNumber=1540828&amp;DomainCode=PHILIPSM1", "1540828")</f>
        <v>1540828</v>
      </c>
      <c r="B114" t="s">
        <v>2800</v>
      </c>
      <c r="C114" t="s">
        <v>2539</v>
      </c>
      <c r="D114" t="s">
        <v>2540</v>
      </c>
      <c r="E114" t="s">
        <v>2539</v>
      </c>
      <c r="F114" t="s">
        <v>2779</v>
      </c>
      <c r="G114" t="s">
        <v>2542</v>
      </c>
      <c r="H114" t="s">
        <v>180</v>
      </c>
      <c r="I114" t="s">
        <v>652</v>
      </c>
      <c r="J114" t="s">
        <v>2780</v>
      </c>
      <c r="K114" t="s">
        <v>2781</v>
      </c>
      <c r="L114" t="s">
        <v>881</v>
      </c>
      <c r="M114" t="s">
        <v>1658</v>
      </c>
      <c r="P114" t="s">
        <v>2545</v>
      </c>
      <c r="Q114" t="s">
        <v>2801</v>
      </c>
      <c r="R114" t="s">
        <v>2783</v>
      </c>
      <c r="S114" s="2">
        <v>44119</v>
      </c>
      <c r="T114" s="2">
        <v>44119</v>
      </c>
      <c r="U114" s="2">
        <v>44119</v>
      </c>
      <c r="V114" s="2">
        <v>44124</v>
      </c>
      <c r="W114" s="2">
        <v>44120</v>
      </c>
      <c r="Y114" t="s">
        <v>2359</v>
      </c>
      <c r="Z114" t="s">
        <v>2359</v>
      </c>
      <c r="AA114" t="s">
        <v>2359</v>
      </c>
      <c r="AB114" t="s">
        <v>67</v>
      </c>
      <c r="AC114" t="s">
        <v>67</v>
      </c>
      <c r="AD114" t="s">
        <v>67</v>
      </c>
      <c r="AF114" t="s">
        <v>2399</v>
      </c>
      <c r="AG114" t="s">
        <v>2400</v>
      </c>
      <c r="AH114" t="s">
        <v>2399</v>
      </c>
      <c r="AI114" t="s">
        <v>605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75.5</v>
      </c>
      <c r="AP114">
        <v>0.83499999999999996</v>
      </c>
      <c r="AV114">
        <v>-1</v>
      </c>
    </row>
    <row r="115" spans="1:48" x14ac:dyDescent="0.55000000000000004">
      <c r="A115" t="str">
        <f>HYPERLINK("https://www.infodis.net/philips/net/Shipment/Details?InfodisNumber=6997832&amp;DomainCode=PHILIPSR1", "6997832")</f>
        <v>6997832</v>
      </c>
      <c r="B115" t="s">
        <v>2802</v>
      </c>
      <c r="C115" t="s">
        <v>2449</v>
      </c>
      <c r="D115" t="s">
        <v>2450</v>
      </c>
      <c r="E115" t="s">
        <v>2451</v>
      </c>
      <c r="F115" t="s">
        <v>2452</v>
      </c>
      <c r="G115" t="s">
        <v>2453</v>
      </c>
      <c r="H115" t="s">
        <v>443</v>
      </c>
      <c r="I115" t="s">
        <v>2454</v>
      </c>
      <c r="J115" t="s">
        <v>2455</v>
      </c>
      <c r="K115" t="s">
        <v>2456</v>
      </c>
      <c r="L115" t="s">
        <v>321</v>
      </c>
      <c r="M115" t="s">
        <v>60</v>
      </c>
      <c r="P115" t="s">
        <v>2457</v>
      </c>
      <c r="R115" t="s">
        <v>2459</v>
      </c>
      <c r="S115" s="2">
        <v>44154</v>
      </c>
      <c r="T115" s="2">
        <v>44155</v>
      </c>
      <c r="U115" s="2">
        <v>44155</v>
      </c>
      <c r="V115" s="2">
        <v>44158</v>
      </c>
      <c r="W115" s="2">
        <v>44156</v>
      </c>
      <c r="Y115" t="s">
        <v>1735</v>
      </c>
      <c r="Z115" t="s">
        <v>1735</v>
      </c>
      <c r="AA115" t="s">
        <v>1735</v>
      </c>
      <c r="AB115" t="s">
        <v>67</v>
      </c>
      <c r="AC115" t="s">
        <v>67</v>
      </c>
      <c r="AD115" t="s">
        <v>67</v>
      </c>
      <c r="AF115" t="s">
        <v>2179</v>
      </c>
      <c r="AG115" t="s">
        <v>2180</v>
      </c>
      <c r="AH115" t="s">
        <v>2179</v>
      </c>
      <c r="AI115" t="s">
        <v>252</v>
      </c>
      <c r="AJ115">
        <v>0</v>
      </c>
      <c r="AK115">
        <v>0</v>
      </c>
      <c r="AL115">
        <v>0</v>
      </c>
      <c r="AM115">
        <v>0</v>
      </c>
      <c r="AN115">
        <v>8</v>
      </c>
      <c r="AO115">
        <v>200</v>
      </c>
      <c r="AP115">
        <v>14.141999999999999</v>
      </c>
      <c r="AV115">
        <v>-1</v>
      </c>
    </row>
    <row r="116" spans="1:48" x14ac:dyDescent="0.55000000000000004">
      <c r="A116" t="str">
        <f>HYPERLINK("https://www.infodis.net/philips/net/Shipment/Details?InfodisNumber=1542493&amp;DomainCode=PHILIPSM1", "1542493")</f>
        <v>1542493</v>
      </c>
      <c r="B116" t="s">
        <v>2803</v>
      </c>
      <c r="C116" t="s">
        <v>2080</v>
      </c>
      <c r="D116" t="s">
        <v>2081</v>
      </c>
      <c r="E116" t="s">
        <v>2089</v>
      </c>
      <c r="F116" t="s">
        <v>2516</v>
      </c>
      <c r="G116" t="s">
        <v>1430</v>
      </c>
      <c r="H116" t="s">
        <v>244</v>
      </c>
      <c r="I116" t="s">
        <v>2084</v>
      </c>
      <c r="J116" t="s">
        <v>293</v>
      </c>
      <c r="K116" t="s">
        <v>937</v>
      </c>
      <c r="L116" t="s">
        <v>938</v>
      </c>
      <c r="M116" t="s">
        <v>84</v>
      </c>
      <c r="P116" t="s">
        <v>1432</v>
      </c>
      <c r="R116" t="s">
        <v>2517</v>
      </c>
      <c r="S116" s="2">
        <v>44123</v>
      </c>
      <c r="T116" s="2">
        <v>44123</v>
      </c>
      <c r="V116" s="2">
        <v>44123</v>
      </c>
      <c r="Y116" t="s">
        <v>2518</v>
      </c>
      <c r="Z116" t="s">
        <v>2518</v>
      </c>
      <c r="AA116" t="s">
        <v>603</v>
      </c>
      <c r="AB116" t="s">
        <v>67</v>
      </c>
      <c r="AC116" t="s">
        <v>67</v>
      </c>
      <c r="AD116" t="s">
        <v>68</v>
      </c>
      <c r="AF116" t="s">
        <v>2388</v>
      </c>
      <c r="AG116" t="s">
        <v>2389</v>
      </c>
      <c r="AH116" t="s">
        <v>2388</v>
      </c>
      <c r="AI116" t="s">
        <v>605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6.8</v>
      </c>
      <c r="AP116">
        <v>0</v>
      </c>
      <c r="AV116">
        <v>-1</v>
      </c>
    </row>
    <row r="117" spans="1:48" x14ac:dyDescent="0.55000000000000004">
      <c r="A117" t="str">
        <f>HYPERLINK("https://www.infodis.net/philips/net/Shipment/Details?InfodisNumber=4544229&amp;DomainCode=DAP", "4544229")</f>
        <v>4544229</v>
      </c>
      <c r="B117" t="s">
        <v>2804</v>
      </c>
      <c r="C117" t="s">
        <v>2637</v>
      </c>
      <c r="D117" t="s">
        <v>2638</v>
      </c>
      <c r="E117" t="s">
        <v>304</v>
      </c>
      <c r="F117" t="s">
        <v>378</v>
      </c>
      <c r="G117" t="s">
        <v>284</v>
      </c>
      <c r="H117" t="s">
        <v>285</v>
      </c>
      <c r="I117" t="s">
        <v>2640</v>
      </c>
      <c r="J117" t="s">
        <v>2791</v>
      </c>
      <c r="K117" t="s">
        <v>383</v>
      </c>
      <c r="L117" t="s">
        <v>384</v>
      </c>
      <c r="M117" t="s">
        <v>1794</v>
      </c>
      <c r="P117" t="s">
        <v>287</v>
      </c>
      <c r="R117" t="s">
        <v>389</v>
      </c>
      <c r="S117" s="2">
        <v>44132</v>
      </c>
      <c r="T117" s="2">
        <v>44138</v>
      </c>
      <c r="V117" s="2">
        <v>44143</v>
      </c>
      <c r="Y117" t="s">
        <v>2411</v>
      </c>
      <c r="Z117" t="s">
        <v>2411</v>
      </c>
      <c r="AA117" t="s">
        <v>2411</v>
      </c>
      <c r="AB117" t="s">
        <v>67</v>
      </c>
      <c r="AC117" t="s">
        <v>67</v>
      </c>
      <c r="AD117" t="s">
        <v>67</v>
      </c>
      <c r="AF117" t="s">
        <v>2399</v>
      </c>
      <c r="AG117" t="s">
        <v>2400</v>
      </c>
      <c r="AH117" t="s">
        <v>2399</v>
      </c>
      <c r="AI117" t="s">
        <v>73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176</v>
      </c>
      <c r="AP117">
        <v>1.1519999999999999</v>
      </c>
      <c r="AV117">
        <v>-1</v>
      </c>
    </row>
    <row r="118" spans="1:48" x14ac:dyDescent="0.55000000000000004">
      <c r="A118" t="str">
        <f>HYPERLINK("https://www.infodis.net/philips/net/Shipment/Details?InfodisNumber=6908493&amp;DomainCode=PHILIPSR1", "6908493")</f>
        <v>6908493</v>
      </c>
      <c r="B118" t="s">
        <v>2805</v>
      </c>
      <c r="C118" t="s">
        <v>2806</v>
      </c>
      <c r="D118" t="s">
        <v>2807</v>
      </c>
      <c r="E118" t="s">
        <v>914</v>
      </c>
      <c r="F118" t="s">
        <v>2808</v>
      </c>
      <c r="G118" t="s">
        <v>247</v>
      </c>
      <c r="H118" t="s">
        <v>180</v>
      </c>
      <c r="I118" t="s">
        <v>2625</v>
      </c>
      <c r="J118" t="s">
        <v>382</v>
      </c>
      <c r="K118" t="s">
        <v>383</v>
      </c>
      <c r="L118" t="s">
        <v>384</v>
      </c>
      <c r="M118" t="s">
        <v>60</v>
      </c>
      <c r="P118" t="s">
        <v>251</v>
      </c>
      <c r="Q118" t="s">
        <v>2809</v>
      </c>
      <c r="R118" t="s">
        <v>2810</v>
      </c>
      <c r="S118" s="2">
        <v>44123</v>
      </c>
      <c r="T118" s="2">
        <v>44123</v>
      </c>
      <c r="U118" s="2">
        <v>44123</v>
      </c>
      <c r="V118" s="2">
        <v>44126</v>
      </c>
      <c r="Y118" t="s">
        <v>1735</v>
      </c>
      <c r="Z118" t="s">
        <v>1735</v>
      </c>
      <c r="AA118" t="s">
        <v>66</v>
      </c>
      <c r="AB118" t="s">
        <v>67</v>
      </c>
      <c r="AC118" t="s">
        <v>67</v>
      </c>
      <c r="AD118" t="s">
        <v>68</v>
      </c>
      <c r="AF118" t="s">
        <v>2179</v>
      </c>
      <c r="AG118" t="s">
        <v>2180</v>
      </c>
      <c r="AH118" t="s">
        <v>2179</v>
      </c>
      <c r="AI118" t="s">
        <v>252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2.5</v>
      </c>
      <c r="AP118">
        <v>1.2999999999999999E-2</v>
      </c>
      <c r="AV118">
        <v>-1</v>
      </c>
    </row>
    <row r="119" spans="1:48" x14ac:dyDescent="0.55000000000000004">
      <c r="A119" t="str">
        <f>HYPERLINK("https://www.infodis.net/philips/net/Shipment/Details?InfodisNumber=4539094&amp;DomainCode=DAP", "4539094")</f>
        <v>4539094</v>
      </c>
      <c r="B119" t="s">
        <v>2811</v>
      </c>
      <c r="C119" t="s">
        <v>933</v>
      </c>
      <c r="D119" t="s">
        <v>934</v>
      </c>
      <c r="E119" t="s">
        <v>291</v>
      </c>
      <c r="F119" t="s">
        <v>2110</v>
      </c>
      <c r="G119" t="s">
        <v>295</v>
      </c>
      <c r="H119" t="s">
        <v>296</v>
      </c>
      <c r="I119" t="s">
        <v>2739</v>
      </c>
      <c r="J119" t="s">
        <v>268</v>
      </c>
      <c r="K119" t="s">
        <v>2111</v>
      </c>
      <c r="L119" t="s">
        <v>79</v>
      </c>
      <c r="M119" t="s">
        <v>60</v>
      </c>
      <c r="P119" t="s">
        <v>300</v>
      </c>
      <c r="Q119" t="s">
        <v>2812</v>
      </c>
      <c r="R119" t="s">
        <v>1335</v>
      </c>
      <c r="S119" s="2">
        <v>44125</v>
      </c>
      <c r="T119" s="2">
        <v>44126</v>
      </c>
      <c r="U119" s="2">
        <v>44126</v>
      </c>
      <c r="V119" s="2">
        <v>44129</v>
      </c>
      <c r="W119" s="2">
        <v>44127</v>
      </c>
      <c r="X119" s="2">
        <v>44133</v>
      </c>
      <c r="Y119" t="s">
        <v>2411</v>
      </c>
      <c r="Z119" t="s">
        <v>2411</v>
      </c>
      <c r="AA119" t="s">
        <v>2411</v>
      </c>
      <c r="AB119" t="s">
        <v>67</v>
      </c>
      <c r="AC119" t="s">
        <v>67</v>
      </c>
      <c r="AD119" t="s">
        <v>67</v>
      </c>
      <c r="AF119" t="s">
        <v>2179</v>
      </c>
      <c r="AG119" t="s">
        <v>2180</v>
      </c>
      <c r="AH119" t="s">
        <v>2179</v>
      </c>
      <c r="AI119" t="s">
        <v>73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416.05</v>
      </c>
      <c r="AP119">
        <v>1.5609999999999999</v>
      </c>
      <c r="AV119">
        <v>-1</v>
      </c>
    </row>
    <row r="120" spans="1:48" x14ac:dyDescent="0.55000000000000004">
      <c r="A120" t="str">
        <f>HYPERLINK("https://www.infodis.net/philips/net/Shipment/Details?InfodisNumber=4540546&amp;DomainCode=DAP", "4540546")</f>
        <v>4540546</v>
      </c>
      <c r="B120" t="s">
        <v>2813</v>
      </c>
      <c r="C120" t="s">
        <v>2502</v>
      </c>
      <c r="D120" t="s">
        <v>2503</v>
      </c>
      <c r="E120" t="s">
        <v>2504</v>
      </c>
      <c r="F120" t="s">
        <v>2814</v>
      </c>
      <c r="G120" t="s">
        <v>1179</v>
      </c>
      <c r="H120" t="s">
        <v>180</v>
      </c>
      <c r="I120" t="s">
        <v>2368</v>
      </c>
      <c r="J120" t="s">
        <v>2791</v>
      </c>
      <c r="K120" t="s">
        <v>1679</v>
      </c>
      <c r="L120" t="s">
        <v>384</v>
      </c>
      <c r="M120" t="s">
        <v>60</v>
      </c>
      <c r="P120" t="s">
        <v>1181</v>
      </c>
      <c r="Q120" t="s">
        <v>2815</v>
      </c>
      <c r="R120" t="s">
        <v>389</v>
      </c>
      <c r="S120" s="2">
        <v>44126</v>
      </c>
      <c r="T120" s="2">
        <v>44127</v>
      </c>
      <c r="U120" s="2">
        <v>44126</v>
      </c>
      <c r="V120" s="2">
        <v>44130</v>
      </c>
      <c r="W120" s="2">
        <v>44145</v>
      </c>
      <c r="Y120" t="s">
        <v>1735</v>
      </c>
      <c r="Z120" t="s">
        <v>1735</v>
      </c>
      <c r="AA120" t="s">
        <v>1735</v>
      </c>
      <c r="AB120" t="s">
        <v>67</v>
      </c>
      <c r="AC120" t="s">
        <v>67</v>
      </c>
      <c r="AD120" t="s">
        <v>67</v>
      </c>
      <c r="AF120" t="s">
        <v>2179</v>
      </c>
      <c r="AG120" t="s">
        <v>2180</v>
      </c>
      <c r="AH120" t="s">
        <v>2179</v>
      </c>
      <c r="AI120" t="s">
        <v>73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370</v>
      </c>
      <c r="AP120">
        <v>2.895</v>
      </c>
      <c r="AV120">
        <v>-1</v>
      </c>
    </row>
    <row r="121" spans="1:48" x14ac:dyDescent="0.55000000000000004">
      <c r="A121" t="str">
        <f>HYPERLINK("https://www.infodis.net/philips/net/Shipment/Details?InfodisNumber=6920675&amp;DomainCode=PHILIPSR1", "6920675")</f>
        <v>6920675</v>
      </c>
      <c r="B121" t="s">
        <v>2816</v>
      </c>
      <c r="C121" t="s">
        <v>2449</v>
      </c>
      <c r="D121" t="s">
        <v>2450</v>
      </c>
      <c r="E121" t="s">
        <v>2449</v>
      </c>
      <c r="F121" t="s">
        <v>2452</v>
      </c>
      <c r="G121" t="s">
        <v>2453</v>
      </c>
      <c r="H121" t="s">
        <v>443</v>
      </c>
      <c r="I121" t="s">
        <v>2454</v>
      </c>
      <c r="J121" t="s">
        <v>2455</v>
      </c>
      <c r="K121" t="s">
        <v>2456</v>
      </c>
      <c r="L121" t="s">
        <v>321</v>
      </c>
      <c r="M121" t="s">
        <v>60</v>
      </c>
      <c r="P121" t="s">
        <v>2457</v>
      </c>
      <c r="R121" t="s">
        <v>2459</v>
      </c>
      <c r="S121" s="2">
        <v>44126</v>
      </c>
      <c r="T121" s="2">
        <v>44127</v>
      </c>
      <c r="U121" s="2">
        <v>44127</v>
      </c>
      <c r="V121" s="2">
        <v>44130</v>
      </c>
      <c r="W121" s="2">
        <v>44129</v>
      </c>
      <c r="X121" s="2">
        <v>44139</v>
      </c>
      <c r="Y121" t="s">
        <v>1735</v>
      </c>
      <c r="Z121" t="s">
        <v>1735</v>
      </c>
      <c r="AA121" t="s">
        <v>1735</v>
      </c>
      <c r="AB121" t="s">
        <v>67</v>
      </c>
      <c r="AC121" t="s">
        <v>67</v>
      </c>
      <c r="AD121" t="s">
        <v>67</v>
      </c>
      <c r="AF121" t="s">
        <v>2179</v>
      </c>
      <c r="AG121" t="s">
        <v>2180</v>
      </c>
      <c r="AH121" t="s">
        <v>2179</v>
      </c>
      <c r="AI121" t="s">
        <v>252</v>
      </c>
      <c r="AJ121">
        <v>0</v>
      </c>
      <c r="AK121">
        <v>0</v>
      </c>
      <c r="AL121">
        <v>0</v>
      </c>
      <c r="AM121">
        <v>0</v>
      </c>
      <c r="AN121">
        <v>8</v>
      </c>
      <c r="AO121">
        <v>200</v>
      </c>
      <c r="AP121">
        <v>14.141999999999999</v>
      </c>
      <c r="AV121">
        <v>-1</v>
      </c>
    </row>
    <row r="122" spans="1:48" x14ac:dyDescent="0.55000000000000004">
      <c r="A122" t="str">
        <f>HYPERLINK("https://www.infodis.net/philips/net/Shipment/Details?InfodisNumber=1557917&amp;DomainCode=PHILIPSM1", "1557917")</f>
        <v>1557917</v>
      </c>
      <c r="B122" t="s">
        <v>2817</v>
      </c>
      <c r="C122" t="s">
        <v>2080</v>
      </c>
      <c r="D122" t="s">
        <v>2081</v>
      </c>
      <c r="E122" t="s">
        <v>2089</v>
      </c>
      <c r="F122" t="s">
        <v>2606</v>
      </c>
      <c r="G122" t="s">
        <v>1430</v>
      </c>
      <c r="H122" t="s">
        <v>244</v>
      </c>
      <c r="I122" t="s">
        <v>2084</v>
      </c>
      <c r="J122" t="s">
        <v>2607</v>
      </c>
      <c r="K122" t="s">
        <v>1380</v>
      </c>
      <c r="L122" t="s">
        <v>132</v>
      </c>
      <c r="M122" t="s">
        <v>60</v>
      </c>
      <c r="P122" t="s">
        <v>1432</v>
      </c>
      <c r="Q122" t="s">
        <v>2818</v>
      </c>
      <c r="R122" t="s">
        <v>2609</v>
      </c>
      <c r="S122" s="2">
        <v>44140</v>
      </c>
      <c r="T122" s="2">
        <v>44140</v>
      </c>
      <c r="U122" s="2">
        <v>44140</v>
      </c>
      <c r="V122" s="2">
        <v>44141</v>
      </c>
      <c r="W122" s="2">
        <v>44141</v>
      </c>
      <c r="Y122" t="s">
        <v>2387</v>
      </c>
      <c r="Z122" t="s">
        <v>2387</v>
      </c>
      <c r="AA122" t="s">
        <v>603</v>
      </c>
      <c r="AB122" t="s">
        <v>67</v>
      </c>
      <c r="AC122" t="s">
        <v>67</v>
      </c>
      <c r="AD122" t="s">
        <v>68</v>
      </c>
      <c r="AF122" t="s">
        <v>2610</v>
      </c>
      <c r="AG122" t="s">
        <v>2611</v>
      </c>
      <c r="AH122" t="s">
        <v>2610</v>
      </c>
      <c r="AI122" t="s">
        <v>605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12.6</v>
      </c>
      <c r="AP122">
        <v>4.7E-2</v>
      </c>
      <c r="AV122">
        <v>-1</v>
      </c>
    </row>
    <row r="123" spans="1:48" x14ac:dyDescent="0.55000000000000004">
      <c r="A123" t="str">
        <f>HYPERLINK("https://www.infodis.net/philips/net/Shipment/Details?InfodisNumber=1550692&amp;DomainCode=PHILIPSM1", "1550692")</f>
        <v>1550692</v>
      </c>
      <c r="B123" t="s">
        <v>2819</v>
      </c>
      <c r="C123" t="s">
        <v>2080</v>
      </c>
      <c r="D123" t="s">
        <v>2081</v>
      </c>
      <c r="E123" t="s">
        <v>2089</v>
      </c>
      <c r="F123" t="s">
        <v>2661</v>
      </c>
      <c r="G123" t="s">
        <v>1430</v>
      </c>
      <c r="H123" t="s">
        <v>244</v>
      </c>
      <c r="I123" t="s">
        <v>2084</v>
      </c>
      <c r="J123" t="s">
        <v>2057</v>
      </c>
      <c r="K123" t="s">
        <v>601</v>
      </c>
      <c r="L123" t="s">
        <v>180</v>
      </c>
      <c r="M123" t="s">
        <v>60</v>
      </c>
      <c r="P123" t="s">
        <v>1432</v>
      </c>
      <c r="Q123" t="s">
        <v>2820</v>
      </c>
      <c r="R123" t="s">
        <v>602</v>
      </c>
      <c r="S123" s="2">
        <v>44127</v>
      </c>
      <c r="T123" s="2">
        <v>44127</v>
      </c>
      <c r="U123" s="2">
        <v>44127</v>
      </c>
      <c r="V123" s="2">
        <v>44128</v>
      </c>
      <c r="W123" s="2">
        <v>44145</v>
      </c>
      <c r="Y123" t="s">
        <v>2359</v>
      </c>
      <c r="Z123" t="s">
        <v>2359</v>
      </c>
      <c r="AA123" t="s">
        <v>2359</v>
      </c>
      <c r="AB123" t="s">
        <v>67</v>
      </c>
      <c r="AC123" t="s">
        <v>67</v>
      </c>
      <c r="AD123" t="s">
        <v>67</v>
      </c>
      <c r="AF123" t="s">
        <v>2610</v>
      </c>
      <c r="AG123" t="s">
        <v>2611</v>
      </c>
      <c r="AH123" t="s">
        <v>2610</v>
      </c>
      <c r="AI123" t="s">
        <v>605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94.5</v>
      </c>
      <c r="AP123">
        <v>0.48</v>
      </c>
      <c r="AV123">
        <v>-1</v>
      </c>
    </row>
    <row r="124" spans="1:48" x14ac:dyDescent="0.55000000000000004">
      <c r="A124" t="str">
        <f>HYPERLINK("https://www.infodis.net/philips/net/Shipment/Details?InfodisNumber=4541675&amp;DomainCode=DAP", "4541675")</f>
        <v>4541675</v>
      </c>
      <c r="B124" t="s">
        <v>2821</v>
      </c>
      <c r="C124" t="s">
        <v>2532</v>
      </c>
      <c r="D124" t="s">
        <v>2533</v>
      </c>
      <c r="E124" t="s">
        <v>2186</v>
      </c>
      <c r="F124" t="s">
        <v>256</v>
      </c>
      <c r="G124" t="s">
        <v>2535</v>
      </c>
      <c r="H124" t="s">
        <v>772</v>
      </c>
      <c r="I124" t="s">
        <v>2642</v>
      </c>
      <c r="J124" t="s">
        <v>2626</v>
      </c>
      <c r="K124" t="s">
        <v>259</v>
      </c>
      <c r="L124" t="s">
        <v>260</v>
      </c>
      <c r="M124" t="s">
        <v>60</v>
      </c>
      <c r="P124" t="s">
        <v>2536</v>
      </c>
      <c r="R124" t="s">
        <v>262</v>
      </c>
      <c r="S124" s="2">
        <v>44127</v>
      </c>
      <c r="T124" s="2">
        <v>44127</v>
      </c>
      <c r="V124" s="2">
        <v>44130</v>
      </c>
      <c r="Y124" t="s">
        <v>2476</v>
      </c>
      <c r="Z124" t="s">
        <v>2476</v>
      </c>
      <c r="AA124" t="s">
        <v>2476</v>
      </c>
      <c r="AB124" t="s">
        <v>67</v>
      </c>
      <c r="AC124" t="s">
        <v>67</v>
      </c>
      <c r="AD124" t="s">
        <v>67</v>
      </c>
      <c r="AF124" t="s">
        <v>2179</v>
      </c>
      <c r="AG124" t="s">
        <v>2180</v>
      </c>
      <c r="AH124" t="s">
        <v>2179</v>
      </c>
      <c r="AI124" t="s">
        <v>73</v>
      </c>
      <c r="AJ124">
        <v>0</v>
      </c>
      <c r="AK124">
        <v>0</v>
      </c>
      <c r="AL124">
        <v>0</v>
      </c>
      <c r="AM124">
        <v>0</v>
      </c>
      <c r="AN124">
        <v>5</v>
      </c>
      <c r="AO124">
        <v>92.111000000000004</v>
      </c>
      <c r="AP124">
        <v>0.93799999999999994</v>
      </c>
      <c r="AV124">
        <v>-1</v>
      </c>
    </row>
    <row r="125" spans="1:48" x14ac:dyDescent="0.55000000000000004">
      <c r="A125" t="str">
        <f>HYPERLINK("https://www.infodis.net/philips/net/Shipment/Details?InfodisNumber=6925343&amp;DomainCode=PHILIPSR1", "6925343")</f>
        <v>6925343</v>
      </c>
      <c r="B125" t="s">
        <v>2822</v>
      </c>
      <c r="C125" t="s">
        <v>2426</v>
      </c>
      <c r="D125" t="s">
        <v>2427</v>
      </c>
      <c r="E125" t="s">
        <v>458</v>
      </c>
      <c r="F125" t="s">
        <v>1464</v>
      </c>
      <c r="G125" t="s">
        <v>2429</v>
      </c>
      <c r="H125" t="s">
        <v>180</v>
      </c>
      <c r="I125" t="s">
        <v>652</v>
      </c>
      <c r="J125" t="s">
        <v>2435</v>
      </c>
      <c r="K125" t="s">
        <v>1465</v>
      </c>
      <c r="L125" t="s">
        <v>59</v>
      </c>
      <c r="M125" t="s">
        <v>60</v>
      </c>
      <c r="P125" t="s">
        <v>613</v>
      </c>
      <c r="Q125" t="s">
        <v>2823</v>
      </c>
      <c r="R125" t="s">
        <v>1466</v>
      </c>
      <c r="S125" s="2">
        <v>44130</v>
      </c>
      <c r="T125" s="2">
        <v>44131</v>
      </c>
      <c r="U125" s="2">
        <v>44130</v>
      </c>
      <c r="V125" s="2">
        <v>44132</v>
      </c>
      <c r="W125" s="2">
        <v>44137</v>
      </c>
      <c r="Y125" t="s">
        <v>2476</v>
      </c>
      <c r="Z125" t="s">
        <v>2476</v>
      </c>
      <c r="AA125" t="s">
        <v>66</v>
      </c>
      <c r="AB125" t="s">
        <v>67</v>
      </c>
      <c r="AC125" t="s">
        <v>67</v>
      </c>
      <c r="AD125" t="s">
        <v>68</v>
      </c>
      <c r="AF125" t="s">
        <v>2610</v>
      </c>
      <c r="AG125" t="s">
        <v>2611</v>
      </c>
      <c r="AH125" t="s">
        <v>2610</v>
      </c>
      <c r="AI125" t="s">
        <v>252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79.83</v>
      </c>
      <c r="AP125">
        <v>0.58499999999999996</v>
      </c>
      <c r="AV125">
        <v>-1</v>
      </c>
    </row>
    <row r="126" spans="1:48" x14ac:dyDescent="0.55000000000000004">
      <c r="A126" t="str">
        <f>HYPERLINK("https://www.infodis.net/philips/net/Shipment/Details?InfodisNumber=4543904&amp;DomainCode=DAP", "4543904")</f>
        <v>4543904</v>
      </c>
      <c r="B126" t="s">
        <v>2824</v>
      </c>
      <c r="C126" t="s">
        <v>2408</v>
      </c>
      <c r="D126" t="s">
        <v>2409</v>
      </c>
      <c r="E126" t="s">
        <v>2408</v>
      </c>
      <c r="F126" t="s">
        <v>167</v>
      </c>
      <c r="G126" t="s">
        <v>281</v>
      </c>
      <c r="H126" t="s">
        <v>79</v>
      </c>
      <c r="I126" t="s">
        <v>282</v>
      </c>
      <c r="J126" t="s">
        <v>2405</v>
      </c>
      <c r="K126" t="s">
        <v>171</v>
      </c>
      <c r="L126" t="s">
        <v>172</v>
      </c>
      <c r="M126" t="s">
        <v>1489</v>
      </c>
      <c r="P126" t="s">
        <v>2410</v>
      </c>
      <c r="R126" t="s">
        <v>174</v>
      </c>
      <c r="S126" s="2">
        <v>44132</v>
      </c>
      <c r="T126" s="2">
        <v>44132</v>
      </c>
      <c r="U126" s="2">
        <v>44140</v>
      </c>
      <c r="V126" s="2">
        <v>44141</v>
      </c>
      <c r="Y126" t="s">
        <v>2411</v>
      </c>
      <c r="Z126" t="s">
        <v>2411</v>
      </c>
      <c r="AA126" t="s">
        <v>2411</v>
      </c>
      <c r="AB126" t="s">
        <v>67</v>
      </c>
      <c r="AC126" t="s">
        <v>67</v>
      </c>
      <c r="AD126" t="s">
        <v>67</v>
      </c>
      <c r="AF126" t="s">
        <v>2179</v>
      </c>
      <c r="AG126" t="s">
        <v>2180</v>
      </c>
      <c r="AH126" t="s">
        <v>2179</v>
      </c>
      <c r="AI126" t="s">
        <v>73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13.82</v>
      </c>
      <c r="AP126">
        <v>0.40899999999999997</v>
      </c>
      <c r="AV126">
        <v>-1</v>
      </c>
    </row>
    <row r="127" spans="1:48" x14ac:dyDescent="0.55000000000000004">
      <c r="A127" t="str">
        <f>HYPERLINK("https://www.infodis.net/philips/net/Shipment/Details?InfodisNumber=4542788&amp;DomainCode=DAP", "4542788")</f>
        <v>4542788</v>
      </c>
      <c r="B127" t="s">
        <v>2825</v>
      </c>
      <c r="C127" t="s">
        <v>2502</v>
      </c>
      <c r="D127" t="s">
        <v>2503</v>
      </c>
      <c r="E127" t="s">
        <v>2504</v>
      </c>
      <c r="F127" t="s">
        <v>2826</v>
      </c>
      <c r="G127" t="s">
        <v>1179</v>
      </c>
      <c r="H127" t="s">
        <v>180</v>
      </c>
      <c r="I127" t="s">
        <v>194</v>
      </c>
      <c r="J127" t="s">
        <v>2827</v>
      </c>
      <c r="K127" t="s">
        <v>2828</v>
      </c>
      <c r="L127" t="s">
        <v>357</v>
      </c>
      <c r="M127" t="s">
        <v>358</v>
      </c>
      <c r="P127" t="s">
        <v>1181</v>
      </c>
      <c r="R127" t="s">
        <v>526</v>
      </c>
      <c r="S127" s="2">
        <v>44130</v>
      </c>
      <c r="T127" s="2">
        <v>44130</v>
      </c>
      <c r="V127" s="2">
        <v>44131</v>
      </c>
      <c r="Y127" t="s">
        <v>2476</v>
      </c>
      <c r="Z127" t="s">
        <v>2476</v>
      </c>
      <c r="AA127" t="s">
        <v>2476</v>
      </c>
      <c r="AB127" t="s">
        <v>67</v>
      </c>
      <c r="AC127" t="s">
        <v>67</v>
      </c>
      <c r="AD127" t="s">
        <v>67</v>
      </c>
      <c r="AF127" t="s">
        <v>2829</v>
      </c>
      <c r="AG127" t="s">
        <v>2830</v>
      </c>
      <c r="AH127" t="s">
        <v>2829</v>
      </c>
      <c r="AI127" t="s">
        <v>73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151</v>
      </c>
      <c r="AP127">
        <v>1.7350000000000001</v>
      </c>
      <c r="AV127">
        <v>-1</v>
      </c>
    </row>
    <row r="128" spans="1:48" x14ac:dyDescent="0.55000000000000004">
      <c r="A128" t="str">
        <f>HYPERLINK("https://www.infodis.net/philips/net/Shipment/Details?InfodisNumber=4563570&amp;DomainCode=DAP", "4563570")</f>
        <v>4563570</v>
      </c>
      <c r="B128" t="s">
        <v>2831</v>
      </c>
      <c r="C128" t="s">
        <v>2227</v>
      </c>
      <c r="D128" t="s">
        <v>2228</v>
      </c>
      <c r="E128" t="s">
        <v>94</v>
      </c>
      <c r="F128" t="s">
        <v>121</v>
      </c>
      <c r="G128" t="s">
        <v>424</v>
      </c>
      <c r="H128" t="s">
        <v>79</v>
      </c>
      <c r="I128" t="s">
        <v>2601</v>
      </c>
      <c r="J128" t="s">
        <v>2602</v>
      </c>
      <c r="K128" t="s">
        <v>124</v>
      </c>
      <c r="L128" t="s">
        <v>125</v>
      </c>
      <c r="M128" t="s">
        <v>60</v>
      </c>
      <c r="P128" t="s">
        <v>2229</v>
      </c>
      <c r="R128" t="s">
        <v>126</v>
      </c>
      <c r="S128" s="2">
        <v>44155</v>
      </c>
      <c r="T128" s="2">
        <v>44159</v>
      </c>
      <c r="V128" s="2">
        <v>44164</v>
      </c>
      <c r="Y128" t="s">
        <v>2051</v>
      </c>
      <c r="Z128" t="s">
        <v>2051</v>
      </c>
      <c r="AA128" t="s">
        <v>2051</v>
      </c>
      <c r="AB128" t="s">
        <v>67</v>
      </c>
      <c r="AC128" t="s">
        <v>67</v>
      </c>
      <c r="AD128" t="s">
        <v>67</v>
      </c>
      <c r="AF128" t="s">
        <v>2399</v>
      </c>
      <c r="AG128" t="s">
        <v>2400</v>
      </c>
      <c r="AH128" t="s">
        <v>2399</v>
      </c>
      <c r="AI128" t="s">
        <v>73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1521.51</v>
      </c>
      <c r="AP128">
        <v>9.6379999999999999</v>
      </c>
      <c r="AV128">
        <v>-1</v>
      </c>
    </row>
    <row r="129" spans="1:48" x14ac:dyDescent="0.55000000000000004">
      <c r="A129" t="str">
        <f>HYPERLINK("https://www.infodis.net/philips/net/Shipment/Details?InfodisNumber=4542827&amp;DomainCode=DAP", "4542827")</f>
        <v>4542827</v>
      </c>
      <c r="B129" t="s">
        <v>2832</v>
      </c>
      <c r="C129" t="s">
        <v>2339</v>
      </c>
      <c r="D129" t="s">
        <v>2340</v>
      </c>
      <c r="E129" t="s">
        <v>191</v>
      </c>
      <c r="F129" t="s">
        <v>1949</v>
      </c>
      <c r="G129" t="s">
        <v>219</v>
      </c>
      <c r="H129" t="s">
        <v>180</v>
      </c>
      <c r="I129" t="s">
        <v>2341</v>
      </c>
      <c r="J129" t="s">
        <v>2495</v>
      </c>
      <c r="K129" t="s">
        <v>530</v>
      </c>
      <c r="L129" t="s">
        <v>73</v>
      </c>
      <c r="M129" t="s">
        <v>60</v>
      </c>
      <c r="P129" t="s">
        <v>223</v>
      </c>
      <c r="R129" t="s">
        <v>531</v>
      </c>
      <c r="S129" s="2">
        <v>44130</v>
      </c>
      <c r="T129" s="2">
        <v>44130</v>
      </c>
      <c r="V129" s="2">
        <v>44133</v>
      </c>
      <c r="Y129" t="s">
        <v>2411</v>
      </c>
      <c r="Z129" t="s">
        <v>2411</v>
      </c>
      <c r="AA129" t="s">
        <v>66</v>
      </c>
      <c r="AB129" t="s">
        <v>67</v>
      </c>
      <c r="AC129" t="s">
        <v>67</v>
      </c>
      <c r="AD129" t="s">
        <v>68</v>
      </c>
      <c r="AF129" t="s">
        <v>2179</v>
      </c>
      <c r="AG129" t="s">
        <v>2180</v>
      </c>
      <c r="AH129" t="s">
        <v>2179</v>
      </c>
      <c r="AI129" t="s">
        <v>73</v>
      </c>
      <c r="AJ129">
        <v>0</v>
      </c>
      <c r="AK129">
        <v>0</v>
      </c>
      <c r="AL129">
        <v>0</v>
      </c>
      <c r="AM129">
        <v>0</v>
      </c>
      <c r="AN129">
        <v>7</v>
      </c>
      <c r="AO129">
        <v>662</v>
      </c>
      <c r="AP129">
        <v>5.7610000000000001</v>
      </c>
      <c r="AV129">
        <v>-1</v>
      </c>
    </row>
    <row r="130" spans="1:48" x14ac:dyDescent="0.55000000000000004">
      <c r="A130" t="str">
        <f>HYPERLINK("https://www.infodis.net/philips/net/Shipment/Details?InfodisNumber=1557617&amp;DomainCode=PHILIPSM1", "1557617")</f>
        <v>1557617</v>
      </c>
      <c r="B130" t="s">
        <v>2833</v>
      </c>
      <c r="C130" t="s">
        <v>2080</v>
      </c>
      <c r="D130" t="s">
        <v>2081</v>
      </c>
      <c r="E130" t="s">
        <v>2089</v>
      </c>
      <c r="G130" t="s">
        <v>1430</v>
      </c>
      <c r="H130" t="s">
        <v>244</v>
      </c>
      <c r="I130" t="s">
        <v>2084</v>
      </c>
      <c r="J130" t="s">
        <v>2834</v>
      </c>
      <c r="K130" t="s">
        <v>2835</v>
      </c>
      <c r="L130" t="s">
        <v>881</v>
      </c>
      <c r="M130" t="s">
        <v>60</v>
      </c>
      <c r="P130" t="s">
        <v>1432</v>
      </c>
      <c r="Q130" t="s">
        <v>2836</v>
      </c>
      <c r="R130" t="s">
        <v>2837</v>
      </c>
      <c r="S130" s="2">
        <v>44138</v>
      </c>
      <c r="T130" s="2">
        <v>44139</v>
      </c>
      <c r="U130" s="2">
        <v>44139</v>
      </c>
      <c r="V130" s="2">
        <v>44139</v>
      </c>
      <c r="W130" s="2">
        <v>44145</v>
      </c>
      <c r="Y130" t="s">
        <v>2387</v>
      </c>
      <c r="Z130" t="s">
        <v>2387</v>
      </c>
      <c r="AA130" t="s">
        <v>603</v>
      </c>
      <c r="AB130" t="s">
        <v>67</v>
      </c>
      <c r="AC130" t="s">
        <v>67</v>
      </c>
      <c r="AD130" t="s">
        <v>68</v>
      </c>
      <c r="AF130" t="s">
        <v>2388</v>
      </c>
      <c r="AG130" t="s">
        <v>2389</v>
      </c>
      <c r="AH130" t="s">
        <v>2388</v>
      </c>
      <c r="AI130" t="s">
        <v>605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2.7</v>
      </c>
      <c r="AP130">
        <v>5.1999999999999998E-2</v>
      </c>
      <c r="AV130">
        <v>-1</v>
      </c>
    </row>
    <row r="131" spans="1:48" x14ac:dyDescent="0.55000000000000004">
      <c r="A131" t="str">
        <f>HYPERLINK("https://www.infodis.net/philips/net/Shipment/Details?InfodisNumber=6932071&amp;DomainCode=PHILIPSR1", "6932071")</f>
        <v>6932071</v>
      </c>
      <c r="B131" t="s">
        <v>2838</v>
      </c>
      <c r="C131" t="s">
        <v>2839</v>
      </c>
      <c r="D131" t="s">
        <v>2840</v>
      </c>
      <c r="E131" t="s">
        <v>242</v>
      </c>
      <c r="F131" t="s">
        <v>2841</v>
      </c>
      <c r="G131" t="s">
        <v>619</v>
      </c>
      <c r="H131" t="s">
        <v>79</v>
      </c>
      <c r="I131" t="s">
        <v>268</v>
      </c>
      <c r="J131" t="s">
        <v>2757</v>
      </c>
      <c r="K131" t="s">
        <v>2842</v>
      </c>
      <c r="L131" t="s">
        <v>180</v>
      </c>
      <c r="M131" t="s">
        <v>60</v>
      </c>
      <c r="P131" t="s">
        <v>623</v>
      </c>
      <c r="Q131" t="s">
        <v>2843</v>
      </c>
      <c r="R131" t="s">
        <v>2844</v>
      </c>
      <c r="S131" s="2">
        <v>44132</v>
      </c>
      <c r="T131" s="2">
        <v>44132</v>
      </c>
      <c r="U131" s="2">
        <v>44134</v>
      </c>
      <c r="V131" s="2">
        <v>44135</v>
      </c>
      <c r="W131" s="2">
        <v>44135</v>
      </c>
      <c r="X131" s="2">
        <v>44139</v>
      </c>
      <c r="Y131" t="s">
        <v>2845</v>
      </c>
      <c r="Z131" t="s">
        <v>1735</v>
      </c>
      <c r="AA131" t="s">
        <v>1735</v>
      </c>
      <c r="AB131" t="s">
        <v>67</v>
      </c>
      <c r="AC131" t="s">
        <v>67</v>
      </c>
      <c r="AD131" t="s">
        <v>67</v>
      </c>
      <c r="AF131" t="s">
        <v>2179</v>
      </c>
      <c r="AG131" t="s">
        <v>2180</v>
      </c>
      <c r="AH131" t="s">
        <v>2179</v>
      </c>
      <c r="AI131" t="s">
        <v>252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356</v>
      </c>
      <c r="AP131">
        <v>7.2729999999999997</v>
      </c>
      <c r="AV131">
        <v>-1</v>
      </c>
    </row>
    <row r="132" spans="1:48" x14ac:dyDescent="0.55000000000000004">
      <c r="A132" t="str">
        <f>HYPERLINK("https://www.infodis.net/philips/net/Shipment/Details?InfodisNumber=6932078&amp;DomainCode=PHILIPSR1", "6932078")</f>
        <v>6932078</v>
      </c>
      <c r="B132" t="s">
        <v>2846</v>
      </c>
      <c r="C132" t="s">
        <v>2839</v>
      </c>
      <c r="D132" t="s">
        <v>2840</v>
      </c>
      <c r="E132" t="s">
        <v>2839</v>
      </c>
      <c r="F132" t="s">
        <v>458</v>
      </c>
      <c r="G132" t="s">
        <v>619</v>
      </c>
      <c r="H132" t="s">
        <v>79</v>
      </c>
      <c r="I132" t="s">
        <v>268</v>
      </c>
      <c r="J132" t="s">
        <v>652</v>
      </c>
      <c r="K132" t="s">
        <v>620</v>
      </c>
      <c r="L132" t="s">
        <v>180</v>
      </c>
      <c r="M132" t="s">
        <v>84</v>
      </c>
      <c r="P132" t="s">
        <v>623</v>
      </c>
      <c r="Q132" t="s">
        <v>2847</v>
      </c>
      <c r="R132" t="s">
        <v>613</v>
      </c>
      <c r="S132" s="2">
        <v>44132</v>
      </c>
      <c r="T132" s="2">
        <v>44134</v>
      </c>
      <c r="U132" s="2">
        <v>44134</v>
      </c>
      <c r="V132" s="2">
        <v>44134</v>
      </c>
      <c r="W132" s="2">
        <v>44134</v>
      </c>
      <c r="X132" s="2">
        <v>44139</v>
      </c>
      <c r="Y132" t="s">
        <v>2845</v>
      </c>
      <c r="Z132" t="s">
        <v>1735</v>
      </c>
      <c r="AA132" t="s">
        <v>1735</v>
      </c>
      <c r="AB132" t="s">
        <v>67</v>
      </c>
      <c r="AC132" t="s">
        <v>67</v>
      </c>
      <c r="AD132" t="s">
        <v>67</v>
      </c>
      <c r="AF132" t="s">
        <v>2179</v>
      </c>
      <c r="AG132" t="s">
        <v>2180</v>
      </c>
      <c r="AH132" t="s">
        <v>2179</v>
      </c>
      <c r="AI132" t="s">
        <v>252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1296</v>
      </c>
      <c r="AP132">
        <v>18.106000000000002</v>
      </c>
      <c r="AV132">
        <v>-1</v>
      </c>
    </row>
    <row r="133" spans="1:48" x14ac:dyDescent="0.55000000000000004">
      <c r="A133" t="str">
        <f>HYPERLINK("https://www.infodis.net/philips/net/Shipment/Details?InfodisNumber=4546235&amp;DomainCode=DAP", "4546235")</f>
        <v>4546235</v>
      </c>
      <c r="B133" t="s">
        <v>2848</v>
      </c>
      <c r="C133" t="s">
        <v>2067</v>
      </c>
      <c r="D133" t="s">
        <v>2068</v>
      </c>
      <c r="E133" t="s">
        <v>2849</v>
      </c>
      <c r="F133" t="s">
        <v>2849</v>
      </c>
      <c r="G133" t="s">
        <v>82</v>
      </c>
      <c r="H133" t="s">
        <v>83</v>
      </c>
      <c r="I133" t="s">
        <v>81</v>
      </c>
      <c r="J133" t="s">
        <v>786</v>
      </c>
      <c r="K133" t="s">
        <v>404</v>
      </c>
      <c r="L133" t="s">
        <v>307</v>
      </c>
      <c r="M133" t="s">
        <v>84</v>
      </c>
      <c r="P133" t="s">
        <v>87</v>
      </c>
      <c r="Q133" t="s">
        <v>2850</v>
      </c>
      <c r="R133" t="s">
        <v>408</v>
      </c>
      <c r="S133" s="2">
        <v>44134</v>
      </c>
      <c r="T133" s="2">
        <v>44134</v>
      </c>
      <c r="V133" s="2">
        <v>44137</v>
      </c>
      <c r="W133" s="2">
        <v>44137</v>
      </c>
      <c r="Y133" t="s">
        <v>1735</v>
      </c>
      <c r="Z133" t="s">
        <v>1735</v>
      </c>
      <c r="AA133" t="s">
        <v>66</v>
      </c>
      <c r="AB133" t="s">
        <v>67</v>
      </c>
      <c r="AC133" t="s">
        <v>67</v>
      </c>
      <c r="AD133" t="s">
        <v>68</v>
      </c>
      <c r="AF133" t="s">
        <v>2179</v>
      </c>
      <c r="AG133" t="s">
        <v>2180</v>
      </c>
      <c r="AH133" t="s">
        <v>2179</v>
      </c>
      <c r="AI133" t="s">
        <v>73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433.5</v>
      </c>
      <c r="AP133">
        <v>4.0680000000000014</v>
      </c>
      <c r="AV133">
        <v>-1</v>
      </c>
    </row>
    <row r="134" spans="1:48" x14ac:dyDescent="0.55000000000000004">
      <c r="A134" t="str">
        <f>HYPERLINK("https://www.infodis.net/philips/net/Shipment/Details?InfodisNumber=4543698&amp;DomainCode=DAP", "4543698")</f>
        <v>4543698</v>
      </c>
      <c r="B134" t="s">
        <v>2851</v>
      </c>
      <c r="C134" t="s">
        <v>2852</v>
      </c>
      <c r="D134" t="s">
        <v>2853</v>
      </c>
      <c r="E134" t="s">
        <v>2852</v>
      </c>
      <c r="F134" t="s">
        <v>167</v>
      </c>
      <c r="G134" t="s">
        <v>2854</v>
      </c>
      <c r="H134" t="s">
        <v>180</v>
      </c>
      <c r="I134" t="s">
        <v>2596</v>
      </c>
      <c r="J134" t="s">
        <v>2405</v>
      </c>
      <c r="K134" t="s">
        <v>1125</v>
      </c>
      <c r="L134" t="s">
        <v>172</v>
      </c>
      <c r="M134" t="s">
        <v>60</v>
      </c>
      <c r="P134" t="s">
        <v>2855</v>
      </c>
      <c r="Q134" t="s">
        <v>2856</v>
      </c>
      <c r="R134" t="s">
        <v>1128</v>
      </c>
      <c r="S134" s="2">
        <v>44131</v>
      </c>
      <c r="T134" s="2">
        <v>44131</v>
      </c>
      <c r="U134" s="2">
        <v>44133</v>
      </c>
      <c r="V134" s="2">
        <v>44136</v>
      </c>
      <c r="W134" s="2">
        <v>44135</v>
      </c>
      <c r="X134" s="2">
        <v>44138</v>
      </c>
      <c r="Y134" t="s">
        <v>2411</v>
      </c>
      <c r="Z134" t="s">
        <v>2411</v>
      </c>
      <c r="AA134" t="s">
        <v>2411</v>
      </c>
      <c r="AB134" t="s">
        <v>67</v>
      </c>
      <c r="AC134" t="s">
        <v>67</v>
      </c>
      <c r="AD134" t="s">
        <v>67</v>
      </c>
      <c r="AF134" t="s">
        <v>2399</v>
      </c>
      <c r="AG134" t="s">
        <v>2400</v>
      </c>
      <c r="AH134" t="s">
        <v>2399</v>
      </c>
      <c r="AI134" t="s">
        <v>73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145.15</v>
      </c>
      <c r="AP134">
        <v>1.573</v>
      </c>
      <c r="AV134">
        <v>-1</v>
      </c>
    </row>
    <row r="135" spans="1:48" x14ac:dyDescent="0.55000000000000004">
      <c r="A135" t="str">
        <f>HYPERLINK("https://www.infodis.net/philips/net/Shipment/Details?InfodisNumber=1552560&amp;DomainCode=PHILIPSM1", "1552560")</f>
        <v>1552560</v>
      </c>
      <c r="B135" t="s">
        <v>2857</v>
      </c>
      <c r="C135" t="s">
        <v>2080</v>
      </c>
      <c r="D135" t="s">
        <v>2081</v>
      </c>
      <c r="E135" t="s">
        <v>2089</v>
      </c>
      <c r="F135" t="s">
        <v>2858</v>
      </c>
      <c r="G135" t="s">
        <v>1430</v>
      </c>
      <c r="H135" t="s">
        <v>244</v>
      </c>
      <c r="I135" t="s">
        <v>2084</v>
      </c>
      <c r="J135" t="s">
        <v>2684</v>
      </c>
      <c r="K135" t="s">
        <v>143</v>
      </c>
      <c r="L135" t="s">
        <v>83</v>
      </c>
      <c r="M135" t="s">
        <v>60</v>
      </c>
      <c r="P135" t="s">
        <v>1432</v>
      </c>
      <c r="Q135" t="s">
        <v>2859</v>
      </c>
      <c r="R135" t="s">
        <v>144</v>
      </c>
      <c r="S135" s="2">
        <v>44131</v>
      </c>
      <c r="T135" s="2">
        <v>44131</v>
      </c>
      <c r="U135" s="2">
        <v>44131</v>
      </c>
      <c r="V135" s="2">
        <v>44132</v>
      </c>
      <c r="W135" s="2">
        <v>44146</v>
      </c>
      <c r="Y135" t="s">
        <v>2387</v>
      </c>
      <c r="Z135" t="s">
        <v>2387</v>
      </c>
      <c r="AA135" t="s">
        <v>603</v>
      </c>
      <c r="AB135" t="s">
        <v>67</v>
      </c>
      <c r="AC135" t="s">
        <v>67</v>
      </c>
      <c r="AD135" t="s">
        <v>68</v>
      </c>
      <c r="AF135" t="s">
        <v>2610</v>
      </c>
      <c r="AG135" t="s">
        <v>2611</v>
      </c>
      <c r="AH135" t="s">
        <v>2610</v>
      </c>
      <c r="AI135" t="s">
        <v>605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1.7</v>
      </c>
      <c r="AP135">
        <v>2.1999999999999999E-2</v>
      </c>
      <c r="AV135">
        <v>-1</v>
      </c>
    </row>
    <row r="136" spans="1:48" x14ac:dyDescent="0.55000000000000004">
      <c r="A136" t="str">
        <f>HYPERLINK("https://www.infodis.net/philips/net/Shipment/Details?InfodisNumber=1552569&amp;DomainCode=PHILIPSM1", "1552569")</f>
        <v>1552569</v>
      </c>
      <c r="B136" t="s">
        <v>2860</v>
      </c>
      <c r="C136" t="s">
        <v>2080</v>
      </c>
      <c r="D136" t="s">
        <v>2081</v>
      </c>
      <c r="E136" t="s">
        <v>2089</v>
      </c>
      <c r="F136" t="s">
        <v>2606</v>
      </c>
      <c r="G136" t="s">
        <v>1430</v>
      </c>
      <c r="H136" t="s">
        <v>244</v>
      </c>
      <c r="I136" t="s">
        <v>2084</v>
      </c>
      <c r="J136" t="s">
        <v>2607</v>
      </c>
      <c r="K136" t="s">
        <v>1380</v>
      </c>
      <c r="L136" t="s">
        <v>132</v>
      </c>
      <c r="M136" t="s">
        <v>60</v>
      </c>
      <c r="P136" t="s">
        <v>1432</v>
      </c>
      <c r="Q136" t="s">
        <v>2861</v>
      </c>
      <c r="R136" t="s">
        <v>2609</v>
      </c>
      <c r="S136" s="2">
        <v>44131</v>
      </c>
      <c r="T136" s="2">
        <v>44131</v>
      </c>
      <c r="U136" s="2">
        <v>44131</v>
      </c>
      <c r="V136" s="2">
        <v>44132</v>
      </c>
      <c r="W136" s="2">
        <v>44134</v>
      </c>
      <c r="Y136" t="s">
        <v>2387</v>
      </c>
      <c r="Z136" t="s">
        <v>2387</v>
      </c>
      <c r="AA136" t="s">
        <v>603</v>
      </c>
      <c r="AB136" t="s">
        <v>67</v>
      </c>
      <c r="AC136" t="s">
        <v>67</v>
      </c>
      <c r="AD136" t="s">
        <v>68</v>
      </c>
      <c r="AF136" t="s">
        <v>2610</v>
      </c>
      <c r="AG136" t="s">
        <v>2611</v>
      </c>
      <c r="AH136" t="s">
        <v>2610</v>
      </c>
      <c r="AI136" t="s">
        <v>605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1.6</v>
      </c>
      <c r="AP136">
        <v>2.1999999999999999E-2</v>
      </c>
      <c r="AV136">
        <v>-1</v>
      </c>
    </row>
    <row r="137" spans="1:48" x14ac:dyDescent="0.55000000000000004">
      <c r="A137" t="str">
        <f>HYPERLINK("https://www.infodis.net/philips/net/Shipment/Details?InfodisNumber=1552572&amp;DomainCode=PHILIPSM1", "1552572")</f>
        <v>1552572</v>
      </c>
      <c r="B137" t="s">
        <v>2862</v>
      </c>
      <c r="C137" t="s">
        <v>2491</v>
      </c>
      <c r="D137" t="s">
        <v>2492</v>
      </c>
      <c r="E137" t="s">
        <v>2491</v>
      </c>
      <c r="F137" t="s">
        <v>2493</v>
      </c>
      <c r="G137" t="s">
        <v>1431</v>
      </c>
      <c r="H137" t="s">
        <v>180</v>
      </c>
      <c r="I137" t="s">
        <v>2494</v>
      </c>
      <c r="J137" t="s">
        <v>2495</v>
      </c>
      <c r="K137" t="s">
        <v>2496</v>
      </c>
      <c r="L137" t="s">
        <v>73</v>
      </c>
      <c r="M137" t="s">
        <v>60</v>
      </c>
      <c r="P137" t="s">
        <v>1434</v>
      </c>
      <c r="Q137" t="s">
        <v>2863</v>
      </c>
      <c r="R137" t="s">
        <v>2498</v>
      </c>
      <c r="S137" s="2">
        <v>44131</v>
      </c>
      <c r="T137" s="2">
        <v>44132</v>
      </c>
      <c r="U137" s="2">
        <v>44132</v>
      </c>
      <c r="V137" s="2">
        <v>44135</v>
      </c>
      <c r="W137" s="2">
        <v>44139</v>
      </c>
      <c r="Y137" t="s">
        <v>2387</v>
      </c>
      <c r="Z137" t="s">
        <v>2387</v>
      </c>
      <c r="AA137" t="s">
        <v>603</v>
      </c>
      <c r="AB137" t="s">
        <v>67</v>
      </c>
      <c r="AC137" t="s">
        <v>67</v>
      </c>
      <c r="AD137" t="s">
        <v>68</v>
      </c>
      <c r="AF137" t="s">
        <v>2179</v>
      </c>
      <c r="AG137" t="s">
        <v>2180</v>
      </c>
      <c r="AH137" t="s">
        <v>2179</v>
      </c>
      <c r="AI137" t="s">
        <v>605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166</v>
      </c>
      <c r="AP137">
        <v>2.1349999999999998</v>
      </c>
      <c r="AV137">
        <v>-1</v>
      </c>
    </row>
    <row r="138" spans="1:48" x14ac:dyDescent="0.55000000000000004">
      <c r="A138" t="str">
        <f>HYPERLINK("https://www.infodis.net/philips/net/Shipment/Details?InfodisNumber=4544573&amp;DomainCode=DAP", "4544573")</f>
        <v>4544573</v>
      </c>
      <c r="B138" t="s">
        <v>2864</v>
      </c>
      <c r="C138" t="s">
        <v>2852</v>
      </c>
      <c r="D138" t="s">
        <v>2853</v>
      </c>
      <c r="E138" t="s">
        <v>2852</v>
      </c>
      <c r="F138" t="s">
        <v>167</v>
      </c>
      <c r="G138" t="s">
        <v>2854</v>
      </c>
      <c r="H138" t="s">
        <v>180</v>
      </c>
      <c r="I138" t="s">
        <v>2596</v>
      </c>
      <c r="J138" t="s">
        <v>2405</v>
      </c>
      <c r="K138" t="s">
        <v>1125</v>
      </c>
      <c r="L138" t="s">
        <v>172</v>
      </c>
      <c r="M138" t="s">
        <v>60</v>
      </c>
      <c r="P138" t="s">
        <v>2855</v>
      </c>
      <c r="Q138" t="s">
        <v>2865</v>
      </c>
      <c r="R138" t="s">
        <v>1128</v>
      </c>
      <c r="S138" s="2">
        <v>44132</v>
      </c>
      <c r="T138" s="2">
        <v>44132</v>
      </c>
      <c r="U138" s="2">
        <v>44132</v>
      </c>
      <c r="V138" s="2">
        <v>44137</v>
      </c>
      <c r="W138" s="2">
        <v>44134</v>
      </c>
      <c r="X138" s="2">
        <v>44143</v>
      </c>
      <c r="Y138" t="s">
        <v>2411</v>
      </c>
      <c r="Z138" t="s">
        <v>2411</v>
      </c>
      <c r="AA138" t="s">
        <v>2411</v>
      </c>
      <c r="AB138" t="s">
        <v>67</v>
      </c>
      <c r="AC138" t="s">
        <v>67</v>
      </c>
      <c r="AD138" t="s">
        <v>67</v>
      </c>
      <c r="AF138" t="s">
        <v>2399</v>
      </c>
      <c r="AG138" t="s">
        <v>2400</v>
      </c>
      <c r="AH138" t="s">
        <v>2399</v>
      </c>
      <c r="AI138" t="s">
        <v>73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184.16</v>
      </c>
      <c r="AP138">
        <v>2.58</v>
      </c>
      <c r="AV138">
        <v>-1</v>
      </c>
    </row>
    <row r="139" spans="1:48" x14ac:dyDescent="0.55000000000000004">
      <c r="A139" t="str">
        <f>HYPERLINK("https://www.infodis.net/philips/net/Shipment/Details?InfodisNumber=6933867&amp;DomainCode=PHILIPSR1", "6933867")</f>
        <v>6933867</v>
      </c>
      <c r="B139" t="s">
        <v>2866</v>
      </c>
      <c r="C139" t="s">
        <v>2449</v>
      </c>
      <c r="D139" t="s">
        <v>2450</v>
      </c>
      <c r="E139" t="s">
        <v>2449</v>
      </c>
      <c r="F139" t="s">
        <v>2452</v>
      </c>
      <c r="G139" t="s">
        <v>2453</v>
      </c>
      <c r="H139" t="s">
        <v>443</v>
      </c>
      <c r="I139" t="s">
        <v>2454</v>
      </c>
      <c r="J139" t="s">
        <v>2455</v>
      </c>
      <c r="K139" t="s">
        <v>2456</v>
      </c>
      <c r="L139" t="s">
        <v>321</v>
      </c>
      <c r="M139" t="s">
        <v>60</v>
      </c>
      <c r="P139" t="s">
        <v>2457</v>
      </c>
      <c r="Q139" t="s">
        <v>2867</v>
      </c>
      <c r="R139" t="s">
        <v>2459</v>
      </c>
      <c r="S139" s="2">
        <v>44132</v>
      </c>
      <c r="T139" s="2">
        <v>44132</v>
      </c>
      <c r="U139" s="2">
        <v>44132</v>
      </c>
      <c r="V139" s="2">
        <v>44135</v>
      </c>
      <c r="W139" s="2">
        <v>44133</v>
      </c>
      <c r="X139" s="2">
        <v>44139</v>
      </c>
      <c r="Y139" t="s">
        <v>1735</v>
      </c>
      <c r="Z139" t="s">
        <v>1735</v>
      </c>
      <c r="AA139" t="s">
        <v>1735</v>
      </c>
      <c r="AB139" t="s">
        <v>67</v>
      </c>
      <c r="AC139" t="s">
        <v>67</v>
      </c>
      <c r="AD139" t="s">
        <v>67</v>
      </c>
      <c r="AF139" t="s">
        <v>2179</v>
      </c>
      <c r="AG139" t="s">
        <v>2180</v>
      </c>
      <c r="AH139" t="s">
        <v>2179</v>
      </c>
      <c r="AI139" t="s">
        <v>252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70</v>
      </c>
      <c r="AP139">
        <v>0.61299999999999999</v>
      </c>
      <c r="AV139">
        <v>-1</v>
      </c>
    </row>
    <row r="140" spans="1:48" x14ac:dyDescent="0.55000000000000004">
      <c r="A140" t="str">
        <f>HYPERLINK("https://www.infodis.net/philips/net/Shipment/Details?InfodisNumber=1555528&amp;DomainCode=PHILIPSM1", "1555528")</f>
        <v>1555528</v>
      </c>
      <c r="B140" t="s">
        <v>2868</v>
      </c>
      <c r="C140" t="s">
        <v>2080</v>
      </c>
      <c r="D140" t="s">
        <v>2081</v>
      </c>
      <c r="E140" t="s">
        <v>2082</v>
      </c>
      <c r="F140" t="s">
        <v>2869</v>
      </c>
      <c r="G140" t="s">
        <v>1430</v>
      </c>
      <c r="H140" t="s">
        <v>244</v>
      </c>
      <c r="I140" t="s">
        <v>2084</v>
      </c>
      <c r="J140" t="s">
        <v>1201</v>
      </c>
      <c r="K140" t="s">
        <v>1414</v>
      </c>
      <c r="L140" t="s">
        <v>1203</v>
      </c>
      <c r="M140" t="s">
        <v>60</v>
      </c>
      <c r="P140" t="s">
        <v>1432</v>
      </c>
      <c r="Q140" t="s">
        <v>2870</v>
      </c>
      <c r="S140" s="2">
        <v>44132</v>
      </c>
      <c r="T140" s="2">
        <v>44133</v>
      </c>
      <c r="U140" s="2">
        <v>44133</v>
      </c>
      <c r="V140" s="2">
        <v>44134</v>
      </c>
      <c r="W140" s="2">
        <v>44140</v>
      </c>
      <c r="Y140" t="s">
        <v>2387</v>
      </c>
      <c r="Z140" t="s">
        <v>2387</v>
      </c>
      <c r="AA140" t="s">
        <v>603</v>
      </c>
      <c r="AB140" t="s">
        <v>67</v>
      </c>
      <c r="AC140" t="s">
        <v>67</v>
      </c>
      <c r="AD140" t="s">
        <v>68</v>
      </c>
      <c r="AF140" t="s">
        <v>2610</v>
      </c>
      <c r="AG140" t="s">
        <v>2611</v>
      </c>
      <c r="AH140" t="s">
        <v>2610</v>
      </c>
      <c r="AI140" t="s">
        <v>605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5.4</v>
      </c>
      <c r="AP140">
        <v>7.400000000000001E-2</v>
      </c>
      <c r="AV140">
        <v>-1</v>
      </c>
    </row>
    <row r="141" spans="1:48" x14ac:dyDescent="0.55000000000000004">
      <c r="A141" t="str">
        <f>HYPERLINK("https://www.infodis.net/philips/net/Shipment/Details?InfodisNumber=4544627&amp;DomainCode=DAP", "4544627")</f>
        <v>4544627</v>
      </c>
      <c r="B141" t="s">
        <v>2871</v>
      </c>
      <c r="C141" t="s">
        <v>2054</v>
      </c>
      <c r="D141" t="s">
        <v>2055</v>
      </c>
      <c r="E141" t="s">
        <v>2054</v>
      </c>
      <c r="F141" t="s">
        <v>167</v>
      </c>
      <c r="G141" t="s">
        <v>2056</v>
      </c>
      <c r="H141" t="s">
        <v>180</v>
      </c>
      <c r="I141" t="s">
        <v>2057</v>
      </c>
      <c r="J141" t="s">
        <v>2405</v>
      </c>
      <c r="K141" t="s">
        <v>171</v>
      </c>
      <c r="L141" t="s">
        <v>172</v>
      </c>
      <c r="M141" t="s">
        <v>60</v>
      </c>
      <c r="P141" t="s">
        <v>2058</v>
      </c>
      <c r="Q141" t="s">
        <v>2872</v>
      </c>
      <c r="R141" t="s">
        <v>174</v>
      </c>
      <c r="S141" s="2">
        <v>44132</v>
      </c>
      <c r="T141" s="2">
        <v>44133</v>
      </c>
      <c r="U141" s="2">
        <v>44133</v>
      </c>
      <c r="V141" s="2">
        <v>44147</v>
      </c>
      <c r="W141" s="2">
        <v>44147</v>
      </c>
      <c r="X141" s="2">
        <v>44151</v>
      </c>
      <c r="Y141" t="s">
        <v>2411</v>
      </c>
      <c r="Z141" t="s">
        <v>2411</v>
      </c>
      <c r="AA141" t="s">
        <v>2411</v>
      </c>
      <c r="AB141" t="s">
        <v>67</v>
      </c>
      <c r="AC141" t="s">
        <v>67</v>
      </c>
      <c r="AD141" t="s">
        <v>67</v>
      </c>
      <c r="AF141" t="s">
        <v>2179</v>
      </c>
      <c r="AG141" t="s">
        <v>2180</v>
      </c>
      <c r="AH141" t="s">
        <v>2179</v>
      </c>
      <c r="AI141" t="s">
        <v>73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70</v>
      </c>
      <c r="AP141">
        <v>-1</v>
      </c>
      <c r="AV141">
        <v>-1</v>
      </c>
    </row>
    <row r="142" spans="1:48" x14ac:dyDescent="0.55000000000000004">
      <c r="A142" t="str">
        <f>HYPERLINK("https://www.infodis.net/philips/net/Shipment/Details?InfodisNumber=4544633&amp;DomainCode=DAP", "4544633")</f>
        <v>4544633</v>
      </c>
      <c r="B142" t="s">
        <v>2873</v>
      </c>
      <c r="C142" t="s">
        <v>2054</v>
      </c>
      <c r="D142" t="s">
        <v>2055</v>
      </c>
      <c r="E142" t="s">
        <v>2054</v>
      </c>
      <c r="F142" t="s">
        <v>167</v>
      </c>
      <c r="G142" t="s">
        <v>2056</v>
      </c>
      <c r="H142" t="s">
        <v>180</v>
      </c>
      <c r="I142" t="s">
        <v>2057</v>
      </c>
      <c r="J142" t="s">
        <v>2405</v>
      </c>
      <c r="K142" t="s">
        <v>171</v>
      </c>
      <c r="L142" t="s">
        <v>172</v>
      </c>
      <c r="M142" t="s">
        <v>60</v>
      </c>
      <c r="P142" t="s">
        <v>2058</v>
      </c>
      <c r="Q142" t="s">
        <v>2874</v>
      </c>
      <c r="R142" t="s">
        <v>174</v>
      </c>
      <c r="S142" s="2">
        <v>44132</v>
      </c>
      <c r="T142" s="2">
        <v>44133</v>
      </c>
      <c r="U142" s="2">
        <v>44133</v>
      </c>
      <c r="V142" s="2">
        <v>44136</v>
      </c>
      <c r="W142" s="2">
        <v>44147</v>
      </c>
      <c r="X142" s="2">
        <v>44151</v>
      </c>
      <c r="Y142" t="s">
        <v>2411</v>
      </c>
      <c r="Z142" t="s">
        <v>2411</v>
      </c>
      <c r="AA142" t="s">
        <v>2411</v>
      </c>
      <c r="AB142" t="s">
        <v>67</v>
      </c>
      <c r="AC142" t="s">
        <v>67</v>
      </c>
      <c r="AD142" t="s">
        <v>67</v>
      </c>
      <c r="AF142" t="s">
        <v>2179</v>
      </c>
      <c r="AG142" t="s">
        <v>2180</v>
      </c>
      <c r="AH142" t="s">
        <v>2179</v>
      </c>
      <c r="AI142" t="s">
        <v>73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95.5</v>
      </c>
      <c r="AP142">
        <v>-1</v>
      </c>
      <c r="AV142">
        <v>-1</v>
      </c>
    </row>
    <row r="143" spans="1:48" x14ac:dyDescent="0.55000000000000004">
      <c r="A143" t="str">
        <f>HYPERLINK("https://www.infodis.net/philips/net/Shipment/Details?InfodisNumber=6934986&amp;DomainCode=PHILIPSR1", "6934986")</f>
        <v>6934986</v>
      </c>
      <c r="B143" t="s">
        <v>2875</v>
      </c>
      <c r="C143" t="s">
        <v>2806</v>
      </c>
      <c r="D143" t="s">
        <v>2807</v>
      </c>
      <c r="E143" t="s">
        <v>914</v>
      </c>
      <c r="F143" t="s">
        <v>2876</v>
      </c>
      <c r="G143" t="s">
        <v>247</v>
      </c>
      <c r="H143" t="s">
        <v>180</v>
      </c>
      <c r="I143" t="s">
        <v>2625</v>
      </c>
      <c r="J143" t="s">
        <v>2570</v>
      </c>
      <c r="K143" t="s">
        <v>2571</v>
      </c>
      <c r="L143" t="s">
        <v>998</v>
      </c>
      <c r="M143" t="s">
        <v>1658</v>
      </c>
      <c r="P143" t="s">
        <v>251</v>
      </c>
      <c r="Q143" t="s">
        <v>2877</v>
      </c>
      <c r="R143" t="s">
        <v>2878</v>
      </c>
      <c r="S143" s="2">
        <v>44132</v>
      </c>
      <c r="T143" s="2">
        <v>44132</v>
      </c>
      <c r="U143" s="2">
        <v>44132</v>
      </c>
      <c r="V143" s="2">
        <v>44135</v>
      </c>
      <c r="W143" s="2">
        <v>44140</v>
      </c>
      <c r="Y143" t="s">
        <v>1735</v>
      </c>
      <c r="Z143" t="s">
        <v>1735</v>
      </c>
      <c r="AA143" t="s">
        <v>1735</v>
      </c>
      <c r="AB143" t="s">
        <v>67</v>
      </c>
      <c r="AC143" t="s">
        <v>67</v>
      </c>
      <c r="AD143" t="s">
        <v>67</v>
      </c>
      <c r="AF143" t="s">
        <v>2179</v>
      </c>
      <c r="AG143" t="s">
        <v>2180</v>
      </c>
      <c r="AH143" t="s">
        <v>2179</v>
      </c>
      <c r="AI143" t="s">
        <v>252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1.4999999999999999E-2</v>
      </c>
      <c r="AV143">
        <v>-1</v>
      </c>
    </row>
    <row r="144" spans="1:48" x14ac:dyDescent="0.55000000000000004">
      <c r="A144" t="str">
        <f>HYPERLINK("https://www.infodis.net/philips/net/Shipment/Details?InfodisNumber=1557200&amp;DomainCode=PHILIPSM1", "1557200")</f>
        <v>1557200</v>
      </c>
      <c r="B144" t="s">
        <v>2879</v>
      </c>
      <c r="C144" t="s">
        <v>2461</v>
      </c>
      <c r="D144" t="s">
        <v>2462</v>
      </c>
      <c r="E144" t="s">
        <v>2461</v>
      </c>
      <c r="F144" t="s">
        <v>2880</v>
      </c>
      <c r="G144" t="s">
        <v>601</v>
      </c>
      <c r="H144" t="s">
        <v>180</v>
      </c>
      <c r="I144" t="s">
        <v>2057</v>
      </c>
      <c r="J144" t="s">
        <v>157</v>
      </c>
      <c r="K144" t="s">
        <v>369</v>
      </c>
      <c r="L144" t="s">
        <v>159</v>
      </c>
      <c r="M144" t="s">
        <v>60</v>
      </c>
      <c r="P144" t="s">
        <v>602</v>
      </c>
      <c r="Q144" t="s">
        <v>2881</v>
      </c>
      <c r="R144" t="s">
        <v>2882</v>
      </c>
      <c r="S144" s="2">
        <v>44133</v>
      </c>
      <c r="T144" s="2">
        <v>44133</v>
      </c>
      <c r="U144" s="2">
        <v>44133</v>
      </c>
      <c r="V144" s="2">
        <v>44136</v>
      </c>
      <c r="W144" s="2">
        <v>44143</v>
      </c>
      <c r="X144" s="2">
        <v>44151</v>
      </c>
      <c r="Y144" t="s">
        <v>2387</v>
      </c>
      <c r="Z144" t="s">
        <v>2387</v>
      </c>
      <c r="AA144" t="s">
        <v>2387</v>
      </c>
      <c r="AB144" t="s">
        <v>67</v>
      </c>
      <c r="AC144" t="s">
        <v>67</v>
      </c>
      <c r="AD144" t="s">
        <v>67</v>
      </c>
      <c r="AF144" t="s">
        <v>2179</v>
      </c>
      <c r="AG144" t="s">
        <v>2180</v>
      </c>
      <c r="AH144" t="s">
        <v>2179</v>
      </c>
      <c r="AI144" t="s">
        <v>605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214.5</v>
      </c>
      <c r="AP144">
        <v>2.6429999999999998</v>
      </c>
      <c r="AV144">
        <v>-1</v>
      </c>
    </row>
    <row r="145" spans="1:48" x14ac:dyDescent="0.55000000000000004">
      <c r="A145" t="str">
        <f>HYPERLINK("https://www.infodis.net/philips/net/Shipment/Details?InfodisNumber=1557235&amp;DomainCode=PHILIPSM1", "1557235")</f>
        <v>1557235</v>
      </c>
      <c r="B145" t="s">
        <v>2883</v>
      </c>
      <c r="C145" t="s">
        <v>2080</v>
      </c>
      <c r="D145" t="s">
        <v>2081</v>
      </c>
      <c r="E145" t="s">
        <v>2082</v>
      </c>
      <c r="F145" t="s">
        <v>2884</v>
      </c>
      <c r="G145" t="s">
        <v>1430</v>
      </c>
      <c r="H145" t="s">
        <v>244</v>
      </c>
      <c r="I145" t="s">
        <v>2084</v>
      </c>
      <c r="J145" t="s">
        <v>1301</v>
      </c>
      <c r="K145" t="s">
        <v>2885</v>
      </c>
      <c r="L145" t="s">
        <v>1303</v>
      </c>
      <c r="M145" t="s">
        <v>60</v>
      </c>
      <c r="P145" t="s">
        <v>1432</v>
      </c>
      <c r="Q145" t="s">
        <v>2886</v>
      </c>
      <c r="R145" t="s">
        <v>2887</v>
      </c>
      <c r="S145" s="2">
        <v>44133</v>
      </c>
      <c r="T145" s="2">
        <v>44134</v>
      </c>
      <c r="U145" s="2">
        <v>44134</v>
      </c>
      <c r="V145" s="2">
        <v>44137</v>
      </c>
      <c r="W145" s="2">
        <v>44137</v>
      </c>
      <c r="Y145" t="s">
        <v>2387</v>
      </c>
      <c r="Z145" t="s">
        <v>2387</v>
      </c>
      <c r="AA145" t="s">
        <v>603</v>
      </c>
      <c r="AB145" t="s">
        <v>67</v>
      </c>
      <c r="AC145" t="s">
        <v>67</v>
      </c>
      <c r="AD145" t="s">
        <v>68</v>
      </c>
      <c r="AF145" t="s">
        <v>2179</v>
      </c>
      <c r="AG145" t="s">
        <v>2180</v>
      </c>
      <c r="AH145" t="s">
        <v>2179</v>
      </c>
      <c r="AI145" t="s">
        <v>605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189.9</v>
      </c>
      <c r="AP145">
        <v>1.1879999999999999</v>
      </c>
      <c r="AV145">
        <v>-1</v>
      </c>
    </row>
    <row r="146" spans="1:48" x14ac:dyDescent="0.55000000000000004">
      <c r="A146" t="str">
        <f>HYPERLINK("https://www.infodis.net/philips/net/Shipment/Details?InfodisNumber=4545946&amp;DomainCode=DAP", "4545946")</f>
        <v>4545946</v>
      </c>
      <c r="B146" t="s">
        <v>2888</v>
      </c>
      <c r="C146" t="s">
        <v>2889</v>
      </c>
      <c r="D146" t="s">
        <v>2890</v>
      </c>
      <c r="E146" t="s">
        <v>2889</v>
      </c>
      <c r="F146" t="s">
        <v>291</v>
      </c>
      <c r="G146" t="s">
        <v>2891</v>
      </c>
      <c r="H146" t="s">
        <v>83</v>
      </c>
      <c r="I146" t="s">
        <v>2141</v>
      </c>
      <c r="J146" t="s">
        <v>2739</v>
      </c>
      <c r="K146" t="s">
        <v>295</v>
      </c>
      <c r="L146" t="s">
        <v>296</v>
      </c>
      <c r="M146" t="s">
        <v>84</v>
      </c>
      <c r="P146" t="s">
        <v>87</v>
      </c>
      <c r="Q146" t="s">
        <v>2892</v>
      </c>
      <c r="R146" t="s">
        <v>300</v>
      </c>
      <c r="S146" s="2">
        <v>44134</v>
      </c>
      <c r="T146" s="2">
        <v>44137</v>
      </c>
      <c r="V146" s="2">
        <v>44140</v>
      </c>
      <c r="W146" s="2">
        <v>44139</v>
      </c>
      <c r="Y146" t="s">
        <v>1735</v>
      </c>
      <c r="Z146" t="s">
        <v>1735</v>
      </c>
      <c r="AA146" t="s">
        <v>1735</v>
      </c>
      <c r="AB146" t="s">
        <v>67</v>
      </c>
      <c r="AC146" t="s">
        <v>67</v>
      </c>
      <c r="AD146" t="s">
        <v>67</v>
      </c>
      <c r="AF146" t="s">
        <v>2179</v>
      </c>
      <c r="AG146" t="s">
        <v>2180</v>
      </c>
      <c r="AH146" t="s">
        <v>2179</v>
      </c>
      <c r="AI146" t="s">
        <v>73</v>
      </c>
      <c r="AJ146">
        <v>0</v>
      </c>
      <c r="AK146">
        <v>0</v>
      </c>
      <c r="AL146">
        <v>0</v>
      </c>
      <c r="AM146">
        <v>0</v>
      </c>
      <c r="AN146">
        <v>6</v>
      </c>
      <c r="AO146">
        <v>402</v>
      </c>
      <c r="AP146">
        <v>8.3129999999999988</v>
      </c>
      <c r="AV146">
        <v>-1</v>
      </c>
    </row>
    <row r="147" spans="1:48" x14ac:dyDescent="0.55000000000000004">
      <c r="A147" t="str">
        <f>HYPERLINK("https://www.infodis.net/philips/net/Shipment/Details?InfodisNumber=1557315&amp;DomainCode=PHILIPSM1", "1557315")</f>
        <v>1557315</v>
      </c>
      <c r="B147" t="s">
        <v>2893</v>
      </c>
      <c r="C147" t="s">
        <v>2080</v>
      </c>
      <c r="D147" t="s">
        <v>2081</v>
      </c>
      <c r="E147" t="s">
        <v>2082</v>
      </c>
      <c r="F147" t="s">
        <v>2894</v>
      </c>
      <c r="G147" t="s">
        <v>1430</v>
      </c>
      <c r="H147" t="s">
        <v>244</v>
      </c>
      <c r="I147" t="s">
        <v>2084</v>
      </c>
      <c r="J147" t="s">
        <v>2895</v>
      </c>
      <c r="K147" t="s">
        <v>2896</v>
      </c>
      <c r="L147" t="s">
        <v>2897</v>
      </c>
      <c r="M147" t="s">
        <v>60</v>
      </c>
      <c r="P147" t="s">
        <v>1432</v>
      </c>
      <c r="Q147" t="s">
        <v>2898</v>
      </c>
      <c r="R147" t="s">
        <v>2899</v>
      </c>
      <c r="S147" s="2">
        <v>44134</v>
      </c>
      <c r="T147" s="2">
        <v>44134</v>
      </c>
      <c r="U147" s="2">
        <v>44134</v>
      </c>
      <c r="V147" s="2">
        <v>44135</v>
      </c>
      <c r="W147" s="2">
        <v>44138</v>
      </c>
      <c r="Y147" t="s">
        <v>2387</v>
      </c>
      <c r="Z147" t="s">
        <v>2387</v>
      </c>
      <c r="AA147" t="s">
        <v>603</v>
      </c>
      <c r="AB147" t="s">
        <v>67</v>
      </c>
      <c r="AC147" t="s">
        <v>67</v>
      </c>
      <c r="AD147" t="s">
        <v>68</v>
      </c>
      <c r="AF147" t="s">
        <v>2610</v>
      </c>
      <c r="AG147" t="s">
        <v>2611</v>
      </c>
      <c r="AH147" t="s">
        <v>2610</v>
      </c>
      <c r="AI147" t="s">
        <v>605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2.5</v>
      </c>
      <c r="AP147">
        <v>2.4E-2</v>
      </c>
      <c r="AV147">
        <v>-1</v>
      </c>
    </row>
    <row r="148" spans="1:48" x14ac:dyDescent="0.55000000000000004">
      <c r="A148" t="str">
        <f>HYPERLINK("https://www.infodis.net/philips/net/Shipment/Details?InfodisNumber=6940733&amp;DomainCode=PHILIPSR1", "6940733")</f>
        <v>6940733</v>
      </c>
      <c r="B148" t="s">
        <v>2900</v>
      </c>
      <c r="C148" t="s">
        <v>2754</v>
      </c>
      <c r="D148" t="s">
        <v>2755</v>
      </c>
      <c r="E148" t="s">
        <v>242</v>
      </c>
      <c r="F148" t="s">
        <v>1450</v>
      </c>
      <c r="G148" t="s">
        <v>2756</v>
      </c>
      <c r="H148" t="s">
        <v>180</v>
      </c>
      <c r="I148" t="s">
        <v>2757</v>
      </c>
      <c r="J148" t="s">
        <v>268</v>
      </c>
      <c r="K148" t="s">
        <v>2718</v>
      </c>
      <c r="L148" t="s">
        <v>267</v>
      </c>
      <c r="M148" t="s">
        <v>60</v>
      </c>
      <c r="P148" t="s">
        <v>2758</v>
      </c>
      <c r="Q148" t="s">
        <v>2901</v>
      </c>
      <c r="R148" t="s">
        <v>1335</v>
      </c>
      <c r="S148" s="2">
        <v>44134</v>
      </c>
      <c r="T148" s="2">
        <v>44137</v>
      </c>
      <c r="U148" s="2">
        <v>44134</v>
      </c>
      <c r="V148" s="2">
        <v>44140</v>
      </c>
      <c r="W148" s="2">
        <v>44139</v>
      </c>
      <c r="Y148" t="s">
        <v>1735</v>
      </c>
      <c r="Z148" t="s">
        <v>1735</v>
      </c>
      <c r="AA148" t="s">
        <v>1735</v>
      </c>
      <c r="AB148" t="s">
        <v>67</v>
      </c>
      <c r="AC148" t="s">
        <v>67</v>
      </c>
      <c r="AD148" t="s">
        <v>67</v>
      </c>
      <c r="AF148" t="s">
        <v>2179</v>
      </c>
      <c r="AG148" t="s">
        <v>2180</v>
      </c>
      <c r="AH148" t="s">
        <v>2179</v>
      </c>
      <c r="AI148" t="s">
        <v>252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146.5</v>
      </c>
      <c r="AP148">
        <v>1.2849999999999999</v>
      </c>
      <c r="AV148">
        <v>-1</v>
      </c>
    </row>
    <row r="149" spans="1:48" x14ac:dyDescent="0.55000000000000004">
      <c r="A149" t="str">
        <f>HYPERLINK("https://www.infodis.net/philips/net/Shipment/Details?InfodisNumber=4546704&amp;DomainCode=DAP", "4546704")</f>
        <v>4546704</v>
      </c>
      <c r="B149" t="s">
        <v>2902</v>
      </c>
      <c r="C149" t="s">
        <v>2903</v>
      </c>
      <c r="D149" t="s">
        <v>2904</v>
      </c>
      <c r="E149" t="s">
        <v>2903</v>
      </c>
      <c r="F149" t="s">
        <v>52</v>
      </c>
      <c r="G149" t="s">
        <v>572</v>
      </c>
      <c r="H149" t="s">
        <v>125</v>
      </c>
      <c r="I149" t="s">
        <v>2905</v>
      </c>
      <c r="J149" t="s">
        <v>2367</v>
      </c>
      <c r="K149" t="s">
        <v>54</v>
      </c>
      <c r="L149" t="s">
        <v>55</v>
      </c>
      <c r="M149" t="s">
        <v>84</v>
      </c>
      <c r="P149" t="s">
        <v>574</v>
      </c>
      <c r="Q149" t="s">
        <v>2906</v>
      </c>
      <c r="R149" t="s">
        <v>63</v>
      </c>
      <c r="S149" s="2">
        <v>44134</v>
      </c>
      <c r="T149" s="2">
        <v>44138</v>
      </c>
      <c r="U149" s="2">
        <v>44144</v>
      </c>
      <c r="V149" s="2">
        <v>44145</v>
      </c>
      <c r="W149" s="2">
        <v>44147</v>
      </c>
      <c r="Y149" t="s">
        <v>1735</v>
      </c>
      <c r="Z149" t="s">
        <v>1735</v>
      </c>
      <c r="AA149" t="s">
        <v>1735</v>
      </c>
      <c r="AB149" t="s">
        <v>67</v>
      </c>
      <c r="AC149" t="s">
        <v>67</v>
      </c>
      <c r="AD149" t="s">
        <v>67</v>
      </c>
      <c r="AF149" t="s">
        <v>2179</v>
      </c>
      <c r="AG149" t="s">
        <v>2180</v>
      </c>
      <c r="AH149" t="s">
        <v>2179</v>
      </c>
      <c r="AI149" t="s">
        <v>73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113</v>
      </c>
      <c r="AP149">
        <v>0.49399999999999999</v>
      </c>
      <c r="AV149">
        <v>-1</v>
      </c>
    </row>
    <row r="150" spans="1:48" x14ac:dyDescent="0.55000000000000004">
      <c r="A150" t="str">
        <f>HYPERLINK("https://www.infodis.net/philips/net/Shipment/Details?InfodisNumber=1557414&amp;DomainCode=PHILIPSM1", "1557414")</f>
        <v>1557414</v>
      </c>
      <c r="B150" t="s">
        <v>2907</v>
      </c>
      <c r="C150" t="s">
        <v>2080</v>
      </c>
      <c r="D150" t="s">
        <v>2081</v>
      </c>
      <c r="E150" t="s">
        <v>2089</v>
      </c>
      <c r="F150" t="s">
        <v>2516</v>
      </c>
      <c r="G150" t="s">
        <v>1430</v>
      </c>
      <c r="H150" t="s">
        <v>244</v>
      </c>
      <c r="I150" t="s">
        <v>2084</v>
      </c>
      <c r="J150" t="s">
        <v>293</v>
      </c>
      <c r="K150" t="s">
        <v>937</v>
      </c>
      <c r="L150" t="s">
        <v>938</v>
      </c>
      <c r="M150" t="s">
        <v>84</v>
      </c>
      <c r="P150" t="s">
        <v>1432</v>
      </c>
      <c r="R150" t="s">
        <v>2517</v>
      </c>
      <c r="S150" s="2">
        <v>44134</v>
      </c>
      <c r="T150" s="2">
        <v>44137</v>
      </c>
      <c r="V150" s="2">
        <v>44137</v>
      </c>
      <c r="Y150" t="s">
        <v>2518</v>
      </c>
      <c r="Z150" t="s">
        <v>2518</v>
      </c>
      <c r="AA150" t="s">
        <v>603</v>
      </c>
      <c r="AB150" t="s">
        <v>67</v>
      </c>
      <c r="AC150" t="s">
        <v>67</v>
      </c>
      <c r="AD150" t="s">
        <v>68</v>
      </c>
      <c r="AF150" t="s">
        <v>2388</v>
      </c>
      <c r="AG150" t="s">
        <v>2389</v>
      </c>
      <c r="AH150" t="s">
        <v>2388</v>
      </c>
      <c r="AI150" t="s">
        <v>605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9.8000000000000007</v>
      </c>
      <c r="AP150">
        <v>0</v>
      </c>
      <c r="AV150">
        <v>-1</v>
      </c>
    </row>
    <row r="151" spans="1:48" x14ac:dyDescent="0.55000000000000004">
      <c r="A151" t="str">
        <f>HYPERLINK("https://www.infodis.net/philips/net/Shipment/Details?InfodisNumber=4547777&amp;DomainCode=DAP", "4547777")</f>
        <v>4547777</v>
      </c>
      <c r="B151" t="s">
        <v>2908</v>
      </c>
      <c r="C151" t="s">
        <v>933</v>
      </c>
      <c r="D151" t="s">
        <v>934</v>
      </c>
      <c r="E151" t="s">
        <v>291</v>
      </c>
      <c r="F151" t="s">
        <v>2110</v>
      </c>
      <c r="G151" t="s">
        <v>295</v>
      </c>
      <c r="H151" t="s">
        <v>296</v>
      </c>
      <c r="I151" t="s">
        <v>2739</v>
      </c>
      <c r="J151" t="s">
        <v>268</v>
      </c>
      <c r="K151" t="s">
        <v>2111</v>
      </c>
      <c r="L151" t="s">
        <v>79</v>
      </c>
      <c r="M151" t="s">
        <v>60</v>
      </c>
      <c r="P151" t="s">
        <v>300</v>
      </c>
      <c r="Q151" t="s">
        <v>2909</v>
      </c>
      <c r="R151" t="s">
        <v>1335</v>
      </c>
      <c r="S151" s="2">
        <v>44137</v>
      </c>
      <c r="T151" s="2">
        <v>44138</v>
      </c>
      <c r="U151" s="2">
        <v>44139</v>
      </c>
      <c r="V151" s="2">
        <v>44141</v>
      </c>
      <c r="W151" s="2">
        <v>44140</v>
      </c>
      <c r="X151" s="2">
        <v>44151</v>
      </c>
      <c r="Y151" t="s">
        <v>2411</v>
      </c>
      <c r="Z151" t="s">
        <v>2411</v>
      </c>
      <c r="AA151" t="s">
        <v>2411</v>
      </c>
      <c r="AB151" t="s">
        <v>67</v>
      </c>
      <c r="AC151" t="s">
        <v>67</v>
      </c>
      <c r="AD151" t="s">
        <v>67</v>
      </c>
      <c r="AF151" t="s">
        <v>2179</v>
      </c>
      <c r="AG151" t="s">
        <v>2180</v>
      </c>
      <c r="AH151" t="s">
        <v>2179</v>
      </c>
      <c r="AI151" t="s">
        <v>73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1248.1500000000001</v>
      </c>
      <c r="AP151">
        <v>4.6840000000000002</v>
      </c>
      <c r="AV151">
        <v>-1</v>
      </c>
    </row>
    <row r="152" spans="1:48" x14ac:dyDescent="0.55000000000000004">
      <c r="A152" t="str">
        <f>HYPERLINK("https://www.infodis.net/philips/net/Shipment/Details?InfodisNumber=1557520&amp;DomainCode=PHILIPSM1", "1557520")</f>
        <v>1557520</v>
      </c>
      <c r="B152" t="s">
        <v>2910</v>
      </c>
      <c r="C152" t="s">
        <v>2491</v>
      </c>
      <c r="D152" t="s">
        <v>2492</v>
      </c>
      <c r="E152" t="s">
        <v>2491</v>
      </c>
      <c r="F152" t="s">
        <v>2493</v>
      </c>
      <c r="G152" t="s">
        <v>1431</v>
      </c>
      <c r="H152" t="s">
        <v>180</v>
      </c>
      <c r="I152" t="s">
        <v>2494</v>
      </c>
      <c r="J152" t="s">
        <v>2495</v>
      </c>
      <c r="K152" t="s">
        <v>2496</v>
      </c>
      <c r="L152" t="s">
        <v>73</v>
      </c>
      <c r="M152" t="s">
        <v>60</v>
      </c>
      <c r="P152" t="s">
        <v>1434</v>
      </c>
      <c r="Q152" t="s">
        <v>2911</v>
      </c>
      <c r="R152" t="s">
        <v>2498</v>
      </c>
      <c r="S152" s="2">
        <v>44137</v>
      </c>
      <c r="T152" s="2">
        <v>44137</v>
      </c>
      <c r="U152" s="2">
        <v>44137</v>
      </c>
      <c r="V152" s="2">
        <v>44137</v>
      </c>
      <c r="W152" s="2">
        <v>44148</v>
      </c>
      <c r="Y152" t="s">
        <v>2387</v>
      </c>
      <c r="Z152" t="s">
        <v>2387</v>
      </c>
      <c r="AA152" t="s">
        <v>603</v>
      </c>
      <c r="AB152" t="s">
        <v>67</v>
      </c>
      <c r="AC152" t="s">
        <v>67</v>
      </c>
      <c r="AD152" t="s">
        <v>68</v>
      </c>
      <c r="AF152" t="s">
        <v>2499</v>
      </c>
      <c r="AG152" t="s">
        <v>2500</v>
      </c>
      <c r="AH152" t="s">
        <v>2499</v>
      </c>
      <c r="AI152" t="s">
        <v>605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1385.1</v>
      </c>
      <c r="AP152">
        <v>22.539000000000001</v>
      </c>
      <c r="AV152">
        <v>-1</v>
      </c>
    </row>
    <row r="153" spans="1:48" x14ac:dyDescent="0.55000000000000004">
      <c r="A153" t="str">
        <f>HYPERLINK("https://www.infodis.net/philips/net/Shipment/Details?InfodisNumber=6944427&amp;DomainCode=PHILIPSR1", "6944427")</f>
        <v>6944427</v>
      </c>
      <c r="B153" t="s">
        <v>2912</v>
      </c>
      <c r="C153" t="s">
        <v>2426</v>
      </c>
      <c r="D153" t="s">
        <v>2427</v>
      </c>
      <c r="E153" t="s">
        <v>458</v>
      </c>
      <c r="F153" t="s">
        <v>2913</v>
      </c>
      <c r="G153" t="s">
        <v>2429</v>
      </c>
      <c r="H153" t="s">
        <v>180</v>
      </c>
      <c r="I153" t="s">
        <v>652</v>
      </c>
      <c r="J153" t="s">
        <v>2553</v>
      </c>
      <c r="K153" t="s">
        <v>1555</v>
      </c>
      <c r="L153" t="s">
        <v>846</v>
      </c>
      <c r="M153" t="s">
        <v>60</v>
      </c>
      <c r="P153" t="s">
        <v>613</v>
      </c>
      <c r="Q153" t="s">
        <v>2914</v>
      </c>
      <c r="R153" t="s">
        <v>1557</v>
      </c>
      <c r="S153" s="2">
        <v>44137</v>
      </c>
      <c r="T153" s="2">
        <v>44137</v>
      </c>
      <c r="U153" s="2">
        <v>44137</v>
      </c>
      <c r="V153" s="2">
        <v>44140</v>
      </c>
      <c r="W153" s="2">
        <v>44141</v>
      </c>
      <c r="Y153" t="s">
        <v>2915</v>
      </c>
      <c r="Z153" t="s">
        <v>2915</v>
      </c>
      <c r="AA153" t="s">
        <v>2915</v>
      </c>
      <c r="AB153" t="s">
        <v>67</v>
      </c>
      <c r="AC153" t="s">
        <v>67</v>
      </c>
      <c r="AD153" t="s">
        <v>67</v>
      </c>
      <c r="AF153" t="s">
        <v>2179</v>
      </c>
      <c r="AG153" t="s">
        <v>2180</v>
      </c>
      <c r="AH153" t="s">
        <v>2179</v>
      </c>
      <c r="AI153" t="s">
        <v>252</v>
      </c>
      <c r="AJ153">
        <v>0</v>
      </c>
      <c r="AK153">
        <v>0</v>
      </c>
      <c r="AL153">
        <v>0</v>
      </c>
      <c r="AM153">
        <v>0</v>
      </c>
      <c r="AN153">
        <v>12</v>
      </c>
      <c r="AO153">
        <v>1549.93</v>
      </c>
      <c r="AP153">
        <v>18.727</v>
      </c>
      <c r="AV153">
        <v>-1</v>
      </c>
    </row>
    <row r="154" spans="1:48" x14ac:dyDescent="0.55000000000000004">
      <c r="A154" t="str">
        <f>HYPERLINK("https://www.infodis.net/philips/net/Shipment/Details?InfodisNumber=1557523&amp;DomainCode=PHILIPSM1", "1557523")</f>
        <v>1557523</v>
      </c>
      <c r="B154" t="s">
        <v>2916</v>
      </c>
      <c r="C154" t="s">
        <v>2491</v>
      </c>
      <c r="D154" t="s">
        <v>2492</v>
      </c>
      <c r="E154" t="s">
        <v>2491</v>
      </c>
      <c r="F154" t="s">
        <v>2917</v>
      </c>
      <c r="G154" t="s">
        <v>1431</v>
      </c>
      <c r="H154" t="s">
        <v>180</v>
      </c>
      <c r="I154" t="s">
        <v>2494</v>
      </c>
      <c r="J154" t="s">
        <v>2918</v>
      </c>
      <c r="K154" t="s">
        <v>2919</v>
      </c>
      <c r="L154" t="s">
        <v>2920</v>
      </c>
      <c r="M154" t="s">
        <v>60</v>
      </c>
      <c r="P154" t="s">
        <v>1434</v>
      </c>
      <c r="Q154" t="s">
        <v>2921</v>
      </c>
      <c r="R154" t="s">
        <v>2922</v>
      </c>
      <c r="S154" s="2">
        <v>44137</v>
      </c>
      <c r="T154" s="2">
        <v>44137</v>
      </c>
      <c r="U154" s="2">
        <v>44144</v>
      </c>
      <c r="V154" s="2">
        <v>44138</v>
      </c>
      <c r="W154" s="2">
        <v>44149</v>
      </c>
      <c r="X154" s="2">
        <v>44153</v>
      </c>
      <c r="Y154" t="s">
        <v>2387</v>
      </c>
      <c r="Z154" t="s">
        <v>2387</v>
      </c>
      <c r="AA154" t="s">
        <v>2387</v>
      </c>
      <c r="AB154" t="s">
        <v>67</v>
      </c>
      <c r="AC154" t="s">
        <v>67</v>
      </c>
      <c r="AD154" t="s">
        <v>67</v>
      </c>
      <c r="AF154" t="s">
        <v>2610</v>
      </c>
      <c r="AG154" t="s">
        <v>2611</v>
      </c>
      <c r="AH154" t="s">
        <v>2610</v>
      </c>
      <c r="AI154" t="s">
        <v>605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3.6</v>
      </c>
      <c r="AP154">
        <v>2.5000000000000001E-2</v>
      </c>
      <c r="AV154">
        <v>-1</v>
      </c>
    </row>
    <row r="155" spans="1:48" x14ac:dyDescent="0.55000000000000004">
      <c r="A155" t="str">
        <f>HYPERLINK("https://www.infodis.net/philips/net/Shipment/Details?InfodisNumber=4548322&amp;DomainCode=DAP", "4548322")</f>
        <v>4548322</v>
      </c>
      <c r="B155" t="s">
        <v>2923</v>
      </c>
      <c r="C155" t="s">
        <v>2502</v>
      </c>
      <c r="D155" t="s">
        <v>2503</v>
      </c>
      <c r="E155" t="s">
        <v>2504</v>
      </c>
      <c r="F155" t="s">
        <v>2826</v>
      </c>
      <c r="G155" t="s">
        <v>1179</v>
      </c>
      <c r="H155" t="s">
        <v>180</v>
      </c>
      <c r="I155" t="s">
        <v>194</v>
      </c>
      <c r="J155" t="s">
        <v>2827</v>
      </c>
      <c r="K155" t="s">
        <v>2828</v>
      </c>
      <c r="L155" t="s">
        <v>357</v>
      </c>
      <c r="M155" t="s">
        <v>358</v>
      </c>
      <c r="P155" t="s">
        <v>1181</v>
      </c>
      <c r="R155" t="s">
        <v>526</v>
      </c>
      <c r="S155" s="2">
        <v>44137</v>
      </c>
      <c r="T155" s="2">
        <v>44137</v>
      </c>
      <c r="V155" s="2">
        <v>44138</v>
      </c>
      <c r="Y155" t="s">
        <v>2476</v>
      </c>
      <c r="Z155" t="s">
        <v>2476</v>
      </c>
      <c r="AA155" t="s">
        <v>2476</v>
      </c>
      <c r="AB155" t="s">
        <v>67</v>
      </c>
      <c r="AC155" t="s">
        <v>67</v>
      </c>
      <c r="AD155" t="s">
        <v>67</v>
      </c>
      <c r="AF155" t="s">
        <v>2829</v>
      </c>
      <c r="AG155" t="s">
        <v>2830</v>
      </c>
      <c r="AH155" t="s">
        <v>2829</v>
      </c>
      <c r="AI155" t="s">
        <v>73</v>
      </c>
      <c r="AJ155">
        <v>0</v>
      </c>
      <c r="AK155">
        <v>0</v>
      </c>
      <c r="AL155">
        <v>0</v>
      </c>
      <c r="AM155">
        <v>0</v>
      </c>
      <c r="AN155">
        <v>8</v>
      </c>
      <c r="AO155">
        <v>929</v>
      </c>
      <c r="AP155">
        <v>13.919</v>
      </c>
      <c r="AV155">
        <v>-1</v>
      </c>
    </row>
    <row r="156" spans="1:48" x14ac:dyDescent="0.55000000000000004">
      <c r="A156" t="str">
        <f>HYPERLINK("https://www.infodis.net/philips/net/Shipment/Details?InfodisNumber=6944711&amp;DomainCode=PHILIPSR1", "6944711")</f>
        <v>6944711</v>
      </c>
      <c r="B156" t="s">
        <v>2924</v>
      </c>
      <c r="C156" t="s">
        <v>2426</v>
      </c>
      <c r="D156" t="s">
        <v>2427</v>
      </c>
      <c r="E156" t="s">
        <v>458</v>
      </c>
      <c r="F156" t="s">
        <v>2913</v>
      </c>
      <c r="G156" t="s">
        <v>2429</v>
      </c>
      <c r="H156" t="s">
        <v>180</v>
      </c>
      <c r="I156" t="s">
        <v>652</v>
      </c>
      <c r="J156" t="s">
        <v>2553</v>
      </c>
      <c r="K156" t="s">
        <v>1555</v>
      </c>
      <c r="L156" t="s">
        <v>846</v>
      </c>
      <c r="M156" t="s">
        <v>60</v>
      </c>
      <c r="P156" t="s">
        <v>613</v>
      </c>
      <c r="Q156" t="s">
        <v>2925</v>
      </c>
      <c r="R156" t="s">
        <v>1557</v>
      </c>
      <c r="S156" s="2">
        <v>44137</v>
      </c>
      <c r="T156" s="2">
        <v>44138</v>
      </c>
      <c r="U156" s="2">
        <v>44137</v>
      </c>
      <c r="V156" s="2">
        <v>44141</v>
      </c>
      <c r="W156" s="2">
        <v>44141</v>
      </c>
      <c r="Y156" t="s">
        <v>2915</v>
      </c>
      <c r="Z156" t="s">
        <v>2915</v>
      </c>
      <c r="AA156" t="s">
        <v>2915</v>
      </c>
      <c r="AB156" t="s">
        <v>67</v>
      </c>
      <c r="AC156" t="s">
        <v>67</v>
      </c>
      <c r="AD156" t="s">
        <v>67</v>
      </c>
      <c r="AF156" t="s">
        <v>2179</v>
      </c>
      <c r="AG156" t="s">
        <v>2180</v>
      </c>
      <c r="AH156" t="s">
        <v>2179</v>
      </c>
      <c r="AI156" t="s">
        <v>252</v>
      </c>
      <c r="AJ156">
        <v>0</v>
      </c>
      <c r="AK156">
        <v>0</v>
      </c>
      <c r="AL156">
        <v>0</v>
      </c>
      <c r="AM156">
        <v>0</v>
      </c>
      <c r="AN156">
        <v>13</v>
      </c>
      <c r="AO156">
        <v>1632.48</v>
      </c>
      <c r="AP156">
        <v>19.757000000000001</v>
      </c>
      <c r="AV156">
        <v>-1</v>
      </c>
    </row>
    <row r="157" spans="1:48" x14ac:dyDescent="0.55000000000000004">
      <c r="A157" t="str">
        <f>HYPERLINK("https://www.infodis.net/philips/net/Shipment/Details?InfodisNumber=6945492&amp;DomainCode=PHILIPSR1", "6945492")</f>
        <v>6945492</v>
      </c>
      <c r="B157" t="s">
        <v>2926</v>
      </c>
      <c r="C157" t="s">
        <v>2426</v>
      </c>
      <c r="D157" t="s">
        <v>2427</v>
      </c>
      <c r="E157" t="s">
        <v>458</v>
      </c>
      <c r="F157" t="s">
        <v>2913</v>
      </c>
      <c r="G157" t="s">
        <v>2429</v>
      </c>
      <c r="H157" t="s">
        <v>180</v>
      </c>
      <c r="I157" t="s">
        <v>652</v>
      </c>
      <c r="J157" t="s">
        <v>2553</v>
      </c>
      <c r="K157" t="s">
        <v>1555</v>
      </c>
      <c r="L157" t="s">
        <v>846</v>
      </c>
      <c r="M157" t="s">
        <v>60</v>
      </c>
      <c r="P157" t="s">
        <v>613</v>
      </c>
      <c r="Q157" t="s">
        <v>2927</v>
      </c>
      <c r="R157" t="s">
        <v>1557</v>
      </c>
      <c r="S157" s="2">
        <v>44138</v>
      </c>
      <c r="T157" s="2">
        <v>44138</v>
      </c>
      <c r="U157" s="2">
        <v>44138</v>
      </c>
      <c r="V157" s="2">
        <v>44141</v>
      </c>
      <c r="W157" s="2">
        <v>44141</v>
      </c>
      <c r="Y157" t="s">
        <v>2915</v>
      </c>
      <c r="Z157" t="s">
        <v>2915</v>
      </c>
      <c r="AA157" t="s">
        <v>2915</v>
      </c>
      <c r="AB157" t="s">
        <v>67</v>
      </c>
      <c r="AC157" t="s">
        <v>67</v>
      </c>
      <c r="AD157" t="s">
        <v>67</v>
      </c>
      <c r="AF157" t="s">
        <v>2179</v>
      </c>
      <c r="AG157" t="s">
        <v>2180</v>
      </c>
      <c r="AH157" t="s">
        <v>2179</v>
      </c>
      <c r="AI157" t="s">
        <v>252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88.45</v>
      </c>
      <c r="AP157">
        <v>0.92599999999999993</v>
      </c>
      <c r="AV157">
        <v>-1</v>
      </c>
    </row>
    <row r="158" spans="1:48" x14ac:dyDescent="0.55000000000000004">
      <c r="A158" t="str">
        <f>HYPERLINK("https://www.infodis.net/philips/net/Shipment/Details?InfodisNumber=1557585&amp;DomainCode=PHILIPSM1", "1557585")</f>
        <v>1557585</v>
      </c>
      <c r="B158" t="s">
        <v>2928</v>
      </c>
      <c r="C158" t="s">
        <v>2080</v>
      </c>
      <c r="D158" t="s">
        <v>2081</v>
      </c>
      <c r="E158" t="s">
        <v>2089</v>
      </c>
      <c r="F158" t="s">
        <v>2858</v>
      </c>
      <c r="G158" t="s">
        <v>1430</v>
      </c>
      <c r="H158" t="s">
        <v>244</v>
      </c>
      <c r="I158" t="s">
        <v>2084</v>
      </c>
      <c r="J158" t="s">
        <v>2684</v>
      </c>
      <c r="K158" t="s">
        <v>143</v>
      </c>
      <c r="L158" t="s">
        <v>83</v>
      </c>
      <c r="M158" t="s">
        <v>60</v>
      </c>
      <c r="P158" t="s">
        <v>1432</v>
      </c>
      <c r="Q158" t="s">
        <v>2929</v>
      </c>
      <c r="R158" t="s">
        <v>144</v>
      </c>
      <c r="S158" s="2">
        <v>44138</v>
      </c>
      <c r="T158" s="2">
        <v>44138</v>
      </c>
      <c r="U158" s="2">
        <v>44138</v>
      </c>
      <c r="V158" s="2">
        <v>44139</v>
      </c>
      <c r="W158" s="2">
        <v>44146</v>
      </c>
      <c r="Y158" t="s">
        <v>2387</v>
      </c>
      <c r="Z158" t="s">
        <v>2387</v>
      </c>
      <c r="AA158" t="s">
        <v>603</v>
      </c>
      <c r="AB158" t="s">
        <v>67</v>
      </c>
      <c r="AC158" t="s">
        <v>67</v>
      </c>
      <c r="AD158" t="s">
        <v>68</v>
      </c>
      <c r="AF158" t="s">
        <v>2610</v>
      </c>
      <c r="AG158" t="s">
        <v>2611</v>
      </c>
      <c r="AH158" t="s">
        <v>2610</v>
      </c>
      <c r="AI158" t="s">
        <v>605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1.6</v>
      </c>
      <c r="AP158">
        <v>2.4E-2</v>
      </c>
      <c r="AV158">
        <v>-1</v>
      </c>
    </row>
    <row r="159" spans="1:48" x14ac:dyDescent="0.55000000000000004">
      <c r="A159" t="str">
        <f>HYPERLINK("https://www.infodis.net/philips/net/Shipment/Details?InfodisNumber=4549202&amp;DomainCode=DAP", "4549202")</f>
        <v>4549202</v>
      </c>
      <c r="B159" t="s">
        <v>2930</v>
      </c>
      <c r="C159" t="s">
        <v>2931</v>
      </c>
      <c r="D159" t="s">
        <v>2932</v>
      </c>
      <c r="E159" t="s">
        <v>2931</v>
      </c>
      <c r="F159" t="s">
        <v>167</v>
      </c>
      <c r="G159" t="s">
        <v>2933</v>
      </c>
      <c r="H159" t="s">
        <v>881</v>
      </c>
      <c r="I159" t="s">
        <v>2934</v>
      </c>
      <c r="J159" t="s">
        <v>2405</v>
      </c>
      <c r="K159" t="s">
        <v>1125</v>
      </c>
      <c r="L159" t="s">
        <v>172</v>
      </c>
      <c r="M159" t="s">
        <v>1489</v>
      </c>
      <c r="P159" t="s">
        <v>2935</v>
      </c>
      <c r="R159" t="s">
        <v>1128</v>
      </c>
      <c r="S159" s="2">
        <v>44138</v>
      </c>
      <c r="T159" s="2">
        <v>44139</v>
      </c>
      <c r="V159" s="2">
        <v>44142</v>
      </c>
      <c r="Y159" t="s">
        <v>2411</v>
      </c>
      <c r="Z159" t="s">
        <v>2411</v>
      </c>
      <c r="AA159" t="s">
        <v>2411</v>
      </c>
      <c r="AB159" t="s">
        <v>67</v>
      </c>
      <c r="AC159" t="s">
        <v>67</v>
      </c>
      <c r="AD159" t="s">
        <v>67</v>
      </c>
      <c r="AF159" t="s">
        <v>2179</v>
      </c>
      <c r="AG159" t="s">
        <v>2180</v>
      </c>
      <c r="AH159" t="s">
        <v>2179</v>
      </c>
      <c r="AI159" t="s">
        <v>73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570</v>
      </c>
      <c r="AP159">
        <v>0.70099999999999996</v>
      </c>
      <c r="AV159">
        <v>-1</v>
      </c>
    </row>
    <row r="160" spans="1:48" x14ac:dyDescent="0.55000000000000004">
      <c r="A160" t="str">
        <f>HYPERLINK("https://www.infodis.net/philips/net/Shipment/Details?InfodisNumber=1557654&amp;DomainCode=PHILIPSM1", "1557654")</f>
        <v>1557654</v>
      </c>
      <c r="B160" t="s">
        <v>2936</v>
      </c>
      <c r="C160" t="s">
        <v>2491</v>
      </c>
      <c r="D160" t="s">
        <v>2492</v>
      </c>
      <c r="E160" t="s">
        <v>2491</v>
      </c>
      <c r="F160" t="s">
        <v>2937</v>
      </c>
      <c r="G160" t="s">
        <v>1431</v>
      </c>
      <c r="H160" t="s">
        <v>180</v>
      </c>
      <c r="I160" t="s">
        <v>2494</v>
      </c>
      <c r="J160" t="s">
        <v>2938</v>
      </c>
      <c r="K160" t="s">
        <v>2939</v>
      </c>
      <c r="L160" t="s">
        <v>2940</v>
      </c>
      <c r="M160" t="s">
        <v>60</v>
      </c>
      <c r="P160" t="s">
        <v>1434</v>
      </c>
      <c r="Q160" t="s">
        <v>2941</v>
      </c>
      <c r="R160" t="s">
        <v>2942</v>
      </c>
      <c r="S160" s="2">
        <v>44138</v>
      </c>
      <c r="T160" s="2">
        <v>44138</v>
      </c>
      <c r="U160" s="2">
        <v>44141</v>
      </c>
      <c r="V160" s="2">
        <v>44139</v>
      </c>
      <c r="Y160" t="s">
        <v>2387</v>
      </c>
      <c r="Z160" t="s">
        <v>2387</v>
      </c>
      <c r="AA160" t="s">
        <v>603</v>
      </c>
      <c r="AB160" t="s">
        <v>67</v>
      </c>
      <c r="AC160" t="s">
        <v>67</v>
      </c>
      <c r="AD160" t="s">
        <v>68</v>
      </c>
      <c r="AF160" t="s">
        <v>2610</v>
      </c>
      <c r="AG160" t="s">
        <v>2611</v>
      </c>
      <c r="AH160" t="s">
        <v>2610</v>
      </c>
      <c r="AI160" t="s">
        <v>605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10.6</v>
      </c>
      <c r="AP160">
        <v>0.193</v>
      </c>
      <c r="AV160">
        <v>-1</v>
      </c>
    </row>
    <row r="161" spans="1:48" x14ac:dyDescent="0.55000000000000004">
      <c r="A161" t="str">
        <f>HYPERLINK("https://www.infodis.net/philips/net/Shipment/Details?InfodisNumber=1557669&amp;DomainCode=PHILIPSM1", "1557669")</f>
        <v>1557669</v>
      </c>
      <c r="B161" t="s">
        <v>2943</v>
      </c>
      <c r="C161" t="s">
        <v>2461</v>
      </c>
      <c r="D161" t="s">
        <v>2462</v>
      </c>
      <c r="E161" t="s">
        <v>2461</v>
      </c>
      <c r="F161" t="s">
        <v>2944</v>
      </c>
      <c r="G161" t="s">
        <v>601</v>
      </c>
      <c r="H161" t="s">
        <v>180</v>
      </c>
      <c r="I161" t="s">
        <v>2057</v>
      </c>
      <c r="J161" t="s">
        <v>2176</v>
      </c>
      <c r="K161" t="s">
        <v>2945</v>
      </c>
      <c r="L161" t="s">
        <v>1051</v>
      </c>
      <c r="M161" t="s">
        <v>60</v>
      </c>
      <c r="P161" t="s">
        <v>602</v>
      </c>
      <c r="R161" t="s">
        <v>2946</v>
      </c>
      <c r="S161" s="2">
        <v>44138</v>
      </c>
      <c r="T161" s="2">
        <v>44138</v>
      </c>
      <c r="V161" s="2">
        <v>44141</v>
      </c>
      <c r="Y161" t="s">
        <v>2387</v>
      </c>
      <c r="Z161" t="s">
        <v>2387</v>
      </c>
      <c r="AA161" t="s">
        <v>2387</v>
      </c>
      <c r="AB161" t="s">
        <v>67</v>
      </c>
      <c r="AC161" t="s">
        <v>67</v>
      </c>
      <c r="AD161" t="s">
        <v>67</v>
      </c>
      <c r="AF161" t="s">
        <v>2179</v>
      </c>
      <c r="AG161" t="s">
        <v>2180</v>
      </c>
      <c r="AH161" t="s">
        <v>2179</v>
      </c>
      <c r="AI161" t="s">
        <v>605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3.9</v>
      </c>
      <c r="AP161">
        <v>6.0999999999999999E-2</v>
      </c>
      <c r="AV161">
        <v>-1</v>
      </c>
    </row>
    <row r="162" spans="1:48" x14ac:dyDescent="0.55000000000000004">
      <c r="A162" t="str">
        <f>HYPERLINK("https://www.infodis.net/philips/net/Shipment/Details?InfodisNumber=6948255&amp;DomainCode=PHILIPSR1", "6948255")</f>
        <v>6948255</v>
      </c>
      <c r="B162" t="s">
        <v>2947</v>
      </c>
      <c r="C162" t="s">
        <v>2449</v>
      </c>
      <c r="D162" t="s">
        <v>2450</v>
      </c>
      <c r="E162" t="s">
        <v>2451</v>
      </c>
      <c r="F162" t="s">
        <v>2452</v>
      </c>
      <c r="G162" t="s">
        <v>2453</v>
      </c>
      <c r="H162" t="s">
        <v>443</v>
      </c>
      <c r="I162" t="s">
        <v>2454</v>
      </c>
      <c r="J162" t="s">
        <v>2455</v>
      </c>
      <c r="K162" t="s">
        <v>2456</v>
      </c>
      <c r="L162" t="s">
        <v>321</v>
      </c>
      <c r="M162" t="s">
        <v>60</v>
      </c>
      <c r="P162" t="s">
        <v>2457</v>
      </c>
      <c r="Q162" t="s">
        <v>2948</v>
      </c>
      <c r="R162" t="s">
        <v>2459</v>
      </c>
      <c r="S162" s="2">
        <v>44138</v>
      </c>
      <c r="T162" s="2">
        <v>44138</v>
      </c>
      <c r="U162" s="2">
        <v>44138</v>
      </c>
      <c r="V162" s="2">
        <v>44141</v>
      </c>
      <c r="W162" s="2">
        <v>44140</v>
      </c>
      <c r="X162" s="2">
        <v>44145</v>
      </c>
      <c r="Y162" t="s">
        <v>1735</v>
      </c>
      <c r="Z162" t="s">
        <v>1735</v>
      </c>
      <c r="AA162" t="s">
        <v>1735</v>
      </c>
      <c r="AB162" t="s">
        <v>67</v>
      </c>
      <c r="AC162" t="s">
        <v>67</v>
      </c>
      <c r="AD162" t="s">
        <v>67</v>
      </c>
      <c r="AF162" t="s">
        <v>2179</v>
      </c>
      <c r="AG162" t="s">
        <v>2180</v>
      </c>
      <c r="AH162" t="s">
        <v>2179</v>
      </c>
      <c r="AI162" t="s">
        <v>252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57</v>
      </c>
      <c r="AP162">
        <v>1.02</v>
      </c>
      <c r="AV162">
        <v>-1</v>
      </c>
    </row>
    <row r="163" spans="1:48" x14ac:dyDescent="0.55000000000000004">
      <c r="A163" t="str">
        <f>HYPERLINK("https://www.infodis.net/philips/net/Shipment/Details?InfodisNumber=4549289&amp;DomainCode=DAP", "4549289")</f>
        <v>4549289</v>
      </c>
      <c r="B163" t="s">
        <v>2949</v>
      </c>
      <c r="C163" t="s">
        <v>2950</v>
      </c>
      <c r="D163" t="s">
        <v>2951</v>
      </c>
      <c r="E163" t="s">
        <v>2950</v>
      </c>
      <c r="F163" t="s">
        <v>571</v>
      </c>
      <c r="G163" t="s">
        <v>2952</v>
      </c>
      <c r="H163" t="s">
        <v>180</v>
      </c>
      <c r="I163" t="s">
        <v>194</v>
      </c>
      <c r="J163" t="s">
        <v>2396</v>
      </c>
      <c r="K163" t="s">
        <v>546</v>
      </c>
      <c r="L163" t="s">
        <v>79</v>
      </c>
      <c r="M163" t="s">
        <v>84</v>
      </c>
      <c r="P163" t="s">
        <v>2953</v>
      </c>
      <c r="Q163" t="s">
        <v>2954</v>
      </c>
      <c r="R163" t="s">
        <v>575</v>
      </c>
      <c r="S163" s="2">
        <v>44138</v>
      </c>
      <c r="T163" s="2">
        <v>44139</v>
      </c>
      <c r="U163" s="2">
        <v>44139</v>
      </c>
      <c r="V163" s="2">
        <v>44142</v>
      </c>
      <c r="W163" s="2">
        <v>44141</v>
      </c>
      <c r="X163" s="2">
        <v>44144</v>
      </c>
      <c r="Y163" t="s">
        <v>1735</v>
      </c>
      <c r="Z163" t="s">
        <v>1735</v>
      </c>
      <c r="AA163" t="s">
        <v>1735</v>
      </c>
      <c r="AB163" t="s">
        <v>67</v>
      </c>
      <c r="AC163" t="s">
        <v>67</v>
      </c>
      <c r="AD163" t="s">
        <v>67</v>
      </c>
      <c r="AF163" t="s">
        <v>2179</v>
      </c>
      <c r="AG163" t="s">
        <v>2180</v>
      </c>
      <c r="AH163" t="s">
        <v>2179</v>
      </c>
      <c r="AI163" t="s">
        <v>73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88.9</v>
      </c>
      <c r="AP163">
        <v>1.4870000000000001</v>
      </c>
      <c r="AV163">
        <v>-1</v>
      </c>
    </row>
    <row r="164" spans="1:48" x14ac:dyDescent="0.55000000000000004">
      <c r="A164" t="str">
        <f>HYPERLINK("https://www.infodis.net/philips/net/Shipment/Details?InfodisNumber=1557727&amp;DomainCode=PHILIPSM1", "1557727")</f>
        <v>1557727</v>
      </c>
      <c r="B164" t="s">
        <v>2955</v>
      </c>
      <c r="C164" t="s">
        <v>2080</v>
      </c>
      <c r="D164" t="s">
        <v>2081</v>
      </c>
      <c r="E164" t="s">
        <v>2082</v>
      </c>
      <c r="F164" t="s">
        <v>2869</v>
      </c>
      <c r="G164" t="s">
        <v>1430</v>
      </c>
      <c r="H164" t="s">
        <v>244</v>
      </c>
      <c r="I164" t="s">
        <v>2084</v>
      </c>
      <c r="J164" t="s">
        <v>1201</v>
      </c>
      <c r="K164" t="s">
        <v>1414</v>
      </c>
      <c r="L164" t="s">
        <v>1203</v>
      </c>
      <c r="M164" t="s">
        <v>60</v>
      </c>
      <c r="P164" t="s">
        <v>1432</v>
      </c>
      <c r="Q164" t="s">
        <v>2956</v>
      </c>
      <c r="S164" s="2">
        <v>44139</v>
      </c>
      <c r="T164" s="2">
        <v>44139</v>
      </c>
      <c r="U164" s="2">
        <v>44139</v>
      </c>
      <c r="V164" s="2">
        <v>44140</v>
      </c>
      <c r="W164" s="2">
        <v>44140</v>
      </c>
      <c r="Y164" t="s">
        <v>2387</v>
      </c>
      <c r="Z164" t="s">
        <v>2387</v>
      </c>
      <c r="AA164" t="s">
        <v>603</v>
      </c>
      <c r="AB164" t="s">
        <v>67</v>
      </c>
      <c r="AC164" t="s">
        <v>67</v>
      </c>
      <c r="AD164" t="s">
        <v>68</v>
      </c>
      <c r="AF164" t="s">
        <v>2610</v>
      </c>
      <c r="AG164" t="s">
        <v>2611</v>
      </c>
      <c r="AH164" t="s">
        <v>2610</v>
      </c>
      <c r="AI164" t="s">
        <v>605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1.3</v>
      </c>
      <c r="AP164">
        <v>2.4E-2</v>
      </c>
      <c r="AV164">
        <v>-1</v>
      </c>
    </row>
    <row r="165" spans="1:48" x14ac:dyDescent="0.55000000000000004">
      <c r="A165" t="str">
        <f>HYPERLINK("https://www.infodis.net/philips/net/Shipment/Details?InfodisNumber=4549620&amp;DomainCode=DAP", "4549620")</f>
        <v>4549620</v>
      </c>
      <c r="B165" t="s">
        <v>2957</v>
      </c>
      <c r="C165" t="s">
        <v>212</v>
      </c>
      <c r="D165" t="s">
        <v>213</v>
      </c>
      <c r="E165" t="s">
        <v>214</v>
      </c>
      <c r="F165" t="s">
        <v>2958</v>
      </c>
      <c r="G165" t="s">
        <v>216</v>
      </c>
      <c r="H165" t="s">
        <v>55</v>
      </c>
      <c r="I165" t="s">
        <v>2367</v>
      </c>
      <c r="J165" t="s">
        <v>547</v>
      </c>
      <c r="K165" t="s">
        <v>2959</v>
      </c>
      <c r="L165" t="s">
        <v>180</v>
      </c>
      <c r="M165" t="s">
        <v>60</v>
      </c>
      <c r="P165" t="s">
        <v>2369</v>
      </c>
      <c r="R165" t="s">
        <v>2960</v>
      </c>
      <c r="S165" s="2">
        <v>44139</v>
      </c>
      <c r="T165" s="2">
        <v>44140</v>
      </c>
      <c r="U165" s="2">
        <v>44140</v>
      </c>
      <c r="V165" s="2">
        <v>44143</v>
      </c>
      <c r="Y165" t="s">
        <v>2371</v>
      </c>
      <c r="Z165" t="s">
        <v>2371</v>
      </c>
      <c r="AA165" t="s">
        <v>2371</v>
      </c>
      <c r="AB165" t="s">
        <v>67</v>
      </c>
      <c r="AC165" t="s">
        <v>67</v>
      </c>
      <c r="AD165" t="s">
        <v>67</v>
      </c>
      <c r="AF165" t="s">
        <v>2179</v>
      </c>
      <c r="AG165" t="s">
        <v>2180</v>
      </c>
      <c r="AH165" t="s">
        <v>2179</v>
      </c>
      <c r="AI165" t="s">
        <v>73</v>
      </c>
      <c r="AJ165">
        <v>0</v>
      </c>
      <c r="AK165">
        <v>0</v>
      </c>
      <c r="AL165">
        <v>0</v>
      </c>
      <c r="AM165">
        <v>0</v>
      </c>
      <c r="AN165">
        <v>6</v>
      </c>
      <c r="AO165">
        <v>1496</v>
      </c>
      <c r="AP165">
        <v>11.231999999999999</v>
      </c>
      <c r="AV165">
        <v>-1</v>
      </c>
    </row>
    <row r="166" spans="1:48" x14ac:dyDescent="0.55000000000000004">
      <c r="A166" t="str">
        <f>HYPERLINK("https://www.infodis.net/philips/net/Shipment/Details?InfodisNumber=4549681&amp;DomainCode=DAP", "4549681")</f>
        <v>4549681</v>
      </c>
      <c r="B166" t="s">
        <v>2961</v>
      </c>
      <c r="C166" t="s">
        <v>2207</v>
      </c>
      <c r="D166" t="s">
        <v>2208</v>
      </c>
      <c r="E166" t="s">
        <v>2269</v>
      </c>
      <c r="F166" t="s">
        <v>121</v>
      </c>
      <c r="G166" t="s">
        <v>259</v>
      </c>
      <c r="H166" t="s">
        <v>260</v>
      </c>
      <c r="I166" t="s">
        <v>2626</v>
      </c>
      <c r="J166" t="s">
        <v>2602</v>
      </c>
      <c r="K166" t="s">
        <v>124</v>
      </c>
      <c r="L166" t="s">
        <v>125</v>
      </c>
      <c r="M166" t="s">
        <v>60</v>
      </c>
      <c r="P166" t="s">
        <v>2211</v>
      </c>
      <c r="Q166" t="s">
        <v>2962</v>
      </c>
      <c r="R166" t="s">
        <v>126</v>
      </c>
      <c r="S166" s="2">
        <v>44139</v>
      </c>
      <c r="T166" s="2">
        <v>44140</v>
      </c>
      <c r="V166" s="2">
        <v>44143</v>
      </c>
      <c r="W166" s="2">
        <v>44147</v>
      </c>
      <c r="Y166" t="s">
        <v>2411</v>
      </c>
      <c r="Z166" t="s">
        <v>2411</v>
      </c>
      <c r="AA166" t="s">
        <v>2411</v>
      </c>
      <c r="AB166" t="s">
        <v>67</v>
      </c>
      <c r="AC166" t="s">
        <v>67</v>
      </c>
      <c r="AD166" t="s">
        <v>67</v>
      </c>
      <c r="AF166" t="s">
        <v>2179</v>
      </c>
      <c r="AG166" t="s">
        <v>2180</v>
      </c>
      <c r="AH166" t="s">
        <v>2179</v>
      </c>
      <c r="AI166" t="s">
        <v>73</v>
      </c>
      <c r="AJ166">
        <v>0</v>
      </c>
      <c r="AK166">
        <v>0</v>
      </c>
      <c r="AL166">
        <v>0</v>
      </c>
      <c r="AM166">
        <v>0</v>
      </c>
      <c r="AN166">
        <v>6</v>
      </c>
      <c r="AO166">
        <v>1205</v>
      </c>
      <c r="AP166">
        <v>11.058999999999999</v>
      </c>
      <c r="AV166">
        <v>-1</v>
      </c>
    </row>
    <row r="167" spans="1:48" x14ac:dyDescent="0.55000000000000004">
      <c r="A167" t="str">
        <f>HYPERLINK("https://www.infodis.net/philips/net/Shipment/Details?InfodisNumber=1557734&amp;DomainCode=PHILIPSM1", "1557734")</f>
        <v>1557734</v>
      </c>
      <c r="B167" t="s">
        <v>2963</v>
      </c>
      <c r="C167" t="s">
        <v>2080</v>
      </c>
      <c r="D167" t="s">
        <v>2081</v>
      </c>
      <c r="E167" t="s">
        <v>2082</v>
      </c>
      <c r="F167" t="s">
        <v>2964</v>
      </c>
      <c r="G167" t="s">
        <v>1430</v>
      </c>
      <c r="H167" t="s">
        <v>244</v>
      </c>
      <c r="I167" t="s">
        <v>2084</v>
      </c>
      <c r="J167" t="s">
        <v>2965</v>
      </c>
      <c r="K167" t="s">
        <v>2966</v>
      </c>
      <c r="L167" t="s">
        <v>905</v>
      </c>
      <c r="M167" t="s">
        <v>60</v>
      </c>
      <c r="P167" t="s">
        <v>1432</v>
      </c>
      <c r="Q167" t="s">
        <v>2967</v>
      </c>
      <c r="R167" t="s">
        <v>2968</v>
      </c>
      <c r="S167" s="2">
        <v>44139</v>
      </c>
      <c r="T167" s="2">
        <v>44139</v>
      </c>
      <c r="U167" s="2">
        <v>44139</v>
      </c>
      <c r="V167" s="2">
        <v>44140</v>
      </c>
      <c r="W167" s="2">
        <v>44140</v>
      </c>
      <c r="Y167" t="s">
        <v>2387</v>
      </c>
      <c r="Z167" t="s">
        <v>2387</v>
      </c>
      <c r="AA167" t="s">
        <v>603</v>
      </c>
      <c r="AB167" t="s">
        <v>67</v>
      </c>
      <c r="AC167" t="s">
        <v>67</v>
      </c>
      <c r="AD167" t="s">
        <v>68</v>
      </c>
      <c r="AF167" t="s">
        <v>2610</v>
      </c>
      <c r="AG167" t="s">
        <v>2611</v>
      </c>
      <c r="AH167" t="s">
        <v>2610</v>
      </c>
      <c r="AI167" t="s">
        <v>605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4.8</v>
      </c>
      <c r="AP167">
        <v>8.6999999999999994E-2</v>
      </c>
      <c r="AV167">
        <v>-1</v>
      </c>
    </row>
    <row r="168" spans="1:48" x14ac:dyDescent="0.55000000000000004">
      <c r="A168" t="str">
        <f>HYPERLINK("https://www.infodis.net/philips/net/Shipment/Details?InfodisNumber=1557736&amp;DomainCode=PHILIPSM1", "1557736")</f>
        <v>1557736</v>
      </c>
      <c r="B168" t="s">
        <v>2969</v>
      </c>
      <c r="C168" t="s">
        <v>2080</v>
      </c>
      <c r="D168" t="s">
        <v>2081</v>
      </c>
      <c r="E168" t="s">
        <v>1428</v>
      </c>
      <c r="F168" t="s">
        <v>2468</v>
      </c>
      <c r="G168" t="s">
        <v>1430</v>
      </c>
      <c r="H168" t="s">
        <v>244</v>
      </c>
      <c r="I168" t="s">
        <v>2084</v>
      </c>
      <c r="J168" t="s">
        <v>2057</v>
      </c>
      <c r="K168" t="s">
        <v>601</v>
      </c>
      <c r="L168" t="s">
        <v>180</v>
      </c>
      <c r="M168" t="s">
        <v>60</v>
      </c>
      <c r="P168" t="s">
        <v>1432</v>
      </c>
      <c r="Q168" t="s">
        <v>2970</v>
      </c>
      <c r="R168" t="s">
        <v>602</v>
      </c>
      <c r="S168" s="2">
        <v>44139</v>
      </c>
      <c r="T168" s="2">
        <v>44139</v>
      </c>
      <c r="U168" s="2">
        <v>44139</v>
      </c>
      <c r="V168" s="2">
        <v>44144</v>
      </c>
      <c r="W168" s="2">
        <v>44141</v>
      </c>
      <c r="Y168" t="s">
        <v>2359</v>
      </c>
      <c r="Z168" t="s">
        <v>2359</v>
      </c>
      <c r="AA168" t="s">
        <v>603</v>
      </c>
      <c r="AB168" t="s">
        <v>67</v>
      </c>
      <c r="AC168" t="s">
        <v>67</v>
      </c>
      <c r="AD168" t="s">
        <v>68</v>
      </c>
      <c r="AF168" t="s">
        <v>2399</v>
      </c>
      <c r="AG168" t="s">
        <v>2400</v>
      </c>
      <c r="AH168" t="s">
        <v>2399</v>
      </c>
      <c r="AI168" t="s">
        <v>605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208</v>
      </c>
      <c r="AP168">
        <v>0.76800000000000002</v>
      </c>
      <c r="AV168">
        <v>-1</v>
      </c>
    </row>
    <row r="169" spans="1:48" x14ac:dyDescent="0.55000000000000004">
      <c r="A169" t="str">
        <f>HYPERLINK("https://www.infodis.net/philips/net/Shipment/Details?InfodisNumber=4549888&amp;DomainCode=DAP", "4549888")</f>
        <v>4549888</v>
      </c>
      <c r="B169" t="s">
        <v>2971</v>
      </c>
      <c r="C169" t="s">
        <v>2972</v>
      </c>
      <c r="D169" t="s">
        <v>2973</v>
      </c>
      <c r="E169" t="s">
        <v>2972</v>
      </c>
      <c r="F169" t="s">
        <v>571</v>
      </c>
      <c r="G169" t="s">
        <v>2974</v>
      </c>
      <c r="H169" t="s">
        <v>180</v>
      </c>
      <c r="I169" t="s">
        <v>2494</v>
      </c>
      <c r="J169" t="s">
        <v>2396</v>
      </c>
      <c r="K169" t="s">
        <v>546</v>
      </c>
      <c r="L169" t="s">
        <v>79</v>
      </c>
      <c r="M169" t="s">
        <v>261</v>
      </c>
      <c r="P169" t="s">
        <v>2975</v>
      </c>
      <c r="R169" t="s">
        <v>575</v>
      </c>
      <c r="S169" s="2">
        <v>44139</v>
      </c>
      <c r="T169" s="2">
        <v>44140</v>
      </c>
      <c r="U169" s="2">
        <v>44139</v>
      </c>
      <c r="V169" s="2">
        <v>44143</v>
      </c>
      <c r="W169" s="2">
        <v>44144</v>
      </c>
      <c r="X169" s="2">
        <v>44154</v>
      </c>
      <c r="Y169" t="s">
        <v>1735</v>
      </c>
      <c r="Z169" t="s">
        <v>1735</v>
      </c>
      <c r="AA169" t="s">
        <v>1735</v>
      </c>
      <c r="AB169" t="s">
        <v>67</v>
      </c>
      <c r="AC169" t="s">
        <v>67</v>
      </c>
      <c r="AD169" t="s">
        <v>67</v>
      </c>
      <c r="AF169" t="s">
        <v>2179</v>
      </c>
      <c r="AG169" t="s">
        <v>2180</v>
      </c>
      <c r="AH169" t="s">
        <v>2179</v>
      </c>
      <c r="AI169" t="s">
        <v>73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31.75</v>
      </c>
      <c r="AP169">
        <v>1.341</v>
      </c>
      <c r="AV169">
        <v>-1</v>
      </c>
    </row>
    <row r="170" spans="1:48" x14ac:dyDescent="0.55000000000000004">
      <c r="A170" t="str">
        <f>HYPERLINK("https://www.infodis.net/philips/net/Shipment/Details?InfodisNumber=1557803&amp;DomainCode=PHILIPSM1", "1557803")</f>
        <v>1557803</v>
      </c>
      <c r="B170" t="s">
        <v>2976</v>
      </c>
      <c r="C170" t="s">
        <v>2491</v>
      </c>
      <c r="D170" t="s">
        <v>2492</v>
      </c>
      <c r="E170" t="s">
        <v>2491</v>
      </c>
      <c r="F170" t="s">
        <v>2977</v>
      </c>
      <c r="G170" t="s">
        <v>1431</v>
      </c>
      <c r="H170" t="s">
        <v>180</v>
      </c>
      <c r="I170" t="s">
        <v>2494</v>
      </c>
      <c r="J170" t="s">
        <v>2978</v>
      </c>
      <c r="K170" t="s">
        <v>2979</v>
      </c>
      <c r="L170" t="s">
        <v>2980</v>
      </c>
      <c r="M170" t="s">
        <v>60</v>
      </c>
      <c r="P170" t="s">
        <v>1434</v>
      </c>
      <c r="Q170" t="s">
        <v>2981</v>
      </c>
      <c r="R170" t="s">
        <v>2982</v>
      </c>
      <c r="S170" s="2">
        <v>44139</v>
      </c>
      <c r="T170" s="2">
        <v>44139</v>
      </c>
      <c r="U170" s="2">
        <v>44139</v>
      </c>
      <c r="V170" s="2">
        <v>44142</v>
      </c>
      <c r="W170" s="2">
        <v>44147</v>
      </c>
      <c r="Y170" t="s">
        <v>2387</v>
      </c>
      <c r="Z170" t="s">
        <v>2387</v>
      </c>
      <c r="AA170" t="s">
        <v>603</v>
      </c>
      <c r="AB170" t="s">
        <v>67</v>
      </c>
      <c r="AC170" t="s">
        <v>67</v>
      </c>
      <c r="AD170" t="s">
        <v>68</v>
      </c>
      <c r="AF170" t="s">
        <v>2179</v>
      </c>
      <c r="AG170" t="s">
        <v>2180</v>
      </c>
      <c r="AH170" t="s">
        <v>2179</v>
      </c>
      <c r="AI170" t="s">
        <v>605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78</v>
      </c>
      <c r="AP170">
        <v>1.3580000000000001</v>
      </c>
      <c r="AV170">
        <v>-1</v>
      </c>
    </row>
    <row r="171" spans="1:48" x14ac:dyDescent="0.55000000000000004">
      <c r="A171" t="str">
        <f>HYPERLINK("https://www.infodis.net/philips/net/Shipment/Details?InfodisNumber=1557785&amp;DomainCode=PHILIPSM1", "1557785")</f>
        <v>1557785</v>
      </c>
      <c r="B171" t="s">
        <v>2983</v>
      </c>
      <c r="C171" t="s">
        <v>2491</v>
      </c>
      <c r="D171" t="s">
        <v>2492</v>
      </c>
      <c r="E171" t="s">
        <v>2491</v>
      </c>
      <c r="F171" t="s">
        <v>2984</v>
      </c>
      <c r="G171" t="s">
        <v>1431</v>
      </c>
      <c r="H171" t="s">
        <v>180</v>
      </c>
      <c r="I171" t="s">
        <v>2494</v>
      </c>
      <c r="J171" t="s">
        <v>2454</v>
      </c>
      <c r="K171" t="s">
        <v>2985</v>
      </c>
      <c r="L171" t="s">
        <v>443</v>
      </c>
      <c r="M171" t="s">
        <v>60</v>
      </c>
      <c r="P171" t="s">
        <v>1434</v>
      </c>
      <c r="Q171" t="s">
        <v>2986</v>
      </c>
      <c r="R171" t="s">
        <v>2987</v>
      </c>
      <c r="S171" s="2">
        <v>44139</v>
      </c>
      <c r="T171" s="2">
        <v>44139</v>
      </c>
      <c r="U171" s="2">
        <v>44140</v>
      </c>
      <c r="V171" s="2">
        <v>44142</v>
      </c>
      <c r="W171" s="2">
        <v>44150</v>
      </c>
      <c r="Y171" t="s">
        <v>2387</v>
      </c>
      <c r="Z171" t="s">
        <v>2387</v>
      </c>
      <c r="AA171" t="s">
        <v>603</v>
      </c>
      <c r="AB171" t="s">
        <v>67</v>
      </c>
      <c r="AC171" t="s">
        <v>67</v>
      </c>
      <c r="AD171" t="s">
        <v>68</v>
      </c>
      <c r="AF171" t="s">
        <v>2179</v>
      </c>
      <c r="AG171" t="s">
        <v>2180</v>
      </c>
      <c r="AH171" t="s">
        <v>2179</v>
      </c>
      <c r="AI171" t="s">
        <v>605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105.2</v>
      </c>
      <c r="AP171">
        <v>1.7450000000000001</v>
      </c>
      <c r="AV171">
        <v>-1</v>
      </c>
    </row>
    <row r="172" spans="1:48" x14ac:dyDescent="0.55000000000000004">
      <c r="A172" t="str">
        <f>HYPERLINK("https://www.infodis.net/philips/net/Shipment/Details?InfodisNumber=6951942&amp;DomainCode=PHILIPSR1", "6951942")</f>
        <v>6951942</v>
      </c>
      <c r="B172" t="s">
        <v>2988</v>
      </c>
      <c r="C172" t="s">
        <v>2426</v>
      </c>
      <c r="D172" t="s">
        <v>2427</v>
      </c>
      <c r="E172" t="s">
        <v>458</v>
      </c>
      <c r="F172" t="s">
        <v>2989</v>
      </c>
      <c r="G172" t="s">
        <v>2429</v>
      </c>
      <c r="H172" t="s">
        <v>180</v>
      </c>
      <c r="I172" t="s">
        <v>652</v>
      </c>
      <c r="J172" t="s">
        <v>2990</v>
      </c>
      <c r="K172" t="s">
        <v>2991</v>
      </c>
      <c r="L172" t="s">
        <v>453</v>
      </c>
      <c r="M172" t="s">
        <v>60</v>
      </c>
      <c r="P172" t="s">
        <v>613</v>
      </c>
      <c r="Q172" t="s">
        <v>2992</v>
      </c>
      <c r="R172" t="s">
        <v>2993</v>
      </c>
      <c r="S172" s="2">
        <v>44139</v>
      </c>
      <c r="T172" s="2">
        <v>44140</v>
      </c>
      <c r="U172" s="2">
        <v>44139</v>
      </c>
      <c r="V172" s="2">
        <v>44143</v>
      </c>
      <c r="W172" s="2">
        <v>44146</v>
      </c>
      <c r="X172" s="2">
        <v>44155</v>
      </c>
      <c r="Y172" t="s">
        <v>1735</v>
      </c>
      <c r="Z172" t="s">
        <v>1735</v>
      </c>
      <c r="AA172" t="s">
        <v>1735</v>
      </c>
      <c r="AB172" t="s">
        <v>67</v>
      </c>
      <c r="AC172" t="s">
        <v>67</v>
      </c>
      <c r="AD172" t="s">
        <v>67</v>
      </c>
      <c r="AF172" t="s">
        <v>2179</v>
      </c>
      <c r="AG172" t="s">
        <v>2180</v>
      </c>
      <c r="AH172" t="s">
        <v>2179</v>
      </c>
      <c r="AI172" t="s">
        <v>252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144</v>
      </c>
      <c r="AP172">
        <v>1.46</v>
      </c>
      <c r="AV172">
        <v>-1</v>
      </c>
    </row>
    <row r="173" spans="1:48" x14ac:dyDescent="0.55000000000000004">
      <c r="A173" t="str">
        <f>HYPERLINK("https://www.infodis.net/philips/net/Shipment/Details?InfodisNumber=1557810&amp;DomainCode=PHILIPSM1", "1557810")</f>
        <v>1557810</v>
      </c>
      <c r="B173" t="s">
        <v>2994</v>
      </c>
      <c r="C173" t="s">
        <v>2461</v>
      </c>
      <c r="D173" t="s">
        <v>2462</v>
      </c>
      <c r="E173" t="s">
        <v>2461</v>
      </c>
      <c r="F173" t="s">
        <v>2944</v>
      </c>
      <c r="G173" t="s">
        <v>601</v>
      </c>
      <c r="H173" t="s">
        <v>180</v>
      </c>
      <c r="I173" t="s">
        <v>2057</v>
      </c>
      <c r="J173" t="s">
        <v>2176</v>
      </c>
      <c r="K173" t="s">
        <v>2945</v>
      </c>
      <c r="L173" t="s">
        <v>1051</v>
      </c>
      <c r="M173" t="s">
        <v>60</v>
      </c>
      <c r="P173" t="s">
        <v>602</v>
      </c>
      <c r="R173" t="s">
        <v>2946</v>
      </c>
      <c r="S173" s="2">
        <v>44139</v>
      </c>
      <c r="T173" s="2">
        <v>44139</v>
      </c>
      <c r="V173" s="2">
        <v>44142</v>
      </c>
      <c r="Y173" t="s">
        <v>2387</v>
      </c>
      <c r="Z173" t="s">
        <v>2387</v>
      </c>
      <c r="AA173" t="s">
        <v>2387</v>
      </c>
      <c r="AB173" t="s">
        <v>67</v>
      </c>
      <c r="AC173" t="s">
        <v>67</v>
      </c>
      <c r="AD173" t="s">
        <v>67</v>
      </c>
      <c r="AF173" t="s">
        <v>2179</v>
      </c>
      <c r="AG173" t="s">
        <v>2180</v>
      </c>
      <c r="AH173" t="s">
        <v>2179</v>
      </c>
      <c r="AI173" t="s">
        <v>605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1.7</v>
      </c>
      <c r="AP173">
        <v>6.9999999999999993E-3</v>
      </c>
      <c r="AV173">
        <v>-1</v>
      </c>
    </row>
    <row r="174" spans="1:48" x14ac:dyDescent="0.55000000000000004">
      <c r="A174" t="str">
        <f>HYPERLINK("https://www.infodis.net/philips/net/Shipment/Details?InfodisNumber=6951992&amp;DomainCode=PHILIPSR1", "6951992")</f>
        <v>6951992</v>
      </c>
      <c r="B174" t="s">
        <v>2995</v>
      </c>
      <c r="C174" t="s">
        <v>2426</v>
      </c>
      <c r="D174" t="s">
        <v>2427</v>
      </c>
      <c r="E174" t="s">
        <v>458</v>
      </c>
      <c r="F174" t="s">
        <v>2996</v>
      </c>
      <c r="G174" t="s">
        <v>2429</v>
      </c>
      <c r="H174" t="s">
        <v>180</v>
      </c>
      <c r="I174" t="s">
        <v>652</v>
      </c>
      <c r="J174" t="s">
        <v>2997</v>
      </c>
      <c r="K174" t="s">
        <v>2998</v>
      </c>
      <c r="L174" t="s">
        <v>132</v>
      </c>
      <c r="M174" t="s">
        <v>1658</v>
      </c>
      <c r="P174" t="s">
        <v>613</v>
      </c>
      <c r="Q174" t="s">
        <v>2999</v>
      </c>
      <c r="R174" t="s">
        <v>3000</v>
      </c>
      <c r="S174" s="2">
        <v>44139</v>
      </c>
      <c r="T174" s="2">
        <v>44140</v>
      </c>
      <c r="U174" s="2">
        <v>44139</v>
      </c>
      <c r="V174" s="2">
        <v>44143</v>
      </c>
      <c r="Y174" t="s">
        <v>1735</v>
      </c>
      <c r="Z174" t="s">
        <v>1735</v>
      </c>
      <c r="AA174" t="s">
        <v>1735</v>
      </c>
      <c r="AB174" t="s">
        <v>67</v>
      </c>
      <c r="AC174" t="s">
        <v>67</v>
      </c>
      <c r="AD174" t="s">
        <v>67</v>
      </c>
      <c r="AF174" t="s">
        <v>2179</v>
      </c>
      <c r="AG174" t="s">
        <v>2180</v>
      </c>
      <c r="AH174" t="s">
        <v>2179</v>
      </c>
      <c r="AI174" t="s">
        <v>252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11.3</v>
      </c>
      <c r="AP174">
        <v>0.189</v>
      </c>
      <c r="AV174">
        <v>-1</v>
      </c>
    </row>
    <row r="175" spans="1:48" x14ac:dyDescent="0.55000000000000004">
      <c r="A175" t="str">
        <f>HYPERLINK("https://www.infodis.net/philips/net/Shipment/Details?InfodisNumber=6953666&amp;DomainCode=PHILIPSR1", "6953666")</f>
        <v>6953666</v>
      </c>
      <c r="B175" t="s">
        <v>3001</v>
      </c>
      <c r="C175" t="s">
        <v>2426</v>
      </c>
      <c r="D175" t="s">
        <v>2427</v>
      </c>
      <c r="E175" t="s">
        <v>458</v>
      </c>
      <c r="F175" t="s">
        <v>2913</v>
      </c>
      <c r="G175" t="s">
        <v>2429</v>
      </c>
      <c r="H175" t="s">
        <v>180</v>
      </c>
      <c r="I175" t="s">
        <v>652</v>
      </c>
      <c r="J175" t="s">
        <v>2553</v>
      </c>
      <c r="K175" t="s">
        <v>1555</v>
      </c>
      <c r="L175" t="s">
        <v>846</v>
      </c>
      <c r="M175" t="s">
        <v>60</v>
      </c>
      <c r="P175" t="s">
        <v>613</v>
      </c>
      <c r="Q175" t="s">
        <v>3002</v>
      </c>
      <c r="R175" t="s">
        <v>1557</v>
      </c>
      <c r="S175" s="2">
        <v>44140</v>
      </c>
      <c r="T175" s="2">
        <v>44140</v>
      </c>
      <c r="U175" s="2">
        <v>44140</v>
      </c>
      <c r="V175" s="2">
        <v>44143</v>
      </c>
      <c r="W175" s="2">
        <v>44143</v>
      </c>
      <c r="Y175" t="s">
        <v>2915</v>
      </c>
      <c r="Z175" t="s">
        <v>2915</v>
      </c>
      <c r="AA175" t="s">
        <v>2915</v>
      </c>
      <c r="AB175" t="s">
        <v>67</v>
      </c>
      <c r="AC175" t="s">
        <v>67</v>
      </c>
      <c r="AD175" t="s">
        <v>67</v>
      </c>
      <c r="AF175" t="s">
        <v>2179</v>
      </c>
      <c r="AG175" t="s">
        <v>2180</v>
      </c>
      <c r="AH175" t="s">
        <v>2179</v>
      </c>
      <c r="AI175" t="s">
        <v>252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65.319999999999993</v>
      </c>
      <c r="AP175">
        <v>0.65799999999999992</v>
      </c>
      <c r="AV175">
        <v>-1</v>
      </c>
    </row>
    <row r="176" spans="1:48" x14ac:dyDescent="0.55000000000000004">
      <c r="A176" t="str">
        <f>HYPERLINK("https://www.infodis.net/philips/net/Shipment/Details?InfodisNumber=4550047&amp;DomainCode=DAP", "4550047")</f>
        <v>4550047</v>
      </c>
      <c r="B176" t="s">
        <v>3003</v>
      </c>
      <c r="C176" t="s">
        <v>3004</v>
      </c>
      <c r="D176" t="s">
        <v>3005</v>
      </c>
      <c r="E176" t="s">
        <v>94</v>
      </c>
      <c r="F176" t="s">
        <v>449</v>
      </c>
      <c r="G176" t="s">
        <v>3006</v>
      </c>
      <c r="H176" t="s">
        <v>79</v>
      </c>
      <c r="I176" t="s">
        <v>268</v>
      </c>
      <c r="J176" t="s">
        <v>3007</v>
      </c>
      <c r="K176" t="s">
        <v>452</v>
      </c>
      <c r="L176" t="s">
        <v>453</v>
      </c>
      <c r="M176" t="s">
        <v>60</v>
      </c>
      <c r="P176" t="s">
        <v>3008</v>
      </c>
      <c r="Q176" t="s">
        <v>3009</v>
      </c>
      <c r="R176" t="s">
        <v>454</v>
      </c>
      <c r="S176" s="2">
        <v>44140</v>
      </c>
      <c r="T176" s="2">
        <v>44146</v>
      </c>
      <c r="U176" s="2">
        <v>44146</v>
      </c>
      <c r="V176" s="2">
        <v>44151</v>
      </c>
      <c r="W176" s="2">
        <v>44150</v>
      </c>
      <c r="X176" s="2">
        <v>44159</v>
      </c>
      <c r="Y176" t="s">
        <v>1735</v>
      </c>
      <c r="Z176" t="s">
        <v>1735</v>
      </c>
      <c r="AA176" t="s">
        <v>1735</v>
      </c>
      <c r="AB176" t="s">
        <v>67</v>
      </c>
      <c r="AC176" t="s">
        <v>67</v>
      </c>
      <c r="AD176" t="s">
        <v>67</v>
      </c>
      <c r="AF176" t="s">
        <v>2399</v>
      </c>
      <c r="AG176" t="s">
        <v>2400</v>
      </c>
      <c r="AH176" t="s">
        <v>2399</v>
      </c>
      <c r="AI176" t="s">
        <v>73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1690</v>
      </c>
      <c r="AP176">
        <v>12.172000000000001</v>
      </c>
      <c r="AV176">
        <v>-1</v>
      </c>
    </row>
    <row r="177" spans="1:48" x14ac:dyDescent="0.55000000000000004">
      <c r="A177" t="str">
        <f>HYPERLINK("https://www.infodis.net/philips/net/Shipment/Details?InfodisNumber=1557879&amp;DomainCode=PHILIPSM1", "1557879")</f>
        <v>1557879</v>
      </c>
      <c r="B177" t="s">
        <v>3010</v>
      </c>
      <c r="C177" t="s">
        <v>2080</v>
      </c>
      <c r="D177" t="s">
        <v>2081</v>
      </c>
      <c r="E177" t="s">
        <v>2082</v>
      </c>
      <c r="F177" t="s">
        <v>3011</v>
      </c>
      <c r="G177" t="s">
        <v>1430</v>
      </c>
      <c r="H177" t="s">
        <v>244</v>
      </c>
      <c r="I177" t="s">
        <v>2084</v>
      </c>
      <c r="J177" t="s">
        <v>342</v>
      </c>
      <c r="K177" t="s">
        <v>340</v>
      </c>
      <c r="L177" t="s">
        <v>341</v>
      </c>
      <c r="M177" t="s">
        <v>60</v>
      </c>
      <c r="P177" t="s">
        <v>1432</v>
      </c>
      <c r="Q177" t="s">
        <v>3012</v>
      </c>
      <c r="R177" t="s">
        <v>3013</v>
      </c>
      <c r="S177" s="2">
        <v>44140</v>
      </c>
      <c r="T177" s="2">
        <v>44140</v>
      </c>
      <c r="U177" s="2">
        <v>44152</v>
      </c>
      <c r="V177" s="2">
        <v>44140</v>
      </c>
      <c r="W177" s="2">
        <v>44159</v>
      </c>
      <c r="Y177" t="s">
        <v>2387</v>
      </c>
      <c r="Z177" t="s">
        <v>2387</v>
      </c>
      <c r="AA177" t="s">
        <v>603</v>
      </c>
      <c r="AB177" t="s">
        <v>67</v>
      </c>
      <c r="AC177" t="s">
        <v>67</v>
      </c>
      <c r="AD177" t="s">
        <v>68</v>
      </c>
      <c r="AF177" t="s">
        <v>2388</v>
      </c>
      <c r="AG177" t="s">
        <v>2389</v>
      </c>
      <c r="AH177" t="s">
        <v>2388</v>
      </c>
      <c r="AI177" t="s">
        <v>605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106.3</v>
      </c>
      <c r="AP177">
        <v>1.319</v>
      </c>
      <c r="AV177">
        <v>-1</v>
      </c>
    </row>
    <row r="178" spans="1:48" x14ac:dyDescent="0.55000000000000004">
      <c r="A178" t="str">
        <f>HYPERLINK("https://www.infodis.net/philips/net/Shipment/Details?InfodisNumber=1557918&amp;DomainCode=PHILIPSM1", "1557918")</f>
        <v>1557918</v>
      </c>
      <c r="B178" t="s">
        <v>3014</v>
      </c>
      <c r="C178" t="s">
        <v>2080</v>
      </c>
      <c r="D178" t="s">
        <v>2081</v>
      </c>
      <c r="E178" t="s">
        <v>2089</v>
      </c>
      <c r="G178" t="s">
        <v>1430</v>
      </c>
      <c r="H178" t="s">
        <v>244</v>
      </c>
      <c r="I178" t="s">
        <v>2084</v>
      </c>
      <c r="J178" t="s">
        <v>3015</v>
      </c>
      <c r="K178" t="s">
        <v>3016</v>
      </c>
      <c r="L178" t="s">
        <v>881</v>
      </c>
      <c r="M178" t="s">
        <v>60</v>
      </c>
      <c r="P178" t="s">
        <v>1432</v>
      </c>
      <c r="Q178" t="s">
        <v>3017</v>
      </c>
      <c r="R178" t="s">
        <v>3018</v>
      </c>
      <c r="S178" s="2">
        <v>44140</v>
      </c>
      <c r="T178" s="2">
        <v>44140</v>
      </c>
      <c r="U178" s="2">
        <v>44140</v>
      </c>
      <c r="V178" s="2">
        <v>44140</v>
      </c>
      <c r="W178" s="2">
        <v>44145</v>
      </c>
      <c r="Y178" t="s">
        <v>2387</v>
      </c>
      <c r="Z178" t="s">
        <v>2387</v>
      </c>
      <c r="AA178" t="s">
        <v>603</v>
      </c>
      <c r="AB178" t="s">
        <v>67</v>
      </c>
      <c r="AC178" t="s">
        <v>67</v>
      </c>
      <c r="AD178" t="s">
        <v>68</v>
      </c>
      <c r="AF178" t="s">
        <v>2388</v>
      </c>
      <c r="AG178" t="s">
        <v>2389</v>
      </c>
      <c r="AH178" t="s">
        <v>2388</v>
      </c>
      <c r="AI178" t="s">
        <v>605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2.7E-2</v>
      </c>
      <c r="AV178">
        <v>-1</v>
      </c>
    </row>
    <row r="179" spans="1:48" x14ac:dyDescent="0.55000000000000004">
      <c r="A179" t="str">
        <f>HYPERLINK("https://www.infodis.net/philips/net/Shipment/Details?InfodisNumber=6955360&amp;DomainCode=PHILIPSR1", "6955360")</f>
        <v>6955360</v>
      </c>
      <c r="B179" t="s">
        <v>3019</v>
      </c>
      <c r="C179" t="s">
        <v>2449</v>
      </c>
      <c r="D179" t="s">
        <v>2450</v>
      </c>
      <c r="E179" t="s">
        <v>2451</v>
      </c>
      <c r="F179" t="s">
        <v>2452</v>
      </c>
      <c r="G179" t="s">
        <v>2453</v>
      </c>
      <c r="H179" t="s">
        <v>443</v>
      </c>
      <c r="I179" t="s">
        <v>2454</v>
      </c>
      <c r="J179" t="s">
        <v>2455</v>
      </c>
      <c r="K179" t="s">
        <v>2456</v>
      </c>
      <c r="L179" t="s">
        <v>321</v>
      </c>
      <c r="M179" t="s">
        <v>60</v>
      </c>
      <c r="P179" t="s">
        <v>2457</v>
      </c>
      <c r="Q179" t="s">
        <v>3020</v>
      </c>
      <c r="R179" t="s">
        <v>2459</v>
      </c>
      <c r="S179" s="2">
        <v>44140</v>
      </c>
      <c r="T179" s="2">
        <v>44141</v>
      </c>
      <c r="U179" s="2">
        <v>44141</v>
      </c>
      <c r="V179" s="2">
        <v>44144</v>
      </c>
      <c r="W179" s="2">
        <v>44142</v>
      </c>
      <c r="X179" s="2">
        <v>44147</v>
      </c>
      <c r="Y179" t="s">
        <v>1735</v>
      </c>
      <c r="Z179" t="s">
        <v>1735</v>
      </c>
      <c r="AA179" t="s">
        <v>1735</v>
      </c>
      <c r="AB179" t="s">
        <v>67</v>
      </c>
      <c r="AC179" t="s">
        <v>67</v>
      </c>
      <c r="AD179" t="s">
        <v>67</v>
      </c>
      <c r="AF179" t="s">
        <v>2179</v>
      </c>
      <c r="AG179" t="s">
        <v>2180</v>
      </c>
      <c r="AH179" t="s">
        <v>2179</v>
      </c>
      <c r="AI179" t="s">
        <v>252</v>
      </c>
      <c r="AJ179">
        <v>0</v>
      </c>
      <c r="AK179">
        <v>0</v>
      </c>
      <c r="AL179">
        <v>0</v>
      </c>
      <c r="AM179">
        <v>0</v>
      </c>
      <c r="AN179">
        <v>8</v>
      </c>
      <c r="AO179">
        <v>807</v>
      </c>
      <c r="AP179">
        <v>7.4139999999999997</v>
      </c>
      <c r="AV179">
        <v>-1</v>
      </c>
    </row>
    <row r="180" spans="1:48" x14ac:dyDescent="0.55000000000000004">
      <c r="A180" t="str">
        <f>HYPERLINK("https://www.infodis.net/philips/net/Shipment/Details?InfodisNumber=1557955&amp;DomainCode=PHILIPSM1", "1557955")</f>
        <v>1557955</v>
      </c>
      <c r="B180" t="s">
        <v>3021</v>
      </c>
      <c r="C180" t="s">
        <v>2539</v>
      </c>
      <c r="D180" t="s">
        <v>2540</v>
      </c>
      <c r="E180" t="s">
        <v>2539</v>
      </c>
      <c r="F180" t="s">
        <v>2944</v>
      </c>
      <c r="G180" t="s">
        <v>2542</v>
      </c>
      <c r="H180" t="s">
        <v>180</v>
      </c>
      <c r="I180" t="s">
        <v>652</v>
      </c>
      <c r="J180" t="s">
        <v>3022</v>
      </c>
      <c r="K180" t="s">
        <v>2945</v>
      </c>
      <c r="L180" t="s">
        <v>1051</v>
      </c>
      <c r="M180" t="s">
        <v>60</v>
      </c>
      <c r="P180" t="s">
        <v>2545</v>
      </c>
      <c r="Q180" t="s">
        <v>3023</v>
      </c>
      <c r="R180" t="s">
        <v>2946</v>
      </c>
      <c r="S180" s="2">
        <v>44140</v>
      </c>
      <c r="T180" s="2">
        <v>44140</v>
      </c>
      <c r="U180" s="2">
        <v>44140</v>
      </c>
      <c r="V180" s="2">
        <v>44143</v>
      </c>
      <c r="W180" s="2">
        <v>44138</v>
      </c>
      <c r="Y180" t="s">
        <v>2359</v>
      </c>
      <c r="Z180" t="s">
        <v>2359</v>
      </c>
      <c r="AA180" t="s">
        <v>2359</v>
      </c>
      <c r="AB180" t="s">
        <v>67</v>
      </c>
      <c r="AC180" t="s">
        <v>67</v>
      </c>
      <c r="AD180" t="s">
        <v>67</v>
      </c>
      <c r="AF180" t="s">
        <v>2179</v>
      </c>
      <c r="AG180" t="s">
        <v>2180</v>
      </c>
      <c r="AH180" t="s">
        <v>2179</v>
      </c>
      <c r="AI180" t="s">
        <v>605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59</v>
      </c>
      <c r="AP180">
        <v>0.80900000000000005</v>
      </c>
      <c r="AV180">
        <v>-1</v>
      </c>
    </row>
    <row r="181" spans="1:48" x14ac:dyDescent="0.55000000000000004">
      <c r="A181" t="str">
        <f>HYPERLINK("https://www.infodis.net/philips/net/Shipment/Details?InfodisNumber=1557964&amp;DomainCode=PHILIPSM1", "1557964")</f>
        <v>1557964</v>
      </c>
      <c r="B181" t="s">
        <v>3024</v>
      </c>
      <c r="C181" t="s">
        <v>2461</v>
      </c>
      <c r="D181" t="s">
        <v>2462</v>
      </c>
      <c r="E181" t="s">
        <v>2461</v>
      </c>
      <c r="F181" t="s">
        <v>3025</v>
      </c>
      <c r="G181" t="s">
        <v>601</v>
      </c>
      <c r="H181" t="s">
        <v>180</v>
      </c>
      <c r="I181" t="s">
        <v>2057</v>
      </c>
      <c r="J181" t="s">
        <v>2396</v>
      </c>
      <c r="K181" t="s">
        <v>433</v>
      </c>
      <c r="L181" t="s">
        <v>79</v>
      </c>
      <c r="M181" t="s">
        <v>60</v>
      </c>
      <c r="P181" t="s">
        <v>602</v>
      </c>
      <c r="R181" t="s">
        <v>3026</v>
      </c>
      <c r="S181" s="2">
        <v>44140</v>
      </c>
      <c r="T181" s="2">
        <v>44140</v>
      </c>
      <c r="V181" s="2">
        <v>44143</v>
      </c>
      <c r="Y181" t="s">
        <v>2387</v>
      </c>
      <c r="Z181" t="s">
        <v>2387</v>
      </c>
      <c r="AA181" t="s">
        <v>2387</v>
      </c>
      <c r="AB181" t="s">
        <v>67</v>
      </c>
      <c r="AC181" t="s">
        <v>67</v>
      </c>
      <c r="AD181" t="s">
        <v>67</v>
      </c>
      <c r="AF181" t="s">
        <v>2179</v>
      </c>
      <c r="AG181" t="s">
        <v>2180</v>
      </c>
      <c r="AH181" t="s">
        <v>2179</v>
      </c>
      <c r="AI181" t="s">
        <v>605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0.72</v>
      </c>
      <c r="AP181">
        <v>2.5000000000000001E-2</v>
      </c>
      <c r="AV181">
        <v>-1</v>
      </c>
    </row>
    <row r="182" spans="1:48" x14ac:dyDescent="0.55000000000000004">
      <c r="A182" t="str">
        <f>HYPERLINK("https://www.infodis.net/philips/net/Shipment/Details?InfodisNumber=1557971&amp;DomainCode=PHILIPSM1", "1557971")</f>
        <v>1557971</v>
      </c>
      <c r="B182" t="s">
        <v>3027</v>
      </c>
      <c r="C182" t="s">
        <v>2539</v>
      </c>
      <c r="D182" t="s">
        <v>2540</v>
      </c>
      <c r="E182" t="s">
        <v>2539</v>
      </c>
      <c r="F182" t="s">
        <v>2944</v>
      </c>
      <c r="G182" t="s">
        <v>2542</v>
      </c>
      <c r="H182" t="s">
        <v>180</v>
      </c>
      <c r="I182" t="s">
        <v>652</v>
      </c>
      <c r="J182" t="s">
        <v>3022</v>
      </c>
      <c r="K182" t="s">
        <v>2945</v>
      </c>
      <c r="L182" t="s">
        <v>1051</v>
      </c>
      <c r="M182" t="s">
        <v>60</v>
      </c>
      <c r="P182" t="s">
        <v>2545</v>
      </c>
      <c r="Q182" t="s">
        <v>3028</v>
      </c>
      <c r="R182" t="s">
        <v>2946</v>
      </c>
      <c r="S182" s="2">
        <v>44140</v>
      </c>
      <c r="T182" s="2">
        <v>44140</v>
      </c>
      <c r="U182" s="2">
        <v>44140</v>
      </c>
      <c r="V182" s="2">
        <v>44143</v>
      </c>
      <c r="W182" s="2">
        <v>44138</v>
      </c>
      <c r="Y182" t="s">
        <v>2359</v>
      </c>
      <c r="Z182" t="s">
        <v>2359</v>
      </c>
      <c r="AA182" t="s">
        <v>2359</v>
      </c>
      <c r="AB182" t="s">
        <v>67</v>
      </c>
      <c r="AC182" t="s">
        <v>67</v>
      </c>
      <c r="AD182" t="s">
        <v>67</v>
      </c>
      <c r="AF182" t="s">
        <v>2179</v>
      </c>
      <c r="AG182" t="s">
        <v>2180</v>
      </c>
      <c r="AH182" t="s">
        <v>2179</v>
      </c>
      <c r="AI182" t="s">
        <v>605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59</v>
      </c>
      <c r="AP182">
        <v>0.80900000000000005</v>
      </c>
      <c r="AV182">
        <v>-1</v>
      </c>
    </row>
    <row r="183" spans="1:48" x14ac:dyDescent="0.55000000000000004">
      <c r="A183" t="str">
        <f>HYPERLINK("https://www.infodis.net/philips/net/Shipment/Details?InfodisNumber=1557986&amp;DomainCode=PHILIPSM1", "1557986")</f>
        <v>1557986</v>
      </c>
      <c r="B183" t="s">
        <v>3029</v>
      </c>
      <c r="C183" t="s">
        <v>2491</v>
      </c>
      <c r="D183" t="s">
        <v>2492</v>
      </c>
      <c r="E183" t="s">
        <v>2491</v>
      </c>
      <c r="F183" t="s">
        <v>2493</v>
      </c>
      <c r="G183" t="s">
        <v>1431</v>
      </c>
      <c r="H183" t="s">
        <v>180</v>
      </c>
      <c r="I183" t="s">
        <v>2494</v>
      </c>
      <c r="J183" t="s">
        <v>2495</v>
      </c>
      <c r="K183" t="s">
        <v>2496</v>
      </c>
      <c r="L183" t="s">
        <v>73</v>
      </c>
      <c r="M183" t="s">
        <v>60</v>
      </c>
      <c r="P183" t="s">
        <v>1434</v>
      </c>
      <c r="Q183" t="s">
        <v>3030</v>
      </c>
      <c r="R183" t="s">
        <v>2498</v>
      </c>
      <c r="S183" s="2">
        <v>44140</v>
      </c>
      <c r="T183" s="2">
        <v>44141</v>
      </c>
      <c r="U183" s="2">
        <v>44141</v>
      </c>
      <c r="V183" s="2">
        <v>44144</v>
      </c>
      <c r="W183" s="2">
        <v>44151</v>
      </c>
      <c r="Y183" t="s">
        <v>2387</v>
      </c>
      <c r="Z183" t="s">
        <v>2387</v>
      </c>
      <c r="AA183" t="s">
        <v>603</v>
      </c>
      <c r="AB183" t="s">
        <v>67</v>
      </c>
      <c r="AC183" t="s">
        <v>67</v>
      </c>
      <c r="AD183" t="s">
        <v>68</v>
      </c>
      <c r="AF183" t="s">
        <v>2179</v>
      </c>
      <c r="AG183" t="s">
        <v>2180</v>
      </c>
      <c r="AH183" t="s">
        <v>2179</v>
      </c>
      <c r="AI183" t="s">
        <v>605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221.4</v>
      </c>
      <c r="AP183">
        <v>2.992</v>
      </c>
      <c r="AV183">
        <v>-1</v>
      </c>
    </row>
    <row r="184" spans="1:48" x14ac:dyDescent="0.55000000000000004">
      <c r="A184" t="str">
        <f>HYPERLINK("https://www.infodis.net/philips/net/Shipment/Details?InfodisNumber=6957747&amp;DomainCode=PHILIPSR1", "6957747")</f>
        <v>6957747</v>
      </c>
      <c r="B184" t="s">
        <v>3031</v>
      </c>
      <c r="C184" t="s">
        <v>2806</v>
      </c>
      <c r="D184" t="s">
        <v>2807</v>
      </c>
      <c r="E184" t="s">
        <v>914</v>
      </c>
      <c r="F184" t="s">
        <v>3032</v>
      </c>
      <c r="G184" t="s">
        <v>247</v>
      </c>
      <c r="H184" t="s">
        <v>180</v>
      </c>
      <c r="I184" t="s">
        <v>2625</v>
      </c>
      <c r="J184" t="s">
        <v>2626</v>
      </c>
      <c r="K184" t="s">
        <v>3033</v>
      </c>
      <c r="L184" t="s">
        <v>260</v>
      </c>
      <c r="M184" t="s">
        <v>1658</v>
      </c>
      <c r="P184" t="s">
        <v>251</v>
      </c>
      <c r="Q184" t="s">
        <v>3034</v>
      </c>
      <c r="R184" t="s">
        <v>3035</v>
      </c>
      <c r="S184" s="2">
        <v>44140</v>
      </c>
      <c r="T184" s="2">
        <v>44140</v>
      </c>
      <c r="U184" s="2">
        <v>44140</v>
      </c>
      <c r="V184" s="2">
        <v>44143</v>
      </c>
      <c r="W184" s="2">
        <v>44140</v>
      </c>
      <c r="X184" s="2">
        <v>44155</v>
      </c>
      <c r="Y184" t="s">
        <v>1735</v>
      </c>
      <c r="Z184" t="s">
        <v>1735</v>
      </c>
      <c r="AA184" t="s">
        <v>1735</v>
      </c>
      <c r="AB184" t="s">
        <v>67</v>
      </c>
      <c r="AC184" t="s">
        <v>67</v>
      </c>
      <c r="AD184" t="s">
        <v>67</v>
      </c>
      <c r="AF184" t="s">
        <v>2179</v>
      </c>
      <c r="AG184" t="s">
        <v>2180</v>
      </c>
      <c r="AH184" t="s">
        <v>2179</v>
      </c>
      <c r="AI184" t="s">
        <v>252</v>
      </c>
      <c r="AJ184">
        <v>0</v>
      </c>
      <c r="AK184">
        <v>0</v>
      </c>
      <c r="AL184">
        <v>0</v>
      </c>
      <c r="AM184">
        <v>0</v>
      </c>
      <c r="AN184">
        <v>12</v>
      </c>
      <c r="AO184">
        <v>1401</v>
      </c>
      <c r="AP184">
        <v>22.61</v>
      </c>
      <c r="AV184">
        <v>-1</v>
      </c>
    </row>
    <row r="185" spans="1:48" x14ac:dyDescent="0.55000000000000004">
      <c r="A185" t="str">
        <f>HYPERLINK("https://www.infodis.net/philips/net/Shipment/Details?InfodisNumber=4551821&amp;DomainCode=DAP", "4551821")</f>
        <v>4551821</v>
      </c>
      <c r="B185" t="s">
        <v>3036</v>
      </c>
      <c r="C185" t="s">
        <v>212</v>
      </c>
      <c r="D185" t="s">
        <v>213</v>
      </c>
      <c r="E185" t="s">
        <v>214</v>
      </c>
      <c r="F185" t="s">
        <v>1078</v>
      </c>
      <c r="G185" t="s">
        <v>216</v>
      </c>
      <c r="H185" t="s">
        <v>55</v>
      </c>
      <c r="I185" t="s">
        <v>2367</v>
      </c>
      <c r="J185" t="s">
        <v>2368</v>
      </c>
      <c r="K185" t="s">
        <v>269</v>
      </c>
      <c r="L185" t="s">
        <v>180</v>
      </c>
      <c r="M185" t="s">
        <v>60</v>
      </c>
      <c r="P185" t="s">
        <v>2369</v>
      </c>
      <c r="Q185" t="s">
        <v>3037</v>
      </c>
      <c r="R185" t="s">
        <v>271</v>
      </c>
      <c r="S185" s="2">
        <v>44141</v>
      </c>
      <c r="T185" s="2">
        <v>44141</v>
      </c>
      <c r="U185" s="2">
        <v>44141</v>
      </c>
      <c r="V185" s="2">
        <v>44144</v>
      </c>
      <c r="Y185" t="s">
        <v>2371</v>
      </c>
      <c r="Z185" t="s">
        <v>2371</v>
      </c>
      <c r="AA185" t="s">
        <v>2371</v>
      </c>
      <c r="AB185" t="s">
        <v>67</v>
      </c>
      <c r="AC185" t="s">
        <v>67</v>
      </c>
      <c r="AD185" t="s">
        <v>67</v>
      </c>
      <c r="AF185" t="s">
        <v>2179</v>
      </c>
      <c r="AG185" t="s">
        <v>2180</v>
      </c>
      <c r="AH185" t="s">
        <v>2179</v>
      </c>
      <c r="AI185" t="s">
        <v>73</v>
      </c>
      <c r="AJ185">
        <v>0</v>
      </c>
      <c r="AK185">
        <v>0</v>
      </c>
      <c r="AL185">
        <v>0</v>
      </c>
      <c r="AM185">
        <v>0</v>
      </c>
      <c r="AN185">
        <v>4</v>
      </c>
      <c r="AO185">
        <v>767</v>
      </c>
      <c r="AP185">
        <v>4.7039999999999997</v>
      </c>
      <c r="AV185">
        <v>-1</v>
      </c>
    </row>
    <row r="186" spans="1:48" x14ac:dyDescent="0.55000000000000004">
      <c r="A186" t="str">
        <f>HYPERLINK("https://www.infodis.net/philips/net/Shipment/Details?InfodisNumber=1558082&amp;DomainCode=PHILIPSM1", "1558082")</f>
        <v>1558082</v>
      </c>
      <c r="B186" t="s">
        <v>3038</v>
      </c>
      <c r="C186" t="s">
        <v>2080</v>
      </c>
      <c r="D186" t="s">
        <v>2081</v>
      </c>
      <c r="E186" t="s">
        <v>2089</v>
      </c>
      <c r="F186" t="s">
        <v>2606</v>
      </c>
      <c r="G186" t="s">
        <v>1430</v>
      </c>
      <c r="H186" t="s">
        <v>244</v>
      </c>
      <c r="I186" t="s">
        <v>2084</v>
      </c>
      <c r="J186" t="s">
        <v>2607</v>
      </c>
      <c r="K186" t="s">
        <v>1380</v>
      </c>
      <c r="L186" t="s">
        <v>132</v>
      </c>
      <c r="M186" t="s">
        <v>60</v>
      </c>
      <c r="P186" t="s">
        <v>1432</v>
      </c>
      <c r="Q186" t="s">
        <v>3039</v>
      </c>
      <c r="R186" t="s">
        <v>2609</v>
      </c>
      <c r="S186" s="2">
        <v>44141</v>
      </c>
      <c r="T186" s="2">
        <v>44141</v>
      </c>
      <c r="U186" s="2">
        <v>44141</v>
      </c>
      <c r="V186" s="2">
        <v>44142</v>
      </c>
      <c r="W186" s="2">
        <v>44151</v>
      </c>
      <c r="Y186" t="s">
        <v>2387</v>
      </c>
      <c r="Z186" t="s">
        <v>2387</v>
      </c>
      <c r="AA186" t="s">
        <v>603</v>
      </c>
      <c r="AB186" t="s">
        <v>67</v>
      </c>
      <c r="AC186" t="s">
        <v>67</v>
      </c>
      <c r="AD186" t="s">
        <v>68</v>
      </c>
      <c r="AF186" t="s">
        <v>2610</v>
      </c>
      <c r="AG186" t="s">
        <v>2611</v>
      </c>
      <c r="AH186" t="s">
        <v>2610</v>
      </c>
      <c r="AI186" t="s">
        <v>605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8</v>
      </c>
      <c r="AP186">
        <v>2.4E-2</v>
      </c>
      <c r="AV186">
        <v>-1</v>
      </c>
    </row>
    <row r="187" spans="1:48" x14ac:dyDescent="0.55000000000000004">
      <c r="A187" t="str">
        <f>HYPERLINK("https://www.infodis.net/philips/net/Shipment/Details?InfodisNumber=1558086&amp;DomainCode=PHILIPSM1", "1558086")</f>
        <v>1558086</v>
      </c>
      <c r="B187" t="s">
        <v>3040</v>
      </c>
      <c r="C187" t="s">
        <v>2080</v>
      </c>
      <c r="D187" t="s">
        <v>2081</v>
      </c>
      <c r="E187" t="s">
        <v>2089</v>
      </c>
      <c r="F187" t="s">
        <v>2606</v>
      </c>
      <c r="G187" t="s">
        <v>1430</v>
      </c>
      <c r="H187" t="s">
        <v>244</v>
      </c>
      <c r="I187" t="s">
        <v>2084</v>
      </c>
      <c r="J187" t="s">
        <v>2607</v>
      </c>
      <c r="K187" t="s">
        <v>1380</v>
      </c>
      <c r="L187" t="s">
        <v>132</v>
      </c>
      <c r="M187" t="s">
        <v>60</v>
      </c>
      <c r="P187" t="s">
        <v>1432</v>
      </c>
      <c r="Q187" t="s">
        <v>3041</v>
      </c>
      <c r="R187" t="s">
        <v>2609</v>
      </c>
      <c r="S187" s="2">
        <v>44141</v>
      </c>
      <c r="T187" s="2">
        <v>44141</v>
      </c>
      <c r="U187" s="2">
        <v>44141</v>
      </c>
      <c r="V187" s="2">
        <v>44142</v>
      </c>
      <c r="W187" s="2">
        <v>44151</v>
      </c>
      <c r="Y187" t="s">
        <v>2387</v>
      </c>
      <c r="Z187" t="s">
        <v>2387</v>
      </c>
      <c r="AA187" t="s">
        <v>603</v>
      </c>
      <c r="AB187" t="s">
        <v>67</v>
      </c>
      <c r="AC187" t="s">
        <v>67</v>
      </c>
      <c r="AD187" t="s">
        <v>68</v>
      </c>
      <c r="AF187" t="s">
        <v>2610</v>
      </c>
      <c r="AG187" t="s">
        <v>2611</v>
      </c>
      <c r="AH187" t="s">
        <v>2610</v>
      </c>
      <c r="AI187" t="s">
        <v>605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12.1</v>
      </c>
      <c r="AP187">
        <v>4.7E-2</v>
      </c>
      <c r="AV187">
        <v>-1</v>
      </c>
    </row>
    <row r="188" spans="1:48" x14ac:dyDescent="0.55000000000000004">
      <c r="A188" t="str">
        <f>HYPERLINK("https://www.infodis.net/philips/net/Shipment/Details?InfodisNumber=1558148&amp;DomainCode=PHILIPSM1", "1558148")</f>
        <v>1558148</v>
      </c>
      <c r="B188" t="s">
        <v>3042</v>
      </c>
      <c r="C188" t="s">
        <v>2491</v>
      </c>
      <c r="D188" t="s">
        <v>2492</v>
      </c>
      <c r="E188" t="s">
        <v>2491</v>
      </c>
      <c r="F188" t="s">
        <v>2493</v>
      </c>
      <c r="G188" t="s">
        <v>1431</v>
      </c>
      <c r="H188" t="s">
        <v>180</v>
      </c>
      <c r="I188" t="s">
        <v>2494</v>
      </c>
      <c r="J188" t="s">
        <v>2495</v>
      </c>
      <c r="K188" t="s">
        <v>2496</v>
      </c>
      <c r="L188" t="s">
        <v>73</v>
      </c>
      <c r="M188" t="s">
        <v>60</v>
      </c>
      <c r="P188" t="s">
        <v>1434</v>
      </c>
      <c r="Q188" t="s">
        <v>3043</v>
      </c>
      <c r="R188" t="s">
        <v>2498</v>
      </c>
      <c r="S188" s="2">
        <v>44141</v>
      </c>
      <c r="T188" s="2">
        <v>44141</v>
      </c>
      <c r="U188" s="2">
        <v>44144</v>
      </c>
      <c r="V188" s="2">
        <v>44144</v>
      </c>
      <c r="W188" s="2">
        <v>44155</v>
      </c>
      <c r="Y188" t="s">
        <v>2387</v>
      </c>
      <c r="Z188" t="s">
        <v>2387</v>
      </c>
      <c r="AA188" t="s">
        <v>603</v>
      </c>
      <c r="AB188" t="s">
        <v>67</v>
      </c>
      <c r="AC188" t="s">
        <v>67</v>
      </c>
      <c r="AD188" t="s">
        <v>68</v>
      </c>
      <c r="AF188" t="s">
        <v>2179</v>
      </c>
      <c r="AG188" t="s">
        <v>2180</v>
      </c>
      <c r="AH188" t="s">
        <v>2179</v>
      </c>
      <c r="AI188" t="s">
        <v>605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155.19999999999999</v>
      </c>
      <c r="AP188">
        <v>2.31</v>
      </c>
      <c r="AV188">
        <v>-1</v>
      </c>
    </row>
    <row r="189" spans="1:48" x14ac:dyDescent="0.55000000000000004">
      <c r="A189" t="str">
        <f>HYPERLINK("https://www.infodis.net/philips/net/Shipment/Details?InfodisNumber=1558174&amp;DomainCode=PHILIPSM1", "1558174")</f>
        <v>1558174</v>
      </c>
      <c r="B189" t="s">
        <v>3044</v>
      </c>
      <c r="C189" t="s">
        <v>2491</v>
      </c>
      <c r="D189" t="s">
        <v>2492</v>
      </c>
      <c r="E189" t="s">
        <v>2491</v>
      </c>
      <c r="F189" t="s">
        <v>2493</v>
      </c>
      <c r="G189" t="s">
        <v>1431</v>
      </c>
      <c r="H189" t="s">
        <v>180</v>
      </c>
      <c r="I189" t="s">
        <v>2494</v>
      </c>
      <c r="J189" t="s">
        <v>2495</v>
      </c>
      <c r="K189" t="s">
        <v>2496</v>
      </c>
      <c r="L189" t="s">
        <v>73</v>
      </c>
      <c r="M189" t="s">
        <v>60</v>
      </c>
      <c r="P189" t="s">
        <v>1434</v>
      </c>
      <c r="Q189" t="s">
        <v>3045</v>
      </c>
      <c r="R189" t="s">
        <v>2498</v>
      </c>
      <c r="S189" s="2">
        <v>44141</v>
      </c>
      <c r="T189" s="2">
        <v>44144</v>
      </c>
      <c r="U189" s="2">
        <v>44145</v>
      </c>
      <c r="V189" s="2">
        <v>44144</v>
      </c>
      <c r="W189" s="2">
        <v>44146</v>
      </c>
      <c r="Y189" t="s">
        <v>2387</v>
      </c>
      <c r="Z189" t="s">
        <v>2387</v>
      </c>
      <c r="AA189" t="s">
        <v>603</v>
      </c>
      <c r="AB189" t="s">
        <v>67</v>
      </c>
      <c r="AC189" t="s">
        <v>67</v>
      </c>
      <c r="AD189" t="s">
        <v>68</v>
      </c>
      <c r="AF189" t="s">
        <v>2499</v>
      </c>
      <c r="AG189" t="s">
        <v>2500</v>
      </c>
      <c r="AH189" t="s">
        <v>2499</v>
      </c>
      <c r="AI189" t="s">
        <v>605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3567.6</v>
      </c>
      <c r="AP189">
        <v>1E-3</v>
      </c>
      <c r="AV189">
        <v>-1</v>
      </c>
    </row>
    <row r="190" spans="1:48" x14ac:dyDescent="0.55000000000000004">
      <c r="A190" t="str">
        <f>HYPERLINK("https://www.infodis.net/philips/net/Shipment/Details?InfodisNumber=6961507&amp;DomainCode=PHILIPSR1", "6961507")</f>
        <v>6961507</v>
      </c>
      <c r="B190" t="s">
        <v>3046</v>
      </c>
      <c r="C190" t="s">
        <v>2426</v>
      </c>
      <c r="D190" t="s">
        <v>2427</v>
      </c>
      <c r="E190" t="s">
        <v>458</v>
      </c>
      <c r="F190" t="s">
        <v>2913</v>
      </c>
      <c r="G190" t="s">
        <v>2429</v>
      </c>
      <c r="H190" t="s">
        <v>180</v>
      </c>
      <c r="I190" t="s">
        <v>652</v>
      </c>
      <c r="J190" t="s">
        <v>2553</v>
      </c>
      <c r="K190" t="s">
        <v>1555</v>
      </c>
      <c r="L190" t="s">
        <v>846</v>
      </c>
      <c r="M190" t="s">
        <v>60</v>
      </c>
      <c r="P190" t="s">
        <v>613</v>
      </c>
      <c r="Q190" t="s">
        <v>3047</v>
      </c>
      <c r="R190" t="s">
        <v>1557</v>
      </c>
      <c r="S190" s="2">
        <v>44142</v>
      </c>
      <c r="T190" s="2">
        <v>44142</v>
      </c>
      <c r="U190" s="2">
        <v>44144</v>
      </c>
      <c r="V190" s="2">
        <v>44146</v>
      </c>
      <c r="W190" s="2">
        <v>44146</v>
      </c>
      <c r="Y190" t="s">
        <v>2915</v>
      </c>
      <c r="Z190" t="s">
        <v>2915</v>
      </c>
      <c r="AA190" t="s">
        <v>2915</v>
      </c>
      <c r="AB190" t="s">
        <v>67</v>
      </c>
      <c r="AC190" t="s">
        <v>67</v>
      </c>
      <c r="AD190" t="s">
        <v>67</v>
      </c>
      <c r="AF190" t="s">
        <v>2179</v>
      </c>
      <c r="AG190" t="s">
        <v>2180</v>
      </c>
      <c r="AH190" t="s">
        <v>2179</v>
      </c>
      <c r="AI190" t="s">
        <v>252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415.49</v>
      </c>
      <c r="AP190">
        <v>4.5350000000000001</v>
      </c>
      <c r="AV190">
        <v>-1</v>
      </c>
    </row>
    <row r="191" spans="1:48" x14ac:dyDescent="0.55000000000000004">
      <c r="A191" t="str">
        <f>HYPERLINK("https://www.infodis.net/philips/net/Shipment/Details?InfodisNumber=6961607&amp;DomainCode=PHILIPSR1", "6961607")</f>
        <v>6961607</v>
      </c>
      <c r="B191" t="s">
        <v>3048</v>
      </c>
      <c r="C191" t="s">
        <v>2426</v>
      </c>
      <c r="D191" t="s">
        <v>2427</v>
      </c>
      <c r="E191" t="s">
        <v>458</v>
      </c>
      <c r="F191" t="s">
        <v>2913</v>
      </c>
      <c r="G191" t="s">
        <v>2429</v>
      </c>
      <c r="H191" t="s">
        <v>180</v>
      </c>
      <c r="I191" t="s">
        <v>652</v>
      </c>
      <c r="J191" t="s">
        <v>2553</v>
      </c>
      <c r="K191" t="s">
        <v>1555</v>
      </c>
      <c r="L191" t="s">
        <v>846</v>
      </c>
      <c r="M191" t="s">
        <v>60</v>
      </c>
      <c r="P191" t="s">
        <v>613</v>
      </c>
      <c r="Q191" t="s">
        <v>3049</v>
      </c>
      <c r="R191" t="s">
        <v>1557</v>
      </c>
      <c r="S191" s="2">
        <v>44142</v>
      </c>
      <c r="T191" s="2">
        <v>44144</v>
      </c>
      <c r="U191" s="2">
        <v>44144</v>
      </c>
      <c r="V191" s="2">
        <v>44147</v>
      </c>
      <c r="W191" s="2">
        <v>44147</v>
      </c>
      <c r="Y191" t="s">
        <v>2915</v>
      </c>
      <c r="Z191" t="s">
        <v>2915</v>
      </c>
      <c r="AA191" t="s">
        <v>2915</v>
      </c>
      <c r="AB191" t="s">
        <v>67</v>
      </c>
      <c r="AC191" t="s">
        <v>67</v>
      </c>
      <c r="AD191" t="s">
        <v>67</v>
      </c>
      <c r="AF191" t="s">
        <v>2610</v>
      </c>
      <c r="AG191" t="s">
        <v>2611</v>
      </c>
      <c r="AH191" t="s">
        <v>2610</v>
      </c>
      <c r="AI191" t="s">
        <v>252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4.08</v>
      </c>
      <c r="AP191">
        <v>0.02</v>
      </c>
      <c r="AV191">
        <v>-1</v>
      </c>
    </row>
    <row r="192" spans="1:48" x14ac:dyDescent="0.55000000000000004">
      <c r="A192" t="str">
        <f>HYPERLINK("https://www.infodis.net/philips/net/Shipment/Details?InfodisNumber=6961693&amp;DomainCode=PHILIPSR1", "6961693")</f>
        <v>6961693</v>
      </c>
      <c r="B192" t="s">
        <v>3050</v>
      </c>
      <c r="C192" t="s">
        <v>2426</v>
      </c>
      <c r="D192" t="s">
        <v>2427</v>
      </c>
      <c r="E192" t="s">
        <v>458</v>
      </c>
      <c r="F192" t="s">
        <v>2913</v>
      </c>
      <c r="G192" t="s">
        <v>2429</v>
      </c>
      <c r="H192" t="s">
        <v>180</v>
      </c>
      <c r="I192" t="s">
        <v>652</v>
      </c>
      <c r="J192" t="s">
        <v>2553</v>
      </c>
      <c r="K192" t="s">
        <v>1555</v>
      </c>
      <c r="L192" t="s">
        <v>846</v>
      </c>
      <c r="M192" t="s">
        <v>60</v>
      </c>
      <c r="P192" t="s">
        <v>613</v>
      </c>
      <c r="Q192" t="s">
        <v>3051</v>
      </c>
      <c r="R192" t="s">
        <v>1557</v>
      </c>
      <c r="S192" s="2">
        <v>44142</v>
      </c>
      <c r="T192" s="2">
        <v>44144</v>
      </c>
      <c r="U192" s="2">
        <v>44144</v>
      </c>
      <c r="V192" s="2">
        <v>44147</v>
      </c>
      <c r="W192" s="2">
        <v>44146</v>
      </c>
      <c r="Y192" t="s">
        <v>2915</v>
      </c>
      <c r="Z192" t="s">
        <v>2915</v>
      </c>
      <c r="AA192" t="s">
        <v>2915</v>
      </c>
      <c r="AB192" t="s">
        <v>67</v>
      </c>
      <c r="AC192" t="s">
        <v>67</v>
      </c>
      <c r="AD192" t="s">
        <v>67</v>
      </c>
      <c r="AF192" t="s">
        <v>2179</v>
      </c>
      <c r="AG192" t="s">
        <v>2180</v>
      </c>
      <c r="AH192" t="s">
        <v>2179</v>
      </c>
      <c r="AI192" t="s">
        <v>252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100.7</v>
      </c>
      <c r="AP192">
        <v>1.512</v>
      </c>
      <c r="AV192">
        <v>-1</v>
      </c>
    </row>
    <row r="193" spans="1:48" x14ac:dyDescent="0.55000000000000004">
      <c r="A193" t="str">
        <f>HYPERLINK("https://www.infodis.net/philips/net/Shipment/Details?InfodisNumber=4553862&amp;DomainCode=DAP", "4553862")</f>
        <v>4553862</v>
      </c>
      <c r="B193" t="s">
        <v>3052</v>
      </c>
      <c r="C193" t="s">
        <v>933</v>
      </c>
      <c r="D193" t="s">
        <v>934</v>
      </c>
      <c r="E193" t="s">
        <v>291</v>
      </c>
      <c r="F193" t="s">
        <v>2110</v>
      </c>
      <c r="G193" t="s">
        <v>295</v>
      </c>
      <c r="H193" t="s">
        <v>296</v>
      </c>
      <c r="I193" t="s">
        <v>2739</v>
      </c>
      <c r="J193" t="s">
        <v>268</v>
      </c>
      <c r="K193" t="s">
        <v>2111</v>
      </c>
      <c r="L193" t="s">
        <v>79</v>
      </c>
      <c r="M193" t="s">
        <v>60</v>
      </c>
      <c r="P193" t="s">
        <v>300</v>
      </c>
      <c r="R193" t="s">
        <v>1335</v>
      </c>
      <c r="S193" s="2">
        <v>44144</v>
      </c>
      <c r="T193" s="2">
        <v>44145</v>
      </c>
      <c r="U193" s="2">
        <v>44145</v>
      </c>
      <c r="V193" s="2">
        <v>44148</v>
      </c>
      <c r="Y193" t="s">
        <v>2411</v>
      </c>
      <c r="Z193" t="s">
        <v>2411</v>
      </c>
      <c r="AA193" t="s">
        <v>2411</v>
      </c>
      <c r="AB193" t="s">
        <v>67</v>
      </c>
      <c r="AC193" t="s">
        <v>67</v>
      </c>
      <c r="AD193" t="s">
        <v>67</v>
      </c>
      <c r="AF193" t="s">
        <v>2179</v>
      </c>
      <c r="AG193" t="s">
        <v>2180</v>
      </c>
      <c r="AH193" t="s">
        <v>2179</v>
      </c>
      <c r="AI193" t="s">
        <v>73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832.1</v>
      </c>
      <c r="AP193">
        <v>3.1230000000000002</v>
      </c>
      <c r="AV193">
        <v>-1</v>
      </c>
    </row>
    <row r="194" spans="1:48" x14ac:dyDescent="0.55000000000000004">
      <c r="A194" t="str">
        <f>HYPERLINK("https://www.infodis.net/philips/net/Shipment/Details?InfodisNumber=1558266&amp;DomainCode=PHILIPSM1", "1558266")</f>
        <v>1558266</v>
      </c>
      <c r="B194" t="s">
        <v>3053</v>
      </c>
      <c r="C194" t="s">
        <v>2080</v>
      </c>
      <c r="D194" t="s">
        <v>2081</v>
      </c>
      <c r="E194" t="s">
        <v>2089</v>
      </c>
      <c r="G194" t="s">
        <v>1430</v>
      </c>
      <c r="H194" t="s">
        <v>244</v>
      </c>
      <c r="I194" t="s">
        <v>2084</v>
      </c>
      <c r="J194" t="s">
        <v>2382</v>
      </c>
      <c r="K194" t="s">
        <v>2383</v>
      </c>
      <c r="L194" t="s">
        <v>2384</v>
      </c>
      <c r="M194" t="s">
        <v>60</v>
      </c>
      <c r="P194" t="s">
        <v>1432</v>
      </c>
      <c r="Q194" t="s">
        <v>3054</v>
      </c>
      <c r="R194" t="s">
        <v>2386</v>
      </c>
      <c r="S194" s="2">
        <v>44144</v>
      </c>
      <c r="T194" s="2">
        <v>44144</v>
      </c>
      <c r="U194" s="2">
        <v>44144</v>
      </c>
      <c r="V194" s="2">
        <v>44145</v>
      </c>
      <c r="W194" s="2">
        <v>44149</v>
      </c>
      <c r="Y194" t="s">
        <v>2387</v>
      </c>
      <c r="Z194" t="s">
        <v>2387</v>
      </c>
      <c r="AA194" t="s">
        <v>603</v>
      </c>
      <c r="AB194" t="s">
        <v>67</v>
      </c>
      <c r="AC194" t="s">
        <v>67</v>
      </c>
      <c r="AD194" t="s">
        <v>68</v>
      </c>
      <c r="AF194" t="s">
        <v>2610</v>
      </c>
      <c r="AG194" t="s">
        <v>2611</v>
      </c>
      <c r="AH194" t="s">
        <v>2610</v>
      </c>
      <c r="AI194" t="s">
        <v>605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8.6999999999999993</v>
      </c>
      <c r="AP194">
        <v>7.400000000000001E-2</v>
      </c>
      <c r="AV194">
        <v>-1</v>
      </c>
    </row>
    <row r="195" spans="1:48" x14ac:dyDescent="0.55000000000000004">
      <c r="A195" t="str">
        <f>HYPERLINK("https://www.infodis.net/philips/net/Shipment/Details?InfodisNumber=1558322&amp;DomainCode=PHILIPSM1", "1558322")</f>
        <v>1558322</v>
      </c>
      <c r="B195" t="s">
        <v>3055</v>
      </c>
      <c r="C195" t="s">
        <v>2080</v>
      </c>
      <c r="D195" t="s">
        <v>2081</v>
      </c>
      <c r="E195" t="s">
        <v>2089</v>
      </c>
      <c r="F195" t="s">
        <v>2516</v>
      </c>
      <c r="G195" t="s">
        <v>1430</v>
      </c>
      <c r="H195" t="s">
        <v>244</v>
      </c>
      <c r="I195" t="s">
        <v>2084</v>
      </c>
      <c r="J195" t="s">
        <v>293</v>
      </c>
      <c r="K195" t="s">
        <v>937</v>
      </c>
      <c r="L195" t="s">
        <v>938</v>
      </c>
      <c r="M195" t="s">
        <v>84</v>
      </c>
      <c r="P195" t="s">
        <v>1432</v>
      </c>
      <c r="R195" t="s">
        <v>2517</v>
      </c>
      <c r="S195" s="2">
        <v>44144</v>
      </c>
      <c r="T195" s="2">
        <v>44145</v>
      </c>
      <c r="V195" s="2">
        <v>44145</v>
      </c>
      <c r="Y195" t="s">
        <v>2518</v>
      </c>
      <c r="Z195" t="s">
        <v>2518</v>
      </c>
      <c r="AA195" t="s">
        <v>603</v>
      </c>
      <c r="AB195" t="s">
        <v>67</v>
      </c>
      <c r="AC195" t="s">
        <v>67</v>
      </c>
      <c r="AD195" t="s">
        <v>68</v>
      </c>
      <c r="AF195" t="s">
        <v>2388</v>
      </c>
      <c r="AG195" t="s">
        <v>2389</v>
      </c>
      <c r="AH195" t="s">
        <v>2388</v>
      </c>
      <c r="AI195" t="s">
        <v>605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6.8</v>
      </c>
      <c r="AP195">
        <v>0</v>
      </c>
      <c r="AV195">
        <v>-1</v>
      </c>
    </row>
    <row r="196" spans="1:48" x14ac:dyDescent="0.55000000000000004">
      <c r="A196" t="str">
        <f>HYPERLINK("https://www.infodis.net/philips/net/Shipment/Details?InfodisNumber=4563084&amp;DomainCode=DAP", "4563084")</f>
        <v>4563084</v>
      </c>
      <c r="B196" t="s">
        <v>3056</v>
      </c>
      <c r="C196" t="s">
        <v>3057</v>
      </c>
      <c r="D196" t="s">
        <v>3058</v>
      </c>
      <c r="E196" t="s">
        <v>3059</v>
      </c>
      <c r="F196" t="s">
        <v>3060</v>
      </c>
      <c r="G196" t="s">
        <v>1430</v>
      </c>
      <c r="H196" t="s">
        <v>244</v>
      </c>
      <c r="I196" t="s">
        <v>2084</v>
      </c>
      <c r="J196" t="s">
        <v>2494</v>
      </c>
      <c r="K196" t="s">
        <v>1431</v>
      </c>
      <c r="L196" t="s">
        <v>180</v>
      </c>
      <c r="M196" t="s">
        <v>60</v>
      </c>
      <c r="P196" t="s">
        <v>1432</v>
      </c>
      <c r="R196" t="s">
        <v>1434</v>
      </c>
      <c r="S196" s="2">
        <v>44154</v>
      </c>
      <c r="T196" s="2">
        <v>44188</v>
      </c>
      <c r="V196" s="2">
        <v>44190</v>
      </c>
      <c r="Y196" t="s">
        <v>3061</v>
      </c>
      <c r="Z196" t="s">
        <v>3061</v>
      </c>
      <c r="AA196" t="s">
        <v>3061</v>
      </c>
      <c r="AB196" t="s">
        <v>67</v>
      </c>
      <c r="AC196" t="s">
        <v>67</v>
      </c>
      <c r="AD196" t="s">
        <v>67</v>
      </c>
      <c r="AF196" t="s">
        <v>3062</v>
      </c>
      <c r="AG196" t="s">
        <v>3063</v>
      </c>
      <c r="AH196" t="s">
        <v>3062</v>
      </c>
      <c r="AI196" t="s">
        <v>73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123</v>
      </c>
      <c r="AP196">
        <v>1.8</v>
      </c>
      <c r="AV196">
        <v>-1</v>
      </c>
    </row>
    <row r="197" spans="1:48" x14ac:dyDescent="0.55000000000000004">
      <c r="A197" t="str">
        <f>HYPERLINK("https://www.infodis.net/philips/net/Shipment/Details?InfodisNumber=6964987&amp;DomainCode=PHILIPSR1", "6964987")</f>
        <v>6964987</v>
      </c>
      <c r="B197" t="s">
        <v>3064</v>
      </c>
      <c r="C197" t="s">
        <v>2315</v>
      </c>
      <c r="D197" t="s">
        <v>2316</v>
      </c>
      <c r="E197" t="s">
        <v>242</v>
      </c>
      <c r="F197" t="s">
        <v>1698</v>
      </c>
      <c r="G197" t="s">
        <v>619</v>
      </c>
      <c r="H197" t="s">
        <v>79</v>
      </c>
      <c r="I197" t="s">
        <v>268</v>
      </c>
      <c r="J197" t="s">
        <v>3065</v>
      </c>
      <c r="K197" t="s">
        <v>1694</v>
      </c>
      <c r="L197" t="s">
        <v>180</v>
      </c>
      <c r="M197" t="s">
        <v>60</v>
      </c>
      <c r="P197" t="s">
        <v>623</v>
      </c>
      <c r="Q197" t="s">
        <v>3066</v>
      </c>
      <c r="R197" t="s">
        <v>1698</v>
      </c>
      <c r="S197" s="2">
        <v>44145</v>
      </c>
      <c r="T197" s="2">
        <v>44145</v>
      </c>
      <c r="U197" s="2">
        <v>44145</v>
      </c>
      <c r="V197" s="2">
        <v>44148</v>
      </c>
      <c r="W197" s="2">
        <v>44147</v>
      </c>
      <c r="Y197" t="s">
        <v>1735</v>
      </c>
      <c r="Z197" t="s">
        <v>1735</v>
      </c>
      <c r="AA197" t="s">
        <v>1735</v>
      </c>
      <c r="AB197" t="s">
        <v>67</v>
      </c>
      <c r="AC197" t="s">
        <v>67</v>
      </c>
      <c r="AD197" t="s">
        <v>67</v>
      </c>
      <c r="AF197" t="s">
        <v>2179</v>
      </c>
      <c r="AG197" t="s">
        <v>2180</v>
      </c>
      <c r="AH197" t="s">
        <v>2179</v>
      </c>
      <c r="AI197" t="s">
        <v>252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400</v>
      </c>
      <c r="AP197">
        <v>3.1360000000000001</v>
      </c>
      <c r="AV197">
        <v>-1</v>
      </c>
    </row>
    <row r="198" spans="1:48" x14ac:dyDescent="0.55000000000000004">
      <c r="A198" t="str">
        <f>HYPERLINK("https://www.infodis.net/philips/net/Shipment/Details?InfodisNumber=1558394&amp;DomainCode=PHILIPSM1", "1558394")</f>
        <v>1558394</v>
      </c>
      <c r="B198" t="s">
        <v>3067</v>
      </c>
      <c r="C198" t="s">
        <v>2080</v>
      </c>
      <c r="D198" t="s">
        <v>2081</v>
      </c>
      <c r="E198" t="s">
        <v>2082</v>
      </c>
      <c r="F198" t="s">
        <v>2649</v>
      </c>
      <c r="G198" t="s">
        <v>1430</v>
      </c>
      <c r="H198" t="s">
        <v>244</v>
      </c>
      <c r="I198" t="s">
        <v>2084</v>
      </c>
      <c r="J198" t="s">
        <v>2650</v>
      </c>
      <c r="K198" t="s">
        <v>2651</v>
      </c>
      <c r="L198" t="s">
        <v>2652</v>
      </c>
      <c r="M198" t="s">
        <v>60</v>
      </c>
      <c r="P198" t="s">
        <v>1432</v>
      </c>
      <c r="Q198" t="s">
        <v>3068</v>
      </c>
      <c r="R198" t="s">
        <v>2650</v>
      </c>
      <c r="S198" s="2">
        <v>44145</v>
      </c>
      <c r="T198" s="2">
        <v>44145</v>
      </c>
      <c r="U198" s="2">
        <v>44145</v>
      </c>
      <c r="V198" s="2">
        <v>44146</v>
      </c>
      <c r="W198" s="2">
        <v>44150</v>
      </c>
      <c r="Y198" t="s">
        <v>2387</v>
      </c>
      <c r="Z198" t="s">
        <v>2387</v>
      </c>
      <c r="AA198" t="s">
        <v>603</v>
      </c>
      <c r="AB198" t="s">
        <v>67</v>
      </c>
      <c r="AC198" t="s">
        <v>67</v>
      </c>
      <c r="AD198" t="s">
        <v>68</v>
      </c>
      <c r="AF198" t="s">
        <v>2610</v>
      </c>
      <c r="AG198" t="s">
        <v>2611</v>
      </c>
      <c r="AH198" t="s">
        <v>2610</v>
      </c>
      <c r="AI198" t="s">
        <v>605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1.2</v>
      </c>
      <c r="AP198">
        <v>2.4E-2</v>
      </c>
      <c r="AV198">
        <v>-1</v>
      </c>
    </row>
    <row r="199" spans="1:48" x14ac:dyDescent="0.55000000000000004">
      <c r="A199" t="str">
        <f>HYPERLINK("https://www.infodis.net/philips/net/Shipment/Details?InfodisNumber=4554578&amp;DomainCode=DAP", "4554578")</f>
        <v>4554578</v>
      </c>
      <c r="B199" t="s">
        <v>3069</v>
      </c>
      <c r="C199" t="s">
        <v>2227</v>
      </c>
      <c r="D199" t="s">
        <v>2228</v>
      </c>
      <c r="E199" t="s">
        <v>94</v>
      </c>
      <c r="F199" t="s">
        <v>191</v>
      </c>
      <c r="G199" t="s">
        <v>424</v>
      </c>
      <c r="H199" t="s">
        <v>79</v>
      </c>
      <c r="I199" t="s">
        <v>268</v>
      </c>
      <c r="J199" t="s">
        <v>2341</v>
      </c>
      <c r="K199" t="s">
        <v>219</v>
      </c>
      <c r="L199" t="s">
        <v>180</v>
      </c>
      <c r="M199" t="s">
        <v>60</v>
      </c>
      <c r="P199" t="s">
        <v>2229</v>
      </c>
      <c r="Q199" t="s">
        <v>3070</v>
      </c>
      <c r="R199" t="s">
        <v>223</v>
      </c>
      <c r="S199" s="2">
        <v>44145</v>
      </c>
      <c r="T199" s="2">
        <v>44152</v>
      </c>
      <c r="V199" s="2">
        <v>44157</v>
      </c>
      <c r="W199" s="2">
        <v>44153</v>
      </c>
      <c r="Y199" t="s">
        <v>89</v>
      </c>
      <c r="Z199" t="s">
        <v>1735</v>
      </c>
      <c r="AA199" t="s">
        <v>1735</v>
      </c>
      <c r="AB199" t="s">
        <v>67</v>
      </c>
      <c r="AC199" t="s">
        <v>67</v>
      </c>
      <c r="AD199" t="s">
        <v>67</v>
      </c>
      <c r="AF199" t="s">
        <v>2399</v>
      </c>
      <c r="AG199" t="s">
        <v>2400</v>
      </c>
      <c r="AH199" t="s">
        <v>2399</v>
      </c>
      <c r="AI199" t="s">
        <v>73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1226</v>
      </c>
      <c r="AP199">
        <v>5.6</v>
      </c>
      <c r="AV199">
        <v>-1</v>
      </c>
    </row>
    <row r="200" spans="1:48" x14ac:dyDescent="0.55000000000000004">
      <c r="A200" t="str">
        <f>HYPERLINK("https://www.infodis.net/philips/net/Shipment/Details?InfodisNumber=4554584&amp;DomainCode=DAP", "4554584")</f>
        <v>4554584</v>
      </c>
      <c r="B200" t="s">
        <v>3071</v>
      </c>
      <c r="C200" t="s">
        <v>2796</v>
      </c>
      <c r="D200" t="s">
        <v>2797</v>
      </c>
      <c r="E200" t="s">
        <v>2202</v>
      </c>
      <c r="F200" t="s">
        <v>2798</v>
      </c>
      <c r="G200" t="s">
        <v>2203</v>
      </c>
      <c r="H200" t="s">
        <v>2204</v>
      </c>
      <c r="I200" t="s">
        <v>2634</v>
      </c>
      <c r="J200" t="s">
        <v>2601</v>
      </c>
      <c r="K200" t="s">
        <v>192</v>
      </c>
      <c r="L200" t="s">
        <v>79</v>
      </c>
      <c r="M200" t="s">
        <v>60</v>
      </c>
      <c r="P200" t="s">
        <v>2205</v>
      </c>
      <c r="Q200" t="s">
        <v>3072</v>
      </c>
      <c r="R200" t="s">
        <v>196</v>
      </c>
      <c r="S200" s="2">
        <v>44145</v>
      </c>
      <c r="T200" s="2">
        <v>44147</v>
      </c>
      <c r="V200" s="2">
        <v>44150</v>
      </c>
      <c r="W200" s="2">
        <v>44150</v>
      </c>
      <c r="X200" s="2">
        <v>44155</v>
      </c>
      <c r="Y200" t="s">
        <v>2411</v>
      </c>
      <c r="Z200" t="s">
        <v>2411</v>
      </c>
      <c r="AA200" t="s">
        <v>2411</v>
      </c>
      <c r="AB200" t="s">
        <v>67</v>
      </c>
      <c r="AC200" t="s">
        <v>67</v>
      </c>
      <c r="AD200" t="s">
        <v>67</v>
      </c>
      <c r="AF200" t="s">
        <v>2179</v>
      </c>
      <c r="AG200" t="s">
        <v>2180</v>
      </c>
      <c r="AH200" t="s">
        <v>2179</v>
      </c>
      <c r="AI200" t="s">
        <v>73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230</v>
      </c>
      <c r="AP200">
        <v>0.74400000000000011</v>
      </c>
      <c r="AV200">
        <v>-1</v>
      </c>
    </row>
    <row r="201" spans="1:48" x14ac:dyDescent="0.55000000000000004">
      <c r="A201" t="str">
        <f>HYPERLINK("https://www.infodis.net/philips/net/Shipment/Details?InfodisNumber=7000202&amp;DomainCode=PHILIPSR1", "7000202")</f>
        <v>7000202</v>
      </c>
      <c r="B201" t="s">
        <v>3073</v>
      </c>
      <c r="C201" t="s">
        <v>2806</v>
      </c>
      <c r="D201" t="s">
        <v>2807</v>
      </c>
      <c r="E201" t="s">
        <v>914</v>
      </c>
      <c r="F201" t="s">
        <v>3074</v>
      </c>
      <c r="G201" t="s">
        <v>247</v>
      </c>
      <c r="H201" t="s">
        <v>180</v>
      </c>
      <c r="I201" t="s">
        <v>2625</v>
      </c>
      <c r="J201" t="s">
        <v>3075</v>
      </c>
      <c r="K201" t="s">
        <v>3076</v>
      </c>
      <c r="L201" t="s">
        <v>1263</v>
      </c>
      <c r="M201" t="s">
        <v>60</v>
      </c>
      <c r="P201" t="s">
        <v>251</v>
      </c>
      <c r="Q201" t="s">
        <v>3077</v>
      </c>
      <c r="R201" t="s">
        <v>3074</v>
      </c>
      <c r="S201" s="2">
        <v>44154</v>
      </c>
      <c r="T201" s="2">
        <v>44154</v>
      </c>
      <c r="U201" s="2">
        <v>44154</v>
      </c>
      <c r="V201" s="2">
        <v>44157</v>
      </c>
      <c r="W201" s="2">
        <v>44158</v>
      </c>
      <c r="Y201" t="s">
        <v>1735</v>
      </c>
      <c r="Z201" t="s">
        <v>1735</v>
      </c>
      <c r="AA201" t="s">
        <v>66</v>
      </c>
      <c r="AB201" t="s">
        <v>67</v>
      </c>
      <c r="AC201" t="s">
        <v>67</v>
      </c>
      <c r="AD201" t="s">
        <v>68</v>
      </c>
      <c r="AF201" t="s">
        <v>2179</v>
      </c>
      <c r="AG201" t="s">
        <v>2180</v>
      </c>
      <c r="AH201" t="s">
        <v>2179</v>
      </c>
      <c r="AI201" t="s">
        <v>252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1.5</v>
      </c>
      <c r="AP201">
        <v>1.2999999999999999E-2</v>
      </c>
      <c r="AV201">
        <v>-1</v>
      </c>
    </row>
    <row r="202" spans="1:48" x14ac:dyDescent="0.55000000000000004">
      <c r="A202" t="str">
        <f>HYPERLINK("https://www.infodis.net/philips/net/Shipment/Details?InfodisNumber=4554745&amp;DomainCode=DAP", "4554745")</f>
        <v>4554745</v>
      </c>
      <c r="B202" t="s">
        <v>3078</v>
      </c>
      <c r="C202" t="s">
        <v>3079</v>
      </c>
      <c r="D202" t="s">
        <v>3080</v>
      </c>
      <c r="E202" t="s">
        <v>3079</v>
      </c>
      <c r="F202" t="s">
        <v>167</v>
      </c>
      <c r="G202" t="s">
        <v>3081</v>
      </c>
      <c r="H202" t="s">
        <v>3082</v>
      </c>
      <c r="I202" t="s">
        <v>3083</v>
      </c>
      <c r="J202" t="s">
        <v>2405</v>
      </c>
      <c r="K202" t="s">
        <v>1125</v>
      </c>
      <c r="L202" t="s">
        <v>172</v>
      </c>
      <c r="M202" t="s">
        <v>1489</v>
      </c>
      <c r="P202" t="s">
        <v>3084</v>
      </c>
      <c r="R202" t="s">
        <v>1128</v>
      </c>
      <c r="S202" s="2">
        <v>44145</v>
      </c>
      <c r="T202" s="2">
        <v>44145</v>
      </c>
      <c r="V202" s="2">
        <v>44148</v>
      </c>
      <c r="Y202" t="s">
        <v>2411</v>
      </c>
      <c r="Z202" t="s">
        <v>2411</v>
      </c>
      <c r="AA202" t="s">
        <v>2411</v>
      </c>
      <c r="AB202" t="s">
        <v>67</v>
      </c>
      <c r="AC202" t="s">
        <v>67</v>
      </c>
      <c r="AD202" t="s">
        <v>67</v>
      </c>
      <c r="AF202" t="s">
        <v>2179</v>
      </c>
      <c r="AG202" t="s">
        <v>2180</v>
      </c>
      <c r="AH202" t="s">
        <v>2179</v>
      </c>
      <c r="AI202" t="s">
        <v>73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110</v>
      </c>
      <c r="AP202">
        <v>0.96</v>
      </c>
      <c r="AV202">
        <v>-1</v>
      </c>
    </row>
    <row r="203" spans="1:48" x14ac:dyDescent="0.55000000000000004">
      <c r="A203" t="str">
        <f>HYPERLINK("https://www.infodis.net/philips/net/Shipment/Details?InfodisNumber=1558441&amp;DomainCode=PHILIPSM1", "1558441")</f>
        <v>1558441</v>
      </c>
      <c r="B203" t="s">
        <v>3085</v>
      </c>
      <c r="C203" t="s">
        <v>2443</v>
      </c>
      <c r="D203" t="s">
        <v>2444</v>
      </c>
      <c r="E203" t="s">
        <v>2443</v>
      </c>
      <c r="F203" t="s">
        <v>3086</v>
      </c>
      <c r="G203" t="s">
        <v>1334</v>
      </c>
      <c r="H203" t="s">
        <v>180</v>
      </c>
      <c r="I203" t="s">
        <v>1333</v>
      </c>
      <c r="J203" t="s">
        <v>3087</v>
      </c>
      <c r="K203" t="s">
        <v>1380</v>
      </c>
      <c r="L203" t="s">
        <v>132</v>
      </c>
      <c r="M203" t="s">
        <v>60</v>
      </c>
      <c r="P203" t="s">
        <v>1337</v>
      </c>
      <c r="Q203" t="s">
        <v>3088</v>
      </c>
      <c r="R203" t="s">
        <v>2609</v>
      </c>
      <c r="S203" s="2">
        <v>44145</v>
      </c>
      <c r="T203" s="2">
        <v>44145</v>
      </c>
      <c r="U203" s="2">
        <v>44145</v>
      </c>
      <c r="V203" s="2">
        <v>44148</v>
      </c>
      <c r="W203" s="2">
        <v>44148</v>
      </c>
      <c r="Y203" t="s">
        <v>2359</v>
      </c>
      <c r="Z203" t="s">
        <v>2359</v>
      </c>
      <c r="AA203" t="s">
        <v>2359</v>
      </c>
      <c r="AB203" t="s">
        <v>67</v>
      </c>
      <c r="AC203" t="s">
        <v>67</v>
      </c>
      <c r="AD203" t="s">
        <v>67</v>
      </c>
      <c r="AF203" t="s">
        <v>2179</v>
      </c>
      <c r="AG203" t="s">
        <v>2180</v>
      </c>
      <c r="AH203" t="s">
        <v>2179</v>
      </c>
      <c r="AI203" t="s">
        <v>605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59</v>
      </c>
      <c r="AP203">
        <v>0.26</v>
      </c>
      <c r="AV203">
        <v>-1</v>
      </c>
    </row>
    <row r="204" spans="1:48" x14ac:dyDescent="0.55000000000000004">
      <c r="A204" t="str">
        <f>HYPERLINK("https://www.infodis.net/philips/net/Shipment/Details?InfodisNumber=4554806&amp;DomainCode=DAP", "4554806")</f>
        <v>4554806</v>
      </c>
      <c r="B204" t="s">
        <v>3089</v>
      </c>
      <c r="C204" t="s">
        <v>2532</v>
      </c>
      <c r="D204" t="s">
        <v>2533</v>
      </c>
      <c r="E204" t="s">
        <v>2186</v>
      </c>
      <c r="F204" t="s">
        <v>256</v>
      </c>
      <c r="G204" t="s">
        <v>2535</v>
      </c>
      <c r="H204" t="s">
        <v>772</v>
      </c>
      <c r="I204" t="s">
        <v>2642</v>
      </c>
      <c r="J204" t="s">
        <v>2626</v>
      </c>
      <c r="K204" t="s">
        <v>259</v>
      </c>
      <c r="L204" t="s">
        <v>260</v>
      </c>
      <c r="M204" t="s">
        <v>60</v>
      </c>
      <c r="P204" t="s">
        <v>2536</v>
      </c>
      <c r="R204" t="s">
        <v>262</v>
      </c>
      <c r="S204" s="2">
        <v>44145</v>
      </c>
      <c r="T204" s="2">
        <v>44145</v>
      </c>
      <c r="V204" s="2">
        <v>44148</v>
      </c>
      <c r="Y204" t="s">
        <v>2476</v>
      </c>
      <c r="Z204" t="s">
        <v>2476</v>
      </c>
      <c r="AA204" t="s">
        <v>2476</v>
      </c>
      <c r="AB204" t="s">
        <v>67</v>
      </c>
      <c r="AC204" t="s">
        <v>67</v>
      </c>
      <c r="AD204" t="s">
        <v>67</v>
      </c>
      <c r="AF204" t="s">
        <v>2179</v>
      </c>
      <c r="AG204" t="s">
        <v>2180</v>
      </c>
      <c r="AH204" t="s">
        <v>2179</v>
      </c>
      <c r="AI204" t="s">
        <v>73</v>
      </c>
      <c r="AJ204">
        <v>0</v>
      </c>
      <c r="AK204">
        <v>0</v>
      </c>
      <c r="AL204">
        <v>0</v>
      </c>
      <c r="AM204">
        <v>0</v>
      </c>
      <c r="AN204">
        <v>2</v>
      </c>
      <c r="AO204">
        <v>30.465</v>
      </c>
      <c r="AP204">
        <v>0.115</v>
      </c>
      <c r="AV204">
        <v>-1</v>
      </c>
    </row>
    <row r="205" spans="1:48" x14ac:dyDescent="0.55000000000000004">
      <c r="A205" t="str">
        <f>HYPERLINK("https://www.infodis.net/philips/net/Shipment/Details?InfodisNumber=1558452&amp;DomainCode=PHILIPSM1", "1558452")</f>
        <v>1558452</v>
      </c>
      <c r="B205" t="s">
        <v>3090</v>
      </c>
      <c r="C205" t="s">
        <v>2491</v>
      </c>
      <c r="D205" t="s">
        <v>2492</v>
      </c>
      <c r="E205" t="s">
        <v>2491</v>
      </c>
      <c r="F205" t="s">
        <v>3091</v>
      </c>
      <c r="G205" t="s">
        <v>1431</v>
      </c>
      <c r="H205" t="s">
        <v>180</v>
      </c>
      <c r="I205" t="s">
        <v>2494</v>
      </c>
      <c r="J205" t="s">
        <v>1729</v>
      </c>
      <c r="K205" t="s">
        <v>3092</v>
      </c>
      <c r="L205" t="s">
        <v>1657</v>
      </c>
      <c r="M205" t="s">
        <v>60</v>
      </c>
      <c r="P205" t="s">
        <v>1434</v>
      </c>
      <c r="Q205" t="s">
        <v>3093</v>
      </c>
      <c r="R205" t="s">
        <v>3094</v>
      </c>
      <c r="S205" s="2">
        <v>44145</v>
      </c>
      <c r="T205" s="2">
        <v>44145</v>
      </c>
      <c r="U205" s="2">
        <v>44145</v>
      </c>
      <c r="V205" s="2">
        <v>44145</v>
      </c>
      <c r="Y205" t="s">
        <v>2387</v>
      </c>
      <c r="Z205" t="s">
        <v>2387</v>
      </c>
      <c r="AA205" t="s">
        <v>603</v>
      </c>
      <c r="AB205" t="s">
        <v>67</v>
      </c>
      <c r="AC205" t="s">
        <v>67</v>
      </c>
      <c r="AD205" t="s">
        <v>68</v>
      </c>
      <c r="AF205" t="s">
        <v>2499</v>
      </c>
      <c r="AG205" t="s">
        <v>2500</v>
      </c>
      <c r="AH205" t="s">
        <v>2499</v>
      </c>
      <c r="AI205" t="s">
        <v>605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193.2</v>
      </c>
      <c r="AP205">
        <v>2.4380000000000002</v>
      </c>
      <c r="AV205">
        <v>-1</v>
      </c>
    </row>
    <row r="206" spans="1:48" x14ac:dyDescent="0.55000000000000004">
      <c r="A206" t="str">
        <f>HYPERLINK("https://www.infodis.net/philips/net/Shipment/Details?InfodisNumber=1558454&amp;DomainCode=PHILIPSM1", "1558454")</f>
        <v>1558454</v>
      </c>
      <c r="B206" t="s">
        <v>3095</v>
      </c>
      <c r="C206" t="s">
        <v>2080</v>
      </c>
      <c r="D206" t="s">
        <v>2081</v>
      </c>
      <c r="E206" t="s">
        <v>2082</v>
      </c>
      <c r="F206" t="s">
        <v>3096</v>
      </c>
      <c r="G206" t="s">
        <v>1430</v>
      </c>
      <c r="H206" t="s">
        <v>244</v>
      </c>
      <c r="I206" t="s">
        <v>2084</v>
      </c>
      <c r="J206" t="s">
        <v>2675</v>
      </c>
      <c r="K206" t="s">
        <v>3097</v>
      </c>
      <c r="L206" t="s">
        <v>647</v>
      </c>
      <c r="M206" t="s">
        <v>60</v>
      </c>
      <c r="P206" t="s">
        <v>1432</v>
      </c>
      <c r="Q206" t="s">
        <v>3098</v>
      </c>
      <c r="R206" t="s">
        <v>3099</v>
      </c>
      <c r="S206" s="2">
        <v>44145</v>
      </c>
      <c r="T206" s="2">
        <v>44146</v>
      </c>
      <c r="U206" s="2">
        <v>44146</v>
      </c>
      <c r="V206" s="2">
        <v>44151</v>
      </c>
      <c r="W206" s="2">
        <v>44146</v>
      </c>
      <c r="Y206" t="s">
        <v>2359</v>
      </c>
      <c r="Z206" t="s">
        <v>2359</v>
      </c>
      <c r="AA206" t="s">
        <v>603</v>
      </c>
      <c r="AB206" t="s">
        <v>67</v>
      </c>
      <c r="AC206" t="s">
        <v>67</v>
      </c>
      <c r="AD206" t="s">
        <v>68</v>
      </c>
      <c r="AF206" t="s">
        <v>2399</v>
      </c>
      <c r="AG206" t="s">
        <v>2400</v>
      </c>
      <c r="AH206" t="s">
        <v>2399</v>
      </c>
      <c r="AI206" t="s">
        <v>605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93.5</v>
      </c>
      <c r="AP206">
        <v>1.2170000000000001</v>
      </c>
      <c r="AV206">
        <v>-1</v>
      </c>
    </row>
    <row r="207" spans="1:48" x14ac:dyDescent="0.55000000000000004">
      <c r="A207" t="str">
        <f>HYPERLINK("https://www.infodis.net/philips/net/Shipment/Details?InfodisNumber=1558457&amp;DomainCode=PHILIPSM1", "1558457")</f>
        <v>1558457</v>
      </c>
      <c r="B207" t="s">
        <v>3100</v>
      </c>
      <c r="C207" t="s">
        <v>2080</v>
      </c>
      <c r="D207" t="s">
        <v>2081</v>
      </c>
      <c r="E207" t="s">
        <v>2089</v>
      </c>
      <c r="F207" t="s">
        <v>3101</v>
      </c>
      <c r="G207" t="s">
        <v>1430</v>
      </c>
      <c r="H207" t="s">
        <v>244</v>
      </c>
      <c r="I207" t="s">
        <v>2084</v>
      </c>
      <c r="J207" t="s">
        <v>1607</v>
      </c>
      <c r="K207" t="s">
        <v>3102</v>
      </c>
      <c r="L207" t="s">
        <v>1609</v>
      </c>
      <c r="M207" t="s">
        <v>60</v>
      </c>
      <c r="P207" t="s">
        <v>1432</v>
      </c>
      <c r="Q207" t="s">
        <v>3103</v>
      </c>
      <c r="R207" t="s">
        <v>3104</v>
      </c>
      <c r="S207" s="2">
        <v>44145</v>
      </c>
      <c r="T207" s="2">
        <v>44146</v>
      </c>
      <c r="U207" s="2">
        <v>44146</v>
      </c>
      <c r="V207" s="2">
        <v>44147</v>
      </c>
      <c r="W207" s="2">
        <v>44153</v>
      </c>
      <c r="Y207" t="s">
        <v>2387</v>
      </c>
      <c r="Z207" t="s">
        <v>2387</v>
      </c>
      <c r="AA207" t="s">
        <v>603</v>
      </c>
      <c r="AB207" t="s">
        <v>67</v>
      </c>
      <c r="AC207" t="s">
        <v>67</v>
      </c>
      <c r="AD207" t="s">
        <v>68</v>
      </c>
      <c r="AF207" t="s">
        <v>2610</v>
      </c>
      <c r="AG207" t="s">
        <v>2611</v>
      </c>
      <c r="AH207" t="s">
        <v>2610</v>
      </c>
      <c r="AI207" t="s">
        <v>605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6.9</v>
      </c>
      <c r="AP207">
        <v>2.4E-2</v>
      </c>
      <c r="AV207">
        <v>-1</v>
      </c>
    </row>
    <row r="208" spans="1:48" x14ac:dyDescent="0.55000000000000004">
      <c r="A208" t="str">
        <f>HYPERLINK("https://www.infodis.net/philips/net/Shipment/Details?InfodisNumber=1558462&amp;DomainCode=PHILIPSM1", "1558462")</f>
        <v>1558462</v>
      </c>
      <c r="B208" t="s">
        <v>3105</v>
      </c>
      <c r="C208" t="s">
        <v>2080</v>
      </c>
      <c r="D208" t="s">
        <v>2081</v>
      </c>
      <c r="E208" t="s">
        <v>2089</v>
      </c>
      <c r="F208" t="s">
        <v>3101</v>
      </c>
      <c r="G208" t="s">
        <v>1430</v>
      </c>
      <c r="H208" t="s">
        <v>244</v>
      </c>
      <c r="I208" t="s">
        <v>2084</v>
      </c>
      <c r="J208" t="s">
        <v>1607</v>
      </c>
      <c r="K208" t="s">
        <v>3102</v>
      </c>
      <c r="L208" t="s">
        <v>1609</v>
      </c>
      <c r="M208" t="s">
        <v>60</v>
      </c>
      <c r="P208" t="s">
        <v>1432</v>
      </c>
      <c r="Q208" t="s">
        <v>3106</v>
      </c>
      <c r="R208" t="s">
        <v>3104</v>
      </c>
      <c r="S208" s="2">
        <v>44145</v>
      </c>
      <c r="T208" s="2">
        <v>44146</v>
      </c>
      <c r="U208" s="2">
        <v>44146</v>
      </c>
      <c r="V208" s="2">
        <v>44147</v>
      </c>
      <c r="W208" s="2">
        <v>44153</v>
      </c>
      <c r="Y208" t="s">
        <v>2387</v>
      </c>
      <c r="Z208" t="s">
        <v>2387</v>
      </c>
      <c r="AA208" t="s">
        <v>603</v>
      </c>
      <c r="AB208" t="s">
        <v>67</v>
      </c>
      <c r="AC208" t="s">
        <v>67</v>
      </c>
      <c r="AD208" t="s">
        <v>68</v>
      </c>
      <c r="AF208" t="s">
        <v>2610</v>
      </c>
      <c r="AG208" t="s">
        <v>2611</v>
      </c>
      <c r="AH208" t="s">
        <v>2610</v>
      </c>
      <c r="AI208" t="s">
        <v>605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2.2000000000000002</v>
      </c>
      <c r="AP208">
        <v>2.4E-2</v>
      </c>
      <c r="AV208">
        <v>-1</v>
      </c>
    </row>
    <row r="209" spans="1:48" x14ac:dyDescent="0.55000000000000004">
      <c r="A209" t="str">
        <f>HYPERLINK("https://www.infodis.net/philips/net/Shipment/Details?InfodisNumber=1558460&amp;DomainCode=PHILIPSM1", "1558460")</f>
        <v>1558460</v>
      </c>
      <c r="B209" t="s">
        <v>3107</v>
      </c>
      <c r="C209" t="s">
        <v>2080</v>
      </c>
      <c r="D209" t="s">
        <v>2081</v>
      </c>
      <c r="E209" t="s">
        <v>2089</v>
      </c>
      <c r="F209" t="s">
        <v>2858</v>
      </c>
      <c r="G209" t="s">
        <v>1430</v>
      </c>
      <c r="H209" t="s">
        <v>244</v>
      </c>
      <c r="I209" t="s">
        <v>2084</v>
      </c>
      <c r="J209" t="s">
        <v>2684</v>
      </c>
      <c r="K209" t="s">
        <v>143</v>
      </c>
      <c r="L209" t="s">
        <v>83</v>
      </c>
      <c r="M209" t="s">
        <v>60</v>
      </c>
      <c r="P209" t="s">
        <v>1432</v>
      </c>
      <c r="Q209" t="s">
        <v>3108</v>
      </c>
      <c r="R209" t="s">
        <v>144</v>
      </c>
      <c r="S209" s="2">
        <v>44145</v>
      </c>
      <c r="T209" s="2">
        <v>44146</v>
      </c>
      <c r="U209" s="2">
        <v>44146</v>
      </c>
      <c r="V209" s="2">
        <v>44147</v>
      </c>
      <c r="W209" s="2">
        <v>44153</v>
      </c>
      <c r="Y209" t="s">
        <v>2387</v>
      </c>
      <c r="Z209" t="s">
        <v>2387</v>
      </c>
      <c r="AA209" t="s">
        <v>603</v>
      </c>
      <c r="AB209" t="s">
        <v>67</v>
      </c>
      <c r="AC209" t="s">
        <v>67</v>
      </c>
      <c r="AD209" t="s">
        <v>68</v>
      </c>
      <c r="AF209" t="s">
        <v>2610</v>
      </c>
      <c r="AG209" t="s">
        <v>2611</v>
      </c>
      <c r="AH209" t="s">
        <v>2610</v>
      </c>
      <c r="AI209" t="s">
        <v>605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2.4E-2</v>
      </c>
      <c r="AV209">
        <v>-1</v>
      </c>
    </row>
    <row r="210" spans="1:48" x14ac:dyDescent="0.55000000000000004">
      <c r="A210" t="str">
        <f>HYPERLINK("https://www.infodis.net/philips/net/Shipment/Details?InfodisNumber=1558439&amp;DomainCode=PHILIPSM1", "1558439")</f>
        <v>1558439</v>
      </c>
      <c r="B210" t="s">
        <v>3109</v>
      </c>
      <c r="C210" t="s">
        <v>2080</v>
      </c>
      <c r="D210" t="s">
        <v>2081</v>
      </c>
      <c r="E210" t="s">
        <v>2089</v>
      </c>
      <c r="F210" t="s">
        <v>2661</v>
      </c>
      <c r="G210" t="s">
        <v>1430</v>
      </c>
      <c r="H210" t="s">
        <v>244</v>
      </c>
      <c r="I210" t="s">
        <v>2084</v>
      </c>
      <c r="J210" t="s">
        <v>2057</v>
      </c>
      <c r="K210" t="s">
        <v>601</v>
      </c>
      <c r="L210" t="s">
        <v>180</v>
      </c>
      <c r="M210" t="s">
        <v>60</v>
      </c>
      <c r="P210" t="s">
        <v>1432</v>
      </c>
      <c r="Q210" t="s">
        <v>3110</v>
      </c>
      <c r="R210" t="s">
        <v>602</v>
      </c>
      <c r="S210" s="2">
        <v>44145</v>
      </c>
      <c r="T210" s="2">
        <v>44146</v>
      </c>
      <c r="U210" s="2">
        <v>44146</v>
      </c>
      <c r="V210" s="2">
        <v>44151</v>
      </c>
      <c r="W210" s="2">
        <v>44151</v>
      </c>
      <c r="Y210" t="s">
        <v>2359</v>
      </c>
      <c r="Z210" t="s">
        <v>2359</v>
      </c>
      <c r="AA210" t="s">
        <v>603</v>
      </c>
      <c r="AB210" t="s">
        <v>67</v>
      </c>
      <c r="AC210" t="s">
        <v>67</v>
      </c>
      <c r="AD210" t="s">
        <v>68</v>
      </c>
      <c r="AF210" t="s">
        <v>2399</v>
      </c>
      <c r="AG210" t="s">
        <v>2400</v>
      </c>
      <c r="AH210" t="s">
        <v>2399</v>
      </c>
      <c r="AI210" t="s">
        <v>605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120.5</v>
      </c>
      <c r="AP210">
        <v>0.6</v>
      </c>
      <c r="AV210">
        <v>-1</v>
      </c>
    </row>
    <row r="211" spans="1:48" x14ac:dyDescent="0.55000000000000004">
      <c r="A211" t="str">
        <f>HYPERLINK("https://www.infodis.net/philips/net/Shipment/Details?InfodisNumber=1558466&amp;DomainCode=PHILIPSM1", "1558466")</f>
        <v>1558466</v>
      </c>
      <c r="B211" t="s">
        <v>3111</v>
      </c>
      <c r="C211" t="s">
        <v>2080</v>
      </c>
      <c r="D211" t="s">
        <v>2081</v>
      </c>
      <c r="E211" t="s">
        <v>2089</v>
      </c>
      <c r="F211" t="s">
        <v>3101</v>
      </c>
      <c r="G211" t="s">
        <v>1430</v>
      </c>
      <c r="H211" t="s">
        <v>244</v>
      </c>
      <c r="I211" t="s">
        <v>2084</v>
      </c>
      <c r="J211" t="s">
        <v>1607</v>
      </c>
      <c r="K211" t="s">
        <v>3102</v>
      </c>
      <c r="L211" t="s">
        <v>1609</v>
      </c>
      <c r="M211" t="s">
        <v>60</v>
      </c>
      <c r="P211" t="s">
        <v>1432</v>
      </c>
      <c r="Q211" t="s">
        <v>3112</v>
      </c>
      <c r="R211" t="s">
        <v>3104</v>
      </c>
      <c r="S211" s="2">
        <v>44145</v>
      </c>
      <c r="T211" s="2">
        <v>44146</v>
      </c>
      <c r="U211" s="2">
        <v>44146</v>
      </c>
      <c r="V211" s="2">
        <v>44147</v>
      </c>
      <c r="W211" s="2">
        <v>44152</v>
      </c>
      <c r="Y211" t="s">
        <v>2387</v>
      </c>
      <c r="Z211" t="s">
        <v>2387</v>
      </c>
      <c r="AA211" t="s">
        <v>603</v>
      </c>
      <c r="AB211" t="s">
        <v>67</v>
      </c>
      <c r="AC211" t="s">
        <v>67</v>
      </c>
      <c r="AD211" t="s">
        <v>68</v>
      </c>
      <c r="AF211" t="s">
        <v>2610</v>
      </c>
      <c r="AG211" t="s">
        <v>2611</v>
      </c>
      <c r="AH211" t="s">
        <v>2610</v>
      </c>
      <c r="AI211" t="s">
        <v>605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5.2</v>
      </c>
      <c r="AP211">
        <v>0.104</v>
      </c>
      <c r="AV211">
        <v>-1</v>
      </c>
    </row>
    <row r="212" spans="1:48" x14ac:dyDescent="0.55000000000000004">
      <c r="A212" t="str">
        <f>HYPERLINK("https://www.infodis.net/philips/net/Shipment/Details?InfodisNumber=1558477&amp;DomainCode=PHILIPSM1", "1558477")</f>
        <v>1558477</v>
      </c>
      <c r="B212" t="s">
        <v>3113</v>
      </c>
      <c r="C212" t="s">
        <v>2491</v>
      </c>
      <c r="D212" t="s">
        <v>2492</v>
      </c>
      <c r="E212" t="s">
        <v>2491</v>
      </c>
      <c r="F212" t="s">
        <v>3114</v>
      </c>
      <c r="G212" t="s">
        <v>1431</v>
      </c>
      <c r="H212" t="s">
        <v>180</v>
      </c>
      <c r="I212" t="s">
        <v>2494</v>
      </c>
      <c r="J212" t="s">
        <v>2308</v>
      </c>
      <c r="K212" t="s">
        <v>3115</v>
      </c>
      <c r="L212" t="s">
        <v>2134</v>
      </c>
      <c r="M212" t="s">
        <v>60</v>
      </c>
      <c r="P212" t="s">
        <v>1434</v>
      </c>
      <c r="Q212" t="s">
        <v>3116</v>
      </c>
      <c r="S212" s="2">
        <v>44145</v>
      </c>
      <c r="T212" s="2">
        <v>44145</v>
      </c>
      <c r="U212" s="2">
        <v>44146</v>
      </c>
      <c r="V212" s="2">
        <v>44145</v>
      </c>
      <c r="W212" s="2">
        <v>44147</v>
      </c>
      <c r="Y212" t="s">
        <v>2387</v>
      </c>
      <c r="Z212" t="s">
        <v>2387</v>
      </c>
      <c r="AA212" t="s">
        <v>603</v>
      </c>
      <c r="AB212" t="s">
        <v>67</v>
      </c>
      <c r="AC212" t="s">
        <v>67</v>
      </c>
      <c r="AD212" t="s">
        <v>68</v>
      </c>
      <c r="AF212" t="s">
        <v>2499</v>
      </c>
      <c r="AG212" t="s">
        <v>2500</v>
      </c>
      <c r="AH212" t="s">
        <v>2499</v>
      </c>
      <c r="AI212" t="s">
        <v>605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241.3</v>
      </c>
      <c r="AP212">
        <v>2.1030000000000002</v>
      </c>
      <c r="AV212">
        <v>-1</v>
      </c>
    </row>
    <row r="213" spans="1:48" x14ac:dyDescent="0.55000000000000004">
      <c r="A213" t="str">
        <f>HYPERLINK("https://www.infodis.net/philips/net/Shipment/Details?InfodisNumber=1558502&amp;DomainCode=PHILIPSM1", "1558502")</f>
        <v>1558502</v>
      </c>
      <c r="B213" t="s">
        <v>3117</v>
      </c>
      <c r="C213" t="s">
        <v>2491</v>
      </c>
      <c r="D213" t="s">
        <v>2492</v>
      </c>
      <c r="E213" t="s">
        <v>2491</v>
      </c>
      <c r="F213" t="s">
        <v>3114</v>
      </c>
      <c r="G213" t="s">
        <v>1431</v>
      </c>
      <c r="H213" t="s">
        <v>180</v>
      </c>
      <c r="I213" t="s">
        <v>2494</v>
      </c>
      <c r="J213" t="s">
        <v>2308</v>
      </c>
      <c r="K213" t="s">
        <v>3115</v>
      </c>
      <c r="L213" t="s">
        <v>2134</v>
      </c>
      <c r="M213" t="s">
        <v>60</v>
      </c>
      <c r="P213" t="s">
        <v>1434</v>
      </c>
      <c r="Q213" t="s">
        <v>3118</v>
      </c>
      <c r="S213" s="2">
        <v>44145</v>
      </c>
      <c r="T213" s="2">
        <v>44145</v>
      </c>
      <c r="U213" s="2">
        <v>44145</v>
      </c>
      <c r="V213" s="2">
        <v>44145</v>
      </c>
      <c r="W213" s="2">
        <v>44147</v>
      </c>
      <c r="Y213" t="s">
        <v>2387</v>
      </c>
      <c r="Z213" t="s">
        <v>2387</v>
      </c>
      <c r="AA213" t="s">
        <v>603</v>
      </c>
      <c r="AB213" t="s">
        <v>67</v>
      </c>
      <c r="AC213" t="s">
        <v>67</v>
      </c>
      <c r="AD213" t="s">
        <v>68</v>
      </c>
      <c r="AF213" t="s">
        <v>2499</v>
      </c>
      <c r="AG213" t="s">
        <v>2500</v>
      </c>
      <c r="AH213" t="s">
        <v>2499</v>
      </c>
      <c r="AI213" t="s">
        <v>605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198.7</v>
      </c>
      <c r="AP213">
        <v>1.9510000000000001</v>
      </c>
      <c r="AV213">
        <v>-1</v>
      </c>
    </row>
    <row r="214" spans="1:48" x14ac:dyDescent="0.55000000000000004">
      <c r="A214" t="str">
        <f>HYPERLINK("https://www.infodis.net/philips/net/Shipment/Details?InfodisNumber=1558559&amp;DomainCode=PHILIPSM1", "1558559")</f>
        <v>1558559</v>
      </c>
      <c r="B214" t="s">
        <v>3119</v>
      </c>
      <c r="C214" t="s">
        <v>2353</v>
      </c>
      <c r="D214" t="s">
        <v>2354</v>
      </c>
      <c r="E214" t="s">
        <v>2355</v>
      </c>
      <c r="F214" t="s">
        <v>2356</v>
      </c>
      <c r="G214" t="s">
        <v>667</v>
      </c>
      <c r="H214" t="s">
        <v>79</v>
      </c>
      <c r="I214" t="s">
        <v>1813</v>
      </c>
      <c r="J214" t="s">
        <v>2357</v>
      </c>
      <c r="K214" t="s">
        <v>2248</v>
      </c>
      <c r="L214" t="s">
        <v>230</v>
      </c>
      <c r="M214" t="s">
        <v>60</v>
      </c>
      <c r="P214" t="s">
        <v>1853</v>
      </c>
      <c r="Q214" t="s">
        <v>3120</v>
      </c>
      <c r="R214" t="s">
        <v>2293</v>
      </c>
      <c r="S214" s="2">
        <v>44146</v>
      </c>
      <c r="T214" s="2">
        <v>44146</v>
      </c>
      <c r="U214" s="2">
        <v>44146</v>
      </c>
      <c r="V214" s="2">
        <v>44149</v>
      </c>
      <c r="W214" s="2">
        <v>44147</v>
      </c>
      <c r="Y214" t="s">
        <v>2359</v>
      </c>
      <c r="Z214" t="s">
        <v>2359</v>
      </c>
      <c r="AA214" t="s">
        <v>603</v>
      </c>
      <c r="AB214" t="s">
        <v>67</v>
      </c>
      <c r="AC214" t="s">
        <v>67</v>
      </c>
      <c r="AD214" t="s">
        <v>68</v>
      </c>
      <c r="AF214" t="s">
        <v>2179</v>
      </c>
      <c r="AG214" t="s">
        <v>2180</v>
      </c>
      <c r="AH214" t="s">
        <v>2179</v>
      </c>
      <c r="AI214" t="s">
        <v>605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2.5</v>
      </c>
      <c r="AP214">
        <v>2.1000000000000001E-2</v>
      </c>
      <c r="AV214">
        <v>-1</v>
      </c>
    </row>
    <row r="215" spans="1:48" x14ac:dyDescent="0.55000000000000004">
      <c r="A215" t="str">
        <f>HYPERLINK("https://www.infodis.net/philips/net/Shipment/Details?InfodisNumber=7000203&amp;DomainCode=PHILIPSR1", "7000203")</f>
        <v>7000203</v>
      </c>
      <c r="B215" t="s">
        <v>3121</v>
      </c>
      <c r="C215" t="s">
        <v>2806</v>
      </c>
      <c r="D215" t="s">
        <v>2807</v>
      </c>
      <c r="E215" t="s">
        <v>914</v>
      </c>
      <c r="F215" t="s">
        <v>3074</v>
      </c>
      <c r="G215" t="s">
        <v>247</v>
      </c>
      <c r="H215" t="s">
        <v>180</v>
      </c>
      <c r="I215" t="s">
        <v>2625</v>
      </c>
      <c r="J215" t="s">
        <v>3075</v>
      </c>
      <c r="K215" t="s">
        <v>3076</v>
      </c>
      <c r="L215" t="s">
        <v>1263</v>
      </c>
      <c r="M215" t="s">
        <v>60</v>
      </c>
      <c r="P215" t="s">
        <v>251</v>
      </c>
      <c r="Q215" t="s">
        <v>3122</v>
      </c>
      <c r="R215" t="s">
        <v>3074</v>
      </c>
      <c r="S215" s="2">
        <v>44154</v>
      </c>
      <c r="T215" s="2">
        <v>44154</v>
      </c>
      <c r="U215" s="2">
        <v>44154</v>
      </c>
      <c r="V215" s="2">
        <v>44157</v>
      </c>
      <c r="W215" s="2">
        <v>44158</v>
      </c>
      <c r="Y215" t="s">
        <v>1735</v>
      </c>
      <c r="Z215" t="s">
        <v>1735</v>
      </c>
      <c r="AA215" t="s">
        <v>66</v>
      </c>
      <c r="AB215" t="s">
        <v>67</v>
      </c>
      <c r="AC215" t="s">
        <v>67</v>
      </c>
      <c r="AD215" t="s">
        <v>68</v>
      </c>
      <c r="AF215" t="s">
        <v>2179</v>
      </c>
      <c r="AG215" t="s">
        <v>2180</v>
      </c>
      <c r="AH215" t="s">
        <v>2179</v>
      </c>
      <c r="AI215" t="s">
        <v>252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1.5</v>
      </c>
      <c r="AP215">
        <v>1.2999999999999999E-2</v>
      </c>
      <c r="AV215">
        <v>-1</v>
      </c>
    </row>
    <row r="216" spans="1:48" x14ac:dyDescent="0.55000000000000004">
      <c r="A216" t="str">
        <f>HYPERLINK("https://www.infodis.net/philips/net/Shipment/Details?InfodisNumber=1558579&amp;DomainCode=PHILIPSM1", "1558579")</f>
        <v>1558579</v>
      </c>
      <c r="B216" t="s">
        <v>3123</v>
      </c>
      <c r="C216" t="s">
        <v>2080</v>
      </c>
      <c r="D216" t="s">
        <v>2081</v>
      </c>
      <c r="E216" t="s">
        <v>2082</v>
      </c>
      <c r="F216" t="s">
        <v>2884</v>
      </c>
      <c r="G216" t="s">
        <v>1430</v>
      </c>
      <c r="H216" t="s">
        <v>244</v>
      </c>
      <c r="I216" t="s">
        <v>2084</v>
      </c>
      <c r="J216" t="s">
        <v>1301</v>
      </c>
      <c r="K216" t="s">
        <v>2885</v>
      </c>
      <c r="L216" t="s">
        <v>1303</v>
      </c>
      <c r="M216" t="s">
        <v>60</v>
      </c>
      <c r="P216" t="s">
        <v>1432</v>
      </c>
      <c r="Q216" t="s">
        <v>3124</v>
      </c>
      <c r="R216" t="s">
        <v>2887</v>
      </c>
      <c r="S216" s="2">
        <v>44146</v>
      </c>
      <c r="T216" s="2">
        <v>44147</v>
      </c>
      <c r="U216" s="2">
        <v>44147</v>
      </c>
      <c r="V216" s="2">
        <v>44148</v>
      </c>
      <c r="W216" s="2">
        <v>44153</v>
      </c>
      <c r="Y216" t="s">
        <v>2387</v>
      </c>
      <c r="Z216" t="s">
        <v>2387</v>
      </c>
      <c r="AA216" t="s">
        <v>603</v>
      </c>
      <c r="AB216" t="s">
        <v>67</v>
      </c>
      <c r="AC216" t="s">
        <v>67</v>
      </c>
      <c r="AD216" t="s">
        <v>68</v>
      </c>
      <c r="AF216" t="s">
        <v>2610</v>
      </c>
      <c r="AG216" t="s">
        <v>2611</v>
      </c>
      <c r="AH216" t="s">
        <v>2610</v>
      </c>
      <c r="AI216" t="s">
        <v>605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26.2</v>
      </c>
      <c r="AP216">
        <v>0.34899999999999998</v>
      </c>
      <c r="AV216">
        <v>-1</v>
      </c>
    </row>
    <row r="217" spans="1:48" x14ac:dyDescent="0.55000000000000004">
      <c r="A217" t="str">
        <f>HYPERLINK("https://www.infodis.net/philips/net/Shipment/Details?InfodisNumber=4555537&amp;DomainCode=DAP", "4555537")</f>
        <v>4555537</v>
      </c>
      <c r="B217" t="s">
        <v>3125</v>
      </c>
      <c r="C217" t="s">
        <v>2402</v>
      </c>
      <c r="D217" t="s">
        <v>2403</v>
      </c>
      <c r="E217" t="s">
        <v>2402</v>
      </c>
      <c r="F217" t="s">
        <v>167</v>
      </c>
      <c r="G217" t="s">
        <v>2404</v>
      </c>
      <c r="H217" t="s">
        <v>881</v>
      </c>
      <c r="J217" t="s">
        <v>2405</v>
      </c>
      <c r="K217" t="s">
        <v>1125</v>
      </c>
      <c r="L217" t="s">
        <v>172</v>
      </c>
      <c r="M217" t="s">
        <v>1489</v>
      </c>
      <c r="P217" t="s">
        <v>2406</v>
      </c>
      <c r="R217" t="s">
        <v>1128</v>
      </c>
      <c r="S217" s="2">
        <v>44146</v>
      </c>
      <c r="T217" s="2">
        <v>44147</v>
      </c>
      <c r="V217" s="2">
        <v>44150</v>
      </c>
      <c r="Y217" t="s">
        <v>2398</v>
      </c>
      <c r="Z217" t="s">
        <v>2398</v>
      </c>
      <c r="AA217" t="s">
        <v>2398</v>
      </c>
      <c r="AB217" t="s">
        <v>67</v>
      </c>
      <c r="AC217" t="s">
        <v>67</v>
      </c>
      <c r="AD217" t="s">
        <v>67</v>
      </c>
      <c r="AF217" t="s">
        <v>2179</v>
      </c>
      <c r="AG217" t="s">
        <v>2180</v>
      </c>
      <c r="AH217" t="s">
        <v>2179</v>
      </c>
      <c r="AI217" t="s">
        <v>73</v>
      </c>
      <c r="AJ217">
        <v>0</v>
      </c>
      <c r="AK217">
        <v>0</v>
      </c>
      <c r="AL217">
        <v>0</v>
      </c>
      <c r="AM217">
        <v>0</v>
      </c>
      <c r="AN217">
        <v>9</v>
      </c>
      <c r="AO217">
        <v>1137.5</v>
      </c>
      <c r="AP217">
        <v>-1</v>
      </c>
      <c r="AV217">
        <v>-1</v>
      </c>
    </row>
    <row r="218" spans="1:48" x14ac:dyDescent="0.55000000000000004">
      <c r="A218" t="str">
        <f>HYPERLINK("https://www.infodis.net/philips/net/Shipment/Details?InfodisNumber=4555544&amp;DomainCode=DAP", "4555544")</f>
        <v>4555544</v>
      </c>
      <c r="B218" t="s">
        <v>3126</v>
      </c>
      <c r="C218" t="s">
        <v>212</v>
      </c>
      <c r="D218" t="s">
        <v>213</v>
      </c>
      <c r="E218" t="s">
        <v>214</v>
      </c>
      <c r="F218" t="s">
        <v>1078</v>
      </c>
      <c r="G218" t="s">
        <v>216</v>
      </c>
      <c r="H218" t="s">
        <v>55</v>
      </c>
      <c r="I218" t="s">
        <v>2367</v>
      </c>
      <c r="J218" t="s">
        <v>2368</v>
      </c>
      <c r="K218" t="s">
        <v>269</v>
      </c>
      <c r="L218" t="s">
        <v>180</v>
      </c>
      <c r="M218" t="s">
        <v>60</v>
      </c>
      <c r="P218" t="s">
        <v>2369</v>
      </c>
      <c r="Q218" t="s">
        <v>3127</v>
      </c>
      <c r="R218" t="s">
        <v>271</v>
      </c>
      <c r="S218" s="2">
        <v>44146</v>
      </c>
      <c r="T218" s="2">
        <v>44147</v>
      </c>
      <c r="U218" s="2">
        <v>44147</v>
      </c>
      <c r="V218" s="2">
        <v>44150</v>
      </c>
      <c r="Y218" t="s">
        <v>2371</v>
      </c>
      <c r="Z218" t="s">
        <v>2371</v>
      </c>
      <c r="AA218" t="s">
        <v>2371</v>
      </c>
      <c r="AB218" t="s">
        <v>67</v>
      </c>
      <c r="AC218" t="s">
        <v>67</v>
      </c>
      <c r="AD218" t="s">
        <v>67</v>
      </c>
      <c r="AF218" t="s">
        <v>2179</v>
      </c>
      <c r="AG218" t="s">
        <v>2180</v>
      </c>
      <c r="AH218" t="s">
        <v>2179</v>
      </c>
      <c r="AI218" t="s">
        <v>73</v>
      </c>
      <c r="AJ218">
        <v>0</v>
      </c>
      <c r="AK218">
        <v>0</v>
      </c>
      <c r="AL218">
        <v>0</v>
      </c>
      <c r="AM218">
        <v>0</v>
      </c>
      <c r="AN218">
        <v>4</v>
      </c>
      <c r="AO218">
        <v>640</v>
      </c>
      <c r="AP218">
        <v>5.0880000000000001</v>
      </c>
      <c r="AV218">
        <v>-1</v>
      </c>
    </row>
    <row r="219" spans="1:48" x14ac:dyDescent="0.55000000000000004">
      <c r="A219" t="str">
        <f>HYPERLINK("https://www.infodis.net/philips/net/Shipment/Details?InfodisNumber=4555547&amp;DomainCode=DAP", "4555547")</f>
        <v>4555547</v>
      </c>
      <c r="B219" t="s">
        <v>3128</v>
      </c>
      <c r="C219" t="s">
        <v>212</v>
      </c>
      <c r="D219" t="s">
        <v>213</v>
      </c>
      <c r="E219" t="s">
        <v>214</v>
      </c>
      <c r="F219" t="s">
        <v>1078</v>
      </c>
      <c r="G219" t="s">
        <v>216</v>
      </c>
      <c r="H219" t="s">
        <v>55</v>
      </c>
      <c r="I219" t="s">
        <v>2367</v>
      </c>
      <c r="J219" t="s">
        <v>2368</v>
      </c>
      <c r="K219" t="s">
        <v>269</v>
      </c>
      <c r="L219" t="s">
        <v>180</v>
      </c>
      <c r="M219" t="s">
        <v>309</v>
      </c>
      <c r="P219" t="s">
        <v>2369</v>
      </c>
      <c r="Q219" t="s">
        <v>3129</v>
      </c>
      <c r="R219" t="s">
        <v>271</v>
      </c>
      <c r="S219" s="2">
        <v>44146</v>
      </c>
      <c r="T219" s="2">
        <v>44147</v>
      </c>
      <c r="U219" s="2">
        <v>44147</v>
      </c>
      <c r="V219" s="2">
        <v>44150</v>
      </c>
      <c r="Y219" t="s">
        <v>2371</v>
      </c>
      <c r="Z219" t="s">
        <v>2371</v>
      </c>
      <c r="AA219" t="s">
        <v>2371</v>
      </c>
      <c r="AB219" t="s">
        <v>67</v>
      </c>
      <c r="AC219" t="s">
        <v>67</v>
      </c>
      <c r="AD219" t="s">
        <v>67</v>
      </c>
      <c r="AF219" t="s">
        <v>2179</v>
      </c>
      <c r="AG219" t="s">
        <v>2180</v>
      </c>
      <c r="AH219" t="s">
        <v>2179</v>
      </c>
      <c r="AI219" t="s">
        <v>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V219">
        <v>-1</v>
      </c>
    </row>
    <row r="220" spans="1:48" x14ac:dyDescent="0.55000000000000004">
      <c r="A220" t="str">
        <f>HYPERLINK("https://www.infodis.net/philips/net/Shipment/Details?InfodisNumber=4555566&amp;DomainCode=DAP", "4555566")</f>
        <v>4555566</v>
      </c>
      <c r="B220" t="s">
        <v>3130</v>
      </c>
      <c r="C220" t="s">
        <v>3131</v>
      </c>
      <c r="D220" t="s">
        <v>3132</v>
      </c>
      <c r="E220" t="s">
        <v>3131</v>
      </c>
      <c r="F220" t="s">
        <v>571</v>
      </c>
      <c r="G220" t="s">
        <v>3133</v>
      </c>
      <c r="H220" t="s">
        <v>180</v>
      </c>
      <c r="I220" t="s">
        <v>3134</v>
      </c>
      <c r="J220" t="s">
        <v>2396</v>
      </c>
      <c r="K220" t="s">
        <v>546</v>
      </c>
      <c r="L220" t="s">
        <v>79</v>
      </c>
      <c r="M220" t="s">
        <v>84</v>
      </c>
      <c r="P220" t="s">
        <v>3135</v>
      </c>
      <c r="Q220" t="s">
        <v>3136</v>
      </c>
      <c r="R220" t="s">
        <v>575</v>
      </c>
      <c r="S220" s="2">
        <v>44146</v>
      </c>
      <c r="T220" s="2">
        <v>44147</v>
      </c>
      <c r="U220" s="2">
        <v>44148</v>
      </c>
      <c r="V220" s="2">
        <v>44151</v>
      </c>
      <c r="W220" s="2">
        <v>44155</v>
      </c>
      <c r="Y220" t="s">
        <v>2411</v>
      </c>
      <c r="Z220" t="s">
        <v>2411</v>
      </c>
      <c r="AA220" t="s">
        <v>2411</v>
      </c>
      <c r="AB220" t="s">
        <v>67</v>
      </c>
      <c r="AC220" t="s">
        <v>67</v>
      </c>
      <c r="AD220" t="s">
        <v>67</v>
      </c>
      <c r="AF220" t="s">
        <v>2179</v>
      </c>
      <c r="AG220" t="s">
        <v>2180</v>
      </c>
      <c r="AH220" t="s">
        <v>2179</v>
      </c>
      <c r="AI220" t="s">
        <v>73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71.209999999999994</v>
      </c>
      <c r="AP220">
        <v>1.363</v>
      </c>
      <c r="AV220">
        <v>-1</v>
      </c>
    </row>
    <row r="221" spans="1:48" x14ac:dyDescent="0.55000000000000004">
      <c r="A221" t="str">
        <f>HYPERLINK("https://www.infodis.net/philips/net/Shipment/Details?InfodisNumber=4555627&amp;DomainCode=DAP", "4555627")</f>
        <v>4555627</v>
      </c>
      <c r="B221" t="s">
        <v>3137</v>
      </c>
      <c r="C221" t="s">
        <v>3138</v>
      </c>
      <c r="D221" t="s">
        <v>3139</v>
      </c>
      <c r="E221" t="s">
        <v>3138</v>
      </c>
      <c r="F221" t="s">
        <v>2202</v>
      </c>
      <c r="G221" t="s">
        <v>3140</v>
      </c>
      <c r="H221" t="s">
        <v>180</v>
      </c>
      <c r="I221" t="s">
        <v>3141</v>
      </c>
      <c r="J221" t="s">
        <v>2634</v>
      </c>
      <c r="K221" t="s">
        <v>2203</v>
      </c>
      <c r="L221" t="s">
        <v>2204</v>
      </c>
      <c r="M221" t="s">
        <v>84</v>
      </c>
      <c r="P221" t="s">
        <v>3142</v>
      </c>
      <c r="Q221" t="s">
        <v>3143</v>
      </c>
      <c r="R221" t="s">
        <v>2205</v>
      </c>
      <c r="S221" s="2">
        <v>44146</v>
      </c>
      <c r="T221" s="2">
        <v>44147</v>
      </c>
      <c r="U221" s="2">
        <v>44148</v>
      </c>
      <c r="V221" s="2">
        <v>44150</v>
      </c>
      <c r="W221" s="2">
        <v>44149</v>
      </c>
      <c r="X221" s="2">
        <v>44159</v>
      </c>
      <c r="Y221" t="s">
        <v>1735</v>
      </c>
      <c r="Z221" t="s">
        <v>1735</v>
      </c>
      <c r="AA221" t="s">
        <v>1735</v>
      </c>
      <c r="AB221" t="s">
        <v>67</v>
      </c>
      <c r="AC221" t="s">
        <v>67</v>
      </c>
      <c r="AD221" t="s">
        <v>67</v>
      </c>
      <c r="AF221" t="s">
        <v>2179</v>
      </c>
      <c r="AG221" t="s">
        <v>2180</v>
      </c>
      <c r="AH221" t="s">
        <v>2179</v>
      </c>
      <c r="AI221" t="s">
        <v>73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157</v>
      </c>
      <c r="AP221">
        <v>0.58799999999999997</v>
      </c>
      <c r="AV221">
        <v>-1</v>
      </c>
    </row>
    <row r="222" spans="1:48" x14ac:dyDescent="0.55000000000000004">
      <c r="A222" t="str">
        <f>HYPERLINK("https://www.infodis.net/philips/net/Shipment/Details?InfodisNumber=1561353&amp;DomainCode=PHILIPSM1", "1561353")</f>
        <v>1561353</v>
      </c>
      <c r="B222" t="s">
        <v>3144</v>
      </c>
      <c r="C222" t="s">
        <v>2080</v>
      </c>
      <c r="D222" t="s">
        <v>2081</v>
      </c>
      <c r="E222" t="s">
        <v>2089</v>
      </c>
      <c r="F222" t="s">
        <v>2606</v>
      </c>
      <c r="G222" t="s">
        <v>1430</v>
      </c>
      <c r="H222" t="s">
        <v>244</v>
      </c>
      <c r="I222" t="s">
        <v>2084</v>
      </c>
      <c r="J222" t="s">
        <v>2607</v>
      </c>
      <c r="K222" t="s">
        <v>1380</v>
      </c>
      <c r="L222" t="s">
        <v>132</v>
      </c>
      <c r="M222" t="s">
        <v>60</v>
      </c>
      <c r="P222" t="s">
        <v>1432</v>
      </c>
      <c r="Q222" t="s">
        <v>3145</v>
      </c>
      <c r="R222" t="s">
        <v>2609</v>
      </c>
      <c r="S222" s="2">
        <v>44146</v>
      </c>
      <c r="T222" s="2">
        <v>44147</v>
      </c>
      <c r="U222" s="2">
        <v>44147</v>
      </c>
      <c r="V222" s="2">
        <v>44148</v>
      </c>
      <c r="W222" s="2">
        <v>44159</v>
      </c>
      <c r="Y222" t="s">
        <v>2387</v>
      </c>
      <c r="Z222" t="s">
        <v>2387</v>
      </c>
      <c r="AA222" t="s">
        <v>603</v>
      </c>
      <c r="AB222" t="s">
        <v>67</v>
      </c>
      <c r="AC222" t="s">
        <v>67</v>
      </c>
      <c r="AD222" t="s">
        <v>68</v>
      </c>
      <c r="AF222" t="s">
        <v>2610</v>
      </c>
      <c r="AG222" t="s">
        <v>2611</v>
      </c>
      <c r="AH222" t="s">
        <v>2610</v>
      </c>
      <c r="AI222" t="s">
        <v>605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2.7</v>
      </c>
      <c r="AP222">
        <v>2.4E-2</v>
      </c>
      <c r="AV222">
        <v>-1</v>
      </c>
    </row>
    <row r="223" spans="1:48" x14ac:dyDescent="0.55000000000000004">
      <c r="A223" t="str">
        <f>HYPERLINK("https://www.infodis.net/philips/net/Shipment/Details?InfodisNumber=4556142&amp;DomainCode=DAP", "4556142")</f>
        <v>4556142</v>
      </c>
      <c r="B223" t="s">
        <v>3146</v>
      </c>
      <c r="C223" t="s">
        <v>2067</v>
      </c>
      <c r="D223" t="s">
        <v>2068</v>
      </c>
      <c r="E223" t="s">
        <v>77</v>
      </c>
      <c r="F223" t="s">
        <v>77</v>
      </c>
      <c r="G223" t="s">
        <v>216</v>
      </c>
      <c r="H223" t="s">
        <v>55</v>
      </c>
      <c r="I223" t="s">
        <v>2367</v>
      </c>
      <c r="J223" t="s">
        <v>2141</v>
      </c>
      <c r="K223" t="s">
        <v>82</v>
      </c>
      <c r="L223" t="s">
        <v>83</v>
      </c>
      <c r="M223" t="s">
        <v>1489</v>
      </c>
      <c r="P223" t="s">
        <v>2417</v>
      </c>
      <c r="R223" t="s">
        <v>87</v>
      </c>
      <c r="S223" s="2">
        <v>44147</v>
      </c>
      <c r="T223" s="2">
        <v>44148</v>
      </c>
      <c r="V223" s="2">
        <v>44153</v>
      </c>
      <c r="Y223" t="s">
        <v>2051</v>
      </c>
      <c r="Z223" t="s">
        <v>2051</v>
      </c>
      <c r="AA223" t="s">
        <v>2051</v>
      </c>
      <c r="AB223" t="s">
        <v>67</v>
      </c>
      <c r="AC223" t="s">
        <v>67</v>
      </c>
      <c r="AD223" t="s">
        <v>67</v>
      </c>
      <c r="AF223" t="s">
        <v>2399</v>
      </c>
      <c r="AG223" t="s">
        <v>2400</v>
      </c>
      <c r="AH223" t="s">
        <v>2399</v>
      </c>
      <c r="AI223" t="s">
        <v>73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300</v>
      </c>
      <c r="AP223">
        <v>2.2679999999999998</v>
      </c>
      <c r="AV223">
        <v>-1</v>
      </c>
    </row>
    <row r="224" spans="1:48" x14ac:dyDescent="0.55000000000000004">
      <c r="A224" t="str">
        <f>HYPERLINK("https://www.infodis.net/philips/net/Shipment/Details?InfodisNumber=4556084&amp;DomainCode=DAP", "4556084")</f>
        <v>4556084</v>
      </c>
      <c r="B224" t="s">
        <v>3147</v>
      </c>
      <c r="C224" t="s">
        <v>212</v>
      </c>
      <c r="D224" t="s">
        <v>213</v>
      </c>
      <c r="E224" t="s">
        <v>214</v>
      </c>
      <c r="F224" t="s">
        <v>1078</v>
      </c>
      <c r="G224" t="s">
        <v>216</v>
      </c>
      <c r="H224" t="s">
        <v>55</v>
      </c>
      <c r="I224" t="s">
        <v>2367</v>
      </c>
      <c r="J224" t="s">
        <v>2368</v>
      </c>
      <c r="K224" t="s">
        <v>269</v>
      </c>
      <c r="L224" t="s">
        <v>180</v>
      </c>
      <c r="M224" t="s">
        <v>60</v>
      </c>
      <c r="P224" t="s">
        <v>2369</v>
      </c>
      <c r="Q224" t="s">
        <v>3148</v>
      </c>
      <c r="R224" t="s">
        <v>271</v>
      </c>
      <c r="S224" s="2">
        <v>44147</v>
      </c>
      <c r="T224" s="2">
        <v>44147</v>
      </c>
      <c r="U224" s="2">
        <v>44147</v>
      </c>
      <c r="V224" s="2">
        <v>44150</v>
      </c>
      <c r="Y224" t="s">
        <v>2371</v>
      </c>
      <c r="Z224" t="s">
        <v>2371</v>
      </c>
      <c r="AA224" t="s">
        <v>2371</v>
      </c>
      <c r="AB224" t="s">
        <v>67</v>
      </c>
      <c r="AC224" t="s">
        <v>67</v>
      </c>
      <c r="AD224" t="s">
        <v>67</v>
      </c>
      <c r="AF224" t="s">
        <v>2179</v>
      </c>
      <c r="AG224" t="s">
        <v>2180</v>
      </c>
      <c r="AH224" t="s">
        <v>2179</v>
      </c>
      <c r="AI224" t="s">
        <v>73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598</v>
      </c>
      <c r="AP224">
        <v>3.1339999999999999</v>
      </c>
      <c r="AV224">
        <v>-1</v>
      </c>
    </row>
    <row r="225" spans="1:48" x14ac:dyDescent="0.55000000000000004">
      <c r="A225" t="str">
        <f>HYPERLINK("https://www.infodis.net/philips/net/Shipment/Details?InfodisNumber=4556091&amp;DomainCode=DAP", "4556091")</f>
        <v>4556091</v>
      </c>
      <c r="B225" t="s">
        <v>3149</v>
      </c>
      <c r="C225" t="s">
        <v>212</v>
      </c>
      <c r="D225" t="s">
        <v>213</v>
      </c>
      <c r="E225" t="s">
        <v>214</v>
      </c>
      <c r="F225" t="s">
        <v>1078</v>
      </c>
      <c r="G225" t="s">
        <v>216</v>
      </c>
      <c r="H225" t="s">
        <v>55</v>
      </c>
      <c r="I225" t="s">
        <v>2367</v>
      </c>
      <c r="J225" t="s">
        <v>2368</v>
      </c>
      <c r="K225" t="s">
        <v>269</v>
      </c>
      <c r="L225" t="s">
        <v>180</v>
      </c>
      <c r="M225" t="s">
        <v>309</v>
      </c>
      <c r="P225" t="s">
        <v>2369</v>
      </c>
      <c r="Q225" t="s">
        <v>3150</v>
      </c>
      <c r="R225" t="s">
        <v>271</v>
      </c>
      <c r="S225" s="2">
        <v>44147</v>
      </c>
      <c r="T225" s="2">
        <v>44147</v>
      </c>
      <c r="U225" s="2">
        <v>44147</v>
      </c>
      <c r="V225" s="2">
        <v>44150</v>
      </c>
      <c r="Y225" t="s">
        <v>2371</v>
      </c>
      <c r="Z225" t="s">
        <v>2371</v>
      </c>
      <c r="AA225" t="s">
        <v>2371</v>
      </c>
      <c r="AB225" t="s">
        <v>67</v>
      </c>
      <c r="AC225" t="s">
        <v>67</v>
      </c>
      <c r="AD225" t="s">
        <v>67</v>
      </c>
      <c r="AF225" t="s">
        <v>2179</v>
      </c>
      <c r="AG225" t="s">
        <v>2180</v>
      </c>
      <c r="AH225" t="s">
        <v>2179</v>
      </c>
      <c r="AI225" t="s">
        <v>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V225">
        <v>-1</v>
      </c>
    </row>
    <row r="226" spans="1:48" x14ac:dyDescent="0.55000000000000004">
      <c r="A226" t="str">
        <f>HYPERLINK("https://www.infodis.net/philips/net/Shipment/Details?InfodisNumber=6976078&amp;DomainCode=PHILIPSR1", "6976078")</f>
        <v>6976078</v>
      </c>
      <c r="B226" t="s">
        <v>3151</v>
      </c>
      <c r="C226" t="s">
        <v>2471</v>
      </c>
      <c r="D226" t="s">
        <v>2472</v>
      </c>
      <c r="E226" t="s">
        <v>458</v>
      </c>
      <c r="F226" t="s">
        <v>2473</v>
      </c>
      <c r="G226" t="s">
        <v>2429</v>
      </c>
      <c r="H226" t="s">
        <v>180</v>
      </c>
      <c r="I226" t="s">
        <v>652</v>
      </c>
      <c r="J226" t="s">
        <v>2396</v>
      </c>
      <c r="K226" t="s">
        <v>433</v>
      </c>
      <c r="L226" t="s">
        <v>79</v>
      </c>
      <c r="M226" t="s">
        <v>60</v>
      </c>
      <c r="P226" t="s">
        <v>613</v>
      </c>
      <c r="Q226" t="s">
        <v>3152</v>
      </c>
      <c r="R226" t="s">
        <v>2475</v>
      </c>
      <c r="S226" s="2">
        <v>44147</v>
      </c>
      <c r="T226" s="2">
        <v>44148</v>
      </c>
      <c r="U226" s="2">
        <v>44147</v>
      </c>
      <c r="V226" s="2">
        <v>44151</v>
      </c>
      <c r="W226" s="2">
        <v>44150</v>
      </c>
      <c r="Y226" t="s">
        <v>2476</v>
      </c>
      <c r="Z226" t="s">
        <v>2476</v>
      </c>
      <c r="AA226" t="s">
        <v>2476</v>
      </c>
      <c r="AB226" t="s">
        <v>67</v>
      </c>
      <c r="AC226" t="s">
        <v>67</v>
      </c>
      <c r="AD226" t="s">
        <v>67</v>
      </c>
      <c r="AF226" t="s">
        <v>2179</v>
      </c>
      <c r="AG226" t="s">
        <v>2180</v>
      </c>
      <c r="AH226" t="s">
        <v>2179</v>
      </c>
      <c r="AI226" t="s">
        <v>252</v>
      </c>
      <c r="AJ226">
        <v>0</v>
      </c>
      <c r="AK226">
        <v>0</v>
      </c>
      <c r="AL226">
        <v>0</v>
      </c>
      <c r="AM226">
        <v>0</v>
      </c>
      <c r="AN226">
        <v>2</v>
      </c>
      <c r="AO226">
        <v>131.54</v>
      </c>
      <c r="AP226">
        <v>2.2650000000000001</v>
      </c>
      <c r="AV226">
        <v>-1</v>
      </c>
    </row>
    <row r="227" spans="1:48" x14ac:dyDescent="0.55000000000000004">
      <c r="A227" t="str">
        <f>HYPERLINK("https://www.infodis.net/philips/net/Shipment/Details?InfodisNumber=6976346&amp;DomainCode=PHILIPSR1", "6976346")</f>
        <v>6976346</v>
      </c>
      <c r="B227" t="s">
        <v>3153</v>
      </c>
      <c r="C227" t="s">
        <v>2449</v>
      </c>
      <c r="D227" t="s">
        <v>2450</v>
      </c>
      <c r="E227" t="s">
        <v>2451</v>
      </c>
      <c r="F227" t="s">
        <v>2452</v>
      </c>
      <c r="G227" t="s">
        <v>2453</v>
      </c>
      <c r="H227" t="s">
        <v>443</v>
      </c>
      <c r="I227" t="s">
        <v>2454</v>
      </c>
      <c r="J227" t="s">
        <v>2455</v>
      </c>
      <c r="K227" t="s">
        <v>2456</v>
      </c>
      <c r="L227" t="s">
        <v>321</v>
      </c>
      <c r="M227" t="s">
        <v>60</v>
      </c>
      <c r="P227" t="s">
        <v>2457</v>
      </c>
      <c r="Q227" t="s">
        <v>3154</v>
      </c>
      <c r="R227" t="s">
        <v>2459</v>
      </c>
      <c r="S227" s="2">
        <v>44147</v>
      </c>
      <c r="T227" s="2">
        <v>44148</v>
      </c>
      <c r="U227" s="2">
        <v>44147</v>
      </c>
      <c r="V227" s="2">
        <v>44151</v>
      </c>
      <c r="W227" s="2">
        <v>44149</v>
      </c>
      <c r="Y227" t="s">
        <v>1735</v>
      </c>
      <c r="Z227" t="s">
        <v>1735</v>
      </c>
      <c r="AA227" t="s">
        <v>1735</v>
      </c>
      <c r="AB227" t="s">
        <v>67</v>
      </c>
      <c r="AC227" t="s">
        <v>67</v>
      </c>
      <c r="AD227" t="s">
        <v>67</v>
      </c>
      <c r="AF227" t="s">
        <v>2179</v>
      </c>
      <c r="AG227" t="s">
        <v>2180</v>
      </c>
      <c r="AH227" t="s">
        <v>2179</v>
      </c>
      <c r="AI227" t="s">
        <v>252</v>
      </c>
      <c r="AJ227">
        <v>0</v>
      </c>
      <c r="AK227">
        <v>0</v>
      </c>
      <c r="AL227">
        <v>0</v>
      </c>
      <c r="AM227">
        <v>0</v>
      </c>
      <c r="AN227">
        <v>8</v>
      </c>
      <c r="AO227">
        <v>773</v>
      </c>
      <c r="AP227">
        <v>7.181</v>
      </c>
      <c r="AV227">
        <v>-1</v>
      </c>
    </row>
    <row r="228" spans="1:48" x14ac:dyDescent="0.55000000000000004">
      <c r="A228" t="str">
        <f>HYPERLINK("https://www.infodis.net/philips/net/Shipment/Details?InfodisNumber=4556572&amp;DomainCode=DAP", "4556572")</f>
        <v>4556572</v>
      </c>
      <c r="B228" t="s">
        <v>3155</v>
      </c>
      <c r="C228" t="s">
        <v>212</v>
      </c>
      <c r="D228" t="s">
        <v>213</v>
      </c>
      <c r="E228" t="s">
        <v>214</v>
      </c>
      <c r="F228" t="s">
        <v>1078</v>
      </c>
      <c r="G228" t="s">
        <v>216</v>
      </c>
      <c r="H228" t="s">
        <v>55</v>
      </c>
      <c r="I228" t="s">
        <v>2367</v>
      </c>
      <c r="J228" t="s">
        <v>2368</v>
      </c>
      <c r="K228" t="s">
        <v>269</v>
      </c>
      <c r="L228" t="s">
        <v>180</v>
      </c>
      <c r="M228" t="s">
        <v>60</v>
      </c>
      <c r="P228" t="s">
        <v>2369</v>
      </c>
      <c r="Q228" t="s">
        <v>3156</v>
      </c>
      <c r="R228" t="s">
        <v>271</v>
      </c>
      <c r="S228" s="2">
        <v>44147</v>
      </c>
      <c r="T228" s="2">
        <v>44148</v>
      </c>
      <c r="U228" s="2">
        <v>44148</v>
      </c>
      <c r="V228" s="2">
        <v>44151</v>
      </c>
      <c r="Y228" t="s">
        <v>2371</v>
      </c>
      <c r="Z228" t="s">
        <v>2371</v>
      </c>
      <c r="AA228" t="s">
        <v>2371</v>
      </c>
      <c r="AB228" t="s">
        <v>67</v>
      </c>
      <c r="AC228" t="s">
        <v>67</v>
      </c>
      <c r="AD228" t="s">
        <v>67</v>
      </c>
      <c r="AF228" t="s">
        <v>2179</v>
      </c>
      <c r="AG228" t="s">
        <v>2180</v>
      </c>
      <c r="AH228" t="s">
        <v>2179</v>
      </c>
      <c r="AI228" t="s">
        <v>73</v>
      </c>
      <c r="AJ228">
        <v>0</v>
      </c>
      <c r="AK228">
        <v>0</v>
      </c>
      <c r="AL228">
        <v>0</v>
      </c>
      <c r="AM228">
        <v>0</v>
      </c>
      <c r="AN228">
        <v>4</v>
      </c>
      <c r="AO228">
        <v>652</v>
      </c>
      <c r="AP228">
        <v>5.0880000000000001</v>
      </c>
      <c r="AV228">
        <v>-1</v>
      </c>
    </row>
    <row r="229" spans="1:48" x14ac:dyDescent="0.55000000000000004">
      <c r="A229" t="str">
        <f>HYPERLINK("https://www.infodis.net/philips/net/Shipment/Details?InfodisNumber=4556576&amp;DomainCode=DAP", "4556576")</f>
        <v>4556576</v>
      </c>
      <c r="B229" t="s">
        <v>3157</v>
      </c>
      <c r="C229" t="s">
        <v>212</v>
      </c>
      <c r="D229" t="s">
        <v>213</v>
      </c>
      <c r="E229" t="s">
        <v>214</v>
      </c>
      <c r="F229" t="s">
        <v>1078</v>
      </c>
      <c r="G229" t="s">
        <v>216</v>
      </c>
      <c r="H229" t="s">
        <v>55</v>
      </c>
      <c r="I229" t="s">
        <v>2367</v>
      </c>
      <c r="J229" t="s">
        <v>2368</v>
      </c>
      <c r="K229" t="s">
        <v>269</v>
      </c>
      <c r="L229" t="s">
        <v>180</v>
      </c>
      <c r="M229" t="s">
        <v>309</v>
      </c>
      <c r="P229" t="s">
        <v>2369</v>
      </c>
      <c r="Q229" t="s">
        <v>3158</v>
      </c>
      <c r="R229" t="s">
        <v>271</v>
      </c>
      <c r="S229" s="2">
        <v>44147</v>
      </c>
      <c r="T229" s="2">
        <v>44148</v>
      </c>
      <c r="U229" s="2">
        <v>44148</v>
      </c>
      <c r="V229" s="2">
        <v>44151</v>
      </c>
      <c r="Y229" t="s">
        <v>2371</v>
      </c>
      <c r="Z229" t="s">
        <v>2371</v>
      </c>
      <c r="AA229" t="s">
        <v>2371</v>
      </c>
      <c r="AB229" t="s">
        <v>67</v>
      </c>
      <c r="AC229" t="s">
        <v>67</v>
      </c>
      <c r="AD229" t="s">
        <v>67</v>
      </c>
      <c r="AF229" t="s">
        <v>2179</v>
      </c>
      <c r="AG229" t="s">
        <v>2180</v>
      </c>
      <c r="AH229" t="s">
        <v>2179</v>
      </c>
      <c r="AI229" t="s">
        <v>73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V229">
        <v>-1</v>
      </c>
    </row>
    <row r="230" spans="1:48" x14ac:dyDescent="0.55000000000000004">
      <c r="A230" t="str">
        <f>HYPERLINK("https://www.infodis.net/philips/net/Shipment/Details?InfodisNumber=1561450&amp;DomainCode=PHILIPSM1", "1561450")</f>
        <v>1561450</v>
      </c>
      <c r="B230" t="s">
        <v>3159</v>
      </c>
      <c r="C230" t="s">
        <v>2491</v>
      </c>
      <c r="D230" t="s">
        <v>2492</v>
      </c>
      <c r="E230" t="s">
        <v>2491</v>
      </c>
      <c r="F230" t="s">
        <v>3160</v>
      </c>
      <c r="G230" t="s">
        <v>1431</v>
      </c>
      <c r="H230" t="s">
        <v>180</v>
      </c>
      <c r="I230" t="s">
        <v>2494</v>
      </c>
      <c r="J230" t="s">
        <v>2308</v>
      </c>
      <c r="K230" t="s">
        <v>2430</v>
      </c>
      <c r="L230" t="s">
        <v>2134</v>
      </c>
      <c r="M230" t="s">
        <v>60</v>
      </c>
      <c r="P230" t="s">
        <v>1434</v>
      </c>
      <c r="Q230" t="s">
        <v>3161</v>
      </c>
      <c r="R230" t="s">
        <v>3162</v>
      </c>
      <c r="S230" s="2">
        <v>44147</v>
      </c>
      <c r="T230" s="2">
        <v>44147</v>
      </c>
      <c r="U230" s="2">
        <v>44147</v>
      </c>
      <c r="V230" s="2">
        <v>44150</v>
      </c>
      <c r="W230" s="2">
        <v>44156</v>
      </c>
      <c r="Y230" t="s">
        <v>2387</v>
      </c>
      <c r="Z230" t="s">
        <v>2387</v>
      </c>
      <c r="AA230" t="s">
        <v>603</v>
      </c>
      <c r="AB230" t="s">
        <v>67</v>
      </c>
      <c r="AC230" t="s">
        <v>67</v>
      </c>
      <c r="AD230" t="s">
        <v>68</v>
      </c>
      <c r="AF230" t="s">
        <v>2179</v>
      </c>
      <c r="AG230" t="s">
        <v>2180</v>
      </c>
      <c r="AH230" t="s">
        <v>2179</v>
      </c>
      <c r="AI230" t="s">
        <v>605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98</v>
      </c>
      <c r="AP230">
        <v>0.65500000000000003</v>
      </c>
      <c r="AV230">
        <v>-1</v>
      </c>
    </row>
    <row r="231" spans="1:48" x14ac:dyDescent="0.55000000000000004">
      <c r="A231" t="str">
        <f>HYPERLINK("https://www.infodis.net/philips/net/Shipment/Details?InfodisNumber=1561472&amp;DomainCode=PHILIPSM1", "1561472")</f>
        <v>1561472</v>
      </c>
      <c r="B231" t="s">
        <v>3163</v>
      </c>
      <c r="C231" t="s">
        <v>2491</v>
      </c>
      <c r="D231" t="s">
        <v>2492</v>
      </c>
      <c r="E231" t="s">
        <v>2491</v>
      </c>
      <c r="F231" t="s">
        <v>2977</v>
      </c>
      <c r="G231" t="s">
        <v>1431</v>
      </c>
      <c r="H231" t="s">
        <v>180</v>
      </c>
      <c r="I231" t="s">
        <v>2494</v>
      </c>
      <c r="J231" t="s">
        <v>2978</v>
      </c>
      <c r="K231" t="s">
        <v>2979</v>
      </c>
      <c r="L231" t="s">
        <v>2980</v>
      </c>
      <c r="M231" t="s">
        <v>60</v>
      </c>
      <c r="P231" t="s">
        <v>1434</v>
      </c>
      <c r="Q231" t="s">
        <v>3164</v>
      </c>
      <c r="R231" t="s">
        <v>2982</v>
      </c>
      <c r="S231" s="2">
        <v>44147</v>
      </c>
      <c r="T231" s="2">
        <v>44147</v>
      </c>
      <c r="U231" s="2">
        <v>44147</v>
      </c>
      <c r="V231" s="2">
        <v>44150</v>
      </c>
      <c r="Y231" t="s">
        <v>2387</v>
      </c>
      <c r="Z231" t="s">
        <v>2387</v>
      </c>
      <c r="AA231" t="s">
        <v>603</v>
      </c>
      <c r="AB231" t="s">
        <v>67</v>
      </c>
      <c r="AC231" t="s">
        <v>67</v>
      </c>
      <c r="AD231" t="s">
        <v>68</v>
      </c>
      <c r="AF231" t="s">
        <v>2179</v>
      </c>
      <c r="AG231" t="s">
        <v>2180</v>
      </c>
      <c r="AH231" t="s">
        <v>2179</v>
      </c>
      <c r="AI231" t="s">
        <v>605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88</v>
      </c>
      <c r="AP231">
        <v>1.369</v>
      </c>
      <c r="AV231">
        <v>-1</v>
      </c>
    </row>
    <row r="232" spans="1:48" x14ac:dyDescent="0.55000000000000004">
      <c r="A232" t="str">
        <f>HYPERLINK("https://www.infodis.net/philips/net/Shipment/Details?InfodisNumber=1561530&amp;DomainCode=PHILIPSM1", "1561530")</f>
        <v>1561530</v>
      </c>
      <c r="B232" t="s">
        <v>3165</v>
      </c>
      <c r="C232" t="s">
        <v>2080</v>
      </c>
      <c r="D232" t="s">
        <v>2081</v>
      </c>
      <c r="E232" t="s">
        <v>1428</v>
      </c>
      <c r="F232" t="s">
        <v>3166</v>
      </c>
      <c r="G232" t="s">
        <v>1430</v>
      </c>
      <c r="H232" t="s">
        <v>244</v>
      </c>
      <c r="I232" t="s">
        <v>2084</v>
      </c>
      <c r="J232" t="s">
        <v>3167</v>
      </c>
      <c r="K232" t="s">
        <v>3168</v>
      </c>
      <c r="L232" t="s">
        <v>125</v>
      </c>
      <c r="M232" t="s">
        <v>60</v>
      </c>
      <c r="P232" t="s">
        <v>1432</v>
      </c>
      <c r="Q232" t="s">
        <v>3169</v>
      </c>
      <c r="R232" t="s">
        <v>3170</v>
      </c>
      <c r="S232" s="2">
        <v>44148</v>
      </c>
      <c r="T232" s="2">
        <v>44148</v>
      </c>
      <c r="U232" s="2">
        <v>44154</v>
      </c>
      <c r="V232" s="2">
        <v>44151</v>
      </c>
      <c r="W232" s="2">
        <v>44157</v>
      </c>
      <c r="Y232" t="s">
        <v>2387</v>
      </c>
      <c r="Z232" t="s">
        <v>2387</v>
      </c>
      <c r="AA232" t="s">
        <v>603</v>
      </c>
      <c r="AB232" t="s">
        <v>67</v>
      </c>
      <c r="AC232" t="s">
        <v>67</v>
      </c>
      <c r="AD232" t="s">
        <v>68</v>
      </c>
      <c r="AF232" t="s">
        <v>2179</v>
      </c>
      <c r="AG232" t="s">
        <v>2180</v>
      </c>
      <c r="AH232" t="s">
        <v>2179</v>
      </c>
      <c r="AI232" t="s">
        <v>605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180.9</v>
      </c>
      <c r="AP232">
        <v>1.01</v>
      </c>
      <c r="AV232">
        <v>-1</v>
      </c>
    </row>
    <row r="233" spans="1:48" x14ac:dyDescent="0.55000000000000004">
      <c r="A233" t="str">
        <f>HYPERLINK("https://www.infodis.net/philips/net/Shipment/Details?InfodisNumber=4557270&amp;DomainCode=DAP", "4557270")</f>
        <v>4557270</v>
      </c>
      <c r="B233" t="s">
        <v>3171</v>
      </c>
      <c r="C233" t="s">
        <v>212</v>
      </c>
      <c r="D233" t="s">
        <v>213</v>
      </c>
      <c r="E233" t="s">
        <v>214</v>
      </c>
      <c r="F233" t="s">
        <v>1078</v>
      </c>
      <c r="G233" t="s">
        <v>216</v>
      </c>
      <c r="H233" t="s">
        <v>55</v>
      </c>
      <c r="I233" t="s">
        <v>2367</v>
      </c>
      <c r="J233" t="s">
        <v>2368</v>
      </c>
      <c r="K233" t="s">
        <v>269</v>
      </c>
      <c r="L233" t="s">
        <v>180</v>
      </c>
      <c r="M233" t="s">
        <v>309</v>
      </c>
      <c r="P233" t="s">
        <v>2369</v>
      </c>
      <c r="Q233" t="s">
        <v>3172</v>
      </c>
      <c r="R233" t="s">
        <v>271</v>
      </c>
      <c r="S233" s="2">
        <v>44148</v>
      </c>
      <c r="T233" s="2">
        <v>44148</v>
      </c>
      <c r="U233" s="2">
        <v>44148</v>
      </c>
      <c r="V233" s="2">
        <v>44151</v>
      </c>
      <c r="Y233" t="s">
        <v>2371</v>
      </c>
      <c r="Z233" t="s">
        <v>2371</v>
      </c>
      <c r="AA233" t="s">
        <v>2371</v>
      </c>
      <c r="AB233" t="s">
        <v>67</v>
      </c>
      <c r="AC233" t="s">
        <v>67</v>
      </c>
      <c r="AD233" t="s">
        <v>67</v>
      </c>
      <c r="AF233" t="s">
        <v>2179</v>
      </c>
      <c r="AG233" t="s">
        <v>2180</v>
      </c>
      <c r="AH233" t="s">
        <v>2179</v>
      </c>
      <c r="AI233" t="s">
        <v>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V233">
        <v>-1</v>
      </c>
    </row>
    <row r="234" spans="1:48" x14ac:dyDescent="0.55000000000000004">
      <c r="A234" t="str">
        <f>HYPERLINK("https://www.infodis.net/philips/net/Shipment/Details?InfodisNumber=4557454&amp;DomainCode=DAP", "4557454")</f>
        <v>4557454</v>
      </c>
      <c r="B234" t="s">
        <v>3173</v>
      </c>
      <c r="C234" t="s">
        <v>2402</v>
      </c>
      <c r="D234" t="s">
        <v>2403</v>
      </c>
      <c r="E234" t="s">
        <v>2402</v>
      </c>
      <c r="F234" t="s">
        <v>167</v>
      </c>
      <c r="G234" t="s">
        <v>2404</v>
      </c>
      <c r="H234" t="s">
        <v>881</v>
      </c>
      <c r="J234" t="s">
        <v>2405</v>
      </c>
      <c r="K234" t="s">
        <v>1125</v>
      </c>
      <c r="L234" t="s">
        <v>172</v>
      </c>
      <c r="M234" t="s">
        <v>1489</v>
      </c>
      <c r="P234" t="s">
        <v>2406</v>
      </c>
      <c r="R234" t="s">
        <v>1128</v>
      </c>
      <c r="S234" s="2">
        <v>44148</v>
      </c>
      <c r="T234" s="2">
        <v>44148</v>
      </c>
      <c r="V234" s="2">
        <v>44151</v>
      </c>
      <c r="Y234" t="s">
        <v>2398</v>
      </c>
      <c r="Z234" t="s">
        <v>2398</v>
      </c>
      <c r="AA234" t="s">
        <v>2398</v>
      </c>
      <c r="AB234" t="s">
        <v>67</v>
      </c>
      <c r="AC234" t="s">
        <v>67</v>
      </c>
      <c r="AD234" t="s">
        <v>67</v>
      </c>
      <c r="AF234" t="s">
        <v>2179</v>
      </c>
      <c r="AG234" t="s">
        <v>2180</v>
      </c>
      <c r="AH234" t="s">
        <v>2179</v>
      </c>
      <c r="AI234" t="s">
        <v>73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268.5</v>
      </c>
      <c r="AP234">
        <v>-1</v>
      </c>
      <c r="AV234">
        <v>-1</v>
      </c>
    </row>
    <row r="235" spans="1:48" x14ac:dyDescent="0.55000000000000004">
      <c r="A235" t="str">
        <f>HYPERLINK("https://www.infodis.net/philips/net/Shipment/Details?InfodisNumber=6979343&amp;DomainCode=PHILIPSR1", "6979343")</f>
        <v>6979343</v>
      </c>
      <c r="B235" t="s">
        <v>3174</v>
      </c>
      <c r="C235" t="s">
        <v>2426</v>
      </c>
      <c r="D235" t="s">
        <v>2427</v>
      </c>
      <c r="E235" t="s">
        <v>458</v>
      </c>
      <c r="F235" t="s">
        <v>2513</v>
      </c>
      <c r="G235" t="s">
        <v>2429</v>
      </c>
      <c r="H235" t="s">
        <v>180</v>
      </c>
      <c r="I235" t="s">
        <v>652</v>
      </c>
      <c r="J235" t="s">
        <v>2396</v>
      </c>
      <c r="K235" t="s">
        <v>433</v>
      </c>
      <c r="L235" t="s">
        <v>79</v>
      </c>
      <c r="M235" t="s">
        <v>60</v>
      </c>
      <c r="P235" t="s">
        <v>613</v>
      </c>
      <c r="Q235" t="s">
        <v>3175</v>
      </c>
      <c r="R235" t="s">
        <v>2475</v>
      </c>
      <c r="S235" s="2">
        <v>44148</v>
      </c>
      <c r="T235" s="2">
        <v>44148</v>
      </c>
      <c r="U235" s="2">
        <v>44153</v>
      </c>
      <c r="V235" s="2">
        <v>44153</v>
      </c>
      <c r="Y235" t="s">
        <v>2476</v>
      </c>
      <c r="Z235" t="s">
        <v>2476</v>
      </c>
      <c r="AA235" t="s">
        <v>2476</v>
      </c>
      <c r="AB235" t="s">
        <v>67</v>
      </c>
      <c r="AC235" t="s">
        <v>67</v>
      </c>
      <c r="AD235" t="s">
        <v>67</v>
      </c>
      <c r="AF235" t="s">
        <v>2179</v>
      </c>
      <c r="AG235" t="s">
        <v>2180</v>
      </c>
      <c r="AH235" t="s">
        <v>2179</v>
      </c>
      <c r="AI235" t="s">
        <v>252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415.49</v>
      </c>
      <c r="AP235">
        <v>3.4289999999999998</v>
      </c>
      <c r="AV235">
        <v>-1</v>
      </c>
    </row>
    <row r="236" spans="1:48" x14ac:dyDescent="0.55000000000000004">
      <c r="A236" t="str">
        <f>HYPERLINK("https://www.infodis.net/philips/net/Shipment/Details?InfodisNumber=6979493&amp;DomainCode=PHILIPSR1", "6979493")</f>
        <v>6979493</v>
      </c>
      <c r="B236" t="s">
        <v>3176</v>
      </c>
      <c r="C236" t="s">
        <v>2426</v>
      </c>
      <c r="D236" t="s">
        <v>2427</v>
      </c>
      <c r="E236" t="s">
        <v>458</v>
      </c>
      <c r="F236" t="s">
        <v>2513</v>
      </c>
      <c r="G236" t="s">
        <v>2429</v>
      </c>
      <c r="H236" t="s">
        <v>180</v>
      </c>
      <c r="I236" t="s">
        <v>652</v>
      </c>
      <c r="J236" t="s">
        <v>2396</v>
      </c>
      <c r="K236" t="s">
        <v>433</v>
      </c>
      <c r="L236" t="s">
        <v>79</v>
      </c>
      <c r="M236" t="s">
        <v>60</v>
      </c>
      <c r="P236" t="s">
        <v>613</v>
      </c>
      <c r="Q236" t="s">
        <v>3177</v>
      </c>
      <c r="R236" t="s">
        <v>2475</v>
      </c>
      <c r="S236" s="2">
        <v>44148</v>
      </c>
      <c r="T236" s="2">
        <v>44148</v>
      </c>
      <c r="U236" s="2">
        <v>44153</v>
      </c>
      <c r="V236" s="2">
        <v>44153</v>
      </c>
      <c r="Y236" t="s">
        <v>2476</v>
      </c>
      <c r="Z236" t="s">
        <v>2476</v>
      </c>
      <c r="AA236" t="s">
        <v>2476</v>
      </c>
      <c r="AB236" t="s">
        <v>67</v>
      </c>
      <c r="AC236" t="s">
        <v>67</v>
      </c>
      <c r="AD236" t="s">
        <v>67</v>
      </c>
      <c r="AF236" t="s">
        <v>2179</v>
      </c>
      <c r="AG236" t="s">
        <v>2180</v>
      </c>
      <c r="AH236" t="s">
        <v>2179</v>
      </c>
      <c r="AI236" t="s">
        <v>252</v>
      </c>
      <c r="AJ236">
        <v>0</v>
      </c>
      <c r="AK236">
        <v>0</v>
      </c>
      <c r="AL236">
        <v>0</v>
      </c>
      <c r="AM236">
        <v>0</v>
      </c>
      <c r="AN236">
        <v>6</v>
      </c>
      <c r="AO236">
        <v>1779.44</v>
      </c>
      <c r="AP236">
        <v>11.138</v>
      </c>
      <c r="AV236">
        <v>-1</v>
      </c>
    </row>
    <row r="237" spans="1:48" x14ac:dyDescent="0.55000000000000004">
      <c r="A237" t="str">
        <f>HYPERLINK("https://www.infodis.net/philips/net/Shipment/Details?InfodisNumber=6979576&amp;DomainCode=PHILIPSR1", "6979576")</f>
        <v>6979576</v>
      </c>
      <c r="B237" t="s">
        <v>3178</v>
      </c>
      <c r="C237" t="s">
        <v>3179</v>
      </c>
      <c r="D237" t="s">
        <v>3180</v>
      </c>
      <c r="E237" t="s">
        <v>242</v>
      </c>
      <c r="F237" t="s">
        <v>1450</v>
      </c>
      <c r="G237" t="s">
        <v>3181</v>
      </c>
      <c r="H237" t="s">
        <v>180</v>
      </c>
      <c r="I237" t="s">
        <v>1689</v>
      </c>
      <c r="J237" t="s">
        <v>268</v>
      </c>
      <c r="K237" t="s">
        <v>2718</v>
      </c>
      <c r="L237" t="s">
        <v>267</v>
      </c>
      <c r="M237" t="s">
        <v>60</v>
      </c>
      <c r="P237" t="s">
        <v>3182</v>
      </c>
      <c r="Q237" t="s">
        <v>3183</v>
      </c>
      <c r="R237" t="s">
        <v>1335</v>
      </c>
      <c r="S237" s="2">
        <v>44148</v>
      </c>
      <c r="T237" s="2">
        <v>44148</v>
      </c>
      <c r="U237" s="2">
        <v>44148</v>
      </c>
      <c r="V237" s="2">
        <v>44151</v>
      </c>
      <c r="W237" s="2">
        <v>44152</v>
      </c>
      <c r="X237" s="2">
        <v>44158</v>
      </c>
      <c r="Y237" t="s">
        <v>1735</v>
      </c>
      <c r="Z237" t="s">
        <v>1735</v>
      </c>
      <c r="AA237" t="s">
        <v>1735</v>
      </c>
      <c r="AB237" t="s">
        <v>67</v>
      </c>
      <c r="AC237" t="s">
        <v>67</v>
      </c>
      <c r="AD237" t="s">
        <v>67</v>
      </c>
      <c r="AF237" t="s">
        <v>2179</v>
      </c>
      <c r="AG237" t="s">
        <v>2180</v>
      </c>
      <c r="AH237" t="s">
        <v>2179</v>
      </c>
      <c r="AI237" t="s">
        <v>252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428</v>
      </c>
      <c r="AP237">
        <v>4.2789999999999999</v>
      </c>
      <c r="AV237">
        <v>-1</v>
      </c>
    </row>
    <row r="238" spans="1:48" x14ac:dyDescent="0.55000000000000004">
      <c r="A238" t="str">
        <f>HYPERLINK("https://www.infodis.net/philips/net/Shipment/Details?InfodisNumber=4557728&amp;DomainCode=DAP", "4557728")</f>
        <v>4557728</v>
      </c>
      <c r="B238" t="s">
        <v>3184</v>
      </c>
      <c r="C238" t="s">
        <v>212</v>
      </c>
      <c r="D238" t="s">
        <v>213</v>
      </c>
      <c r="E238" t="s">
        <v>214</v>
      </c>
      <c r="F238" t="s">
        <v>1078</v>
      </c>
      <c r="G238" t="s">
        <v>216</v>
      </c>
      <c r="H238" t="s">
        <v>55</v>
      </c>
      <c r="I238" t="s">
        <v>2367</v>
      </c>
      <c r="J238" t="s">
        <v>2368</v>
      </c>
      <c r="K238" t="s">
        <v>269</v>
      </c>
      <c r="L238" t="s">
        <v>180</v>
      </c>
      <c r="M238" t="s">
        <v>60</v>
      </c>
      <c r="P238" t="s">
        <v>2369</v>
      </c>
      <c r="Q238" t="s">
        <v>3185</v>
      </c>
      <c r="R238" t="s">
        <v>271</v>
      </c>
      <c r="S238" s="2">
        <v>44148</v>
      </c>
      <c r="T238" s="2">
        <v>44147</v>
      </c>
      <c r="U238" s="2">
        <v>44147</v>
      </c>
      <c r="V238" s="2">
        <v>44150</v>
      </c>
      <c r="Y238" t="s">
        <v>2371</v>
      </c>
      <c r="Z238" t="s">
        <v>2371</v>
      </c>
      <c r="AA238" t="s">
        <v>2371</v>
      </c>
      <c r="AB238" t="s">
        <v>67</v>
      </c>
      <c r="AC238" t="s">
        <v>67</v>
      </c>
      <c r="AD238" t="s">
        <v>67</v>
      </c>
      <c r="AF238" t="s">
        <v>2179</v>
      </c>
      <c r="AG238" t="s">
        <v>2180</v>
      </c>
      <c r="AH238" t="s">
        <v>2179</v>
      </c>
      <c r="AI238" t="s">
        <v>73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481</v>
      </c>
      <c r="AP238">
        <v>3.8159999999999998</v>
      </c>
      <c r="AV238">
        <v>-1</v>
      </c>
    </row>
    <row r="239" spans="1:48" x14ac:dyDescent="0.55000000000000004">
      <c r="A239" t="str">
        <f>HYPERLINK("https://www.infodis.net/philips/net/Shipment/Details?InfodisNumber=4557730&amp;DomainCode=DAP", "4557730")</f>
        <v>4557730</v>
      </c>
      <c r="B239" t="s">
        <v>3186</v>
      </c>
      <c r="C239" t="s">
        <v>212</v>
      </c>
      <c r="D239" t="s">
        <v>213</v>
      </c>
      <c r="E239" t="s">
        <v>214</v>
      </c>
      <c r="F239" t="s">
        <v>1078</v>
      </c>
      <c r="G239" t="s">
        <v>216</v>
      </c>
      <c r="H239" t="s">
        <v>55</v>
      </c>
      <c r="I239" t="s">
        <v>2367</v>
      </c>
      <c r="J239" t="s">
        <v>2368</v>
      </c>
      <c r="K239" t="s">
        <v>269</v>
      </c>
      <c r="L239" t="s">
        <v>180</v>
      </c>
      <c r="M239" t="s">
        <v>60</v>
      </c>
      <c r="P239" t="s">
        <v>2369</v>
      </c>
      <c r="Q239" t="s">
        <v>3187</v>
      </c>
      <c r="R239" t="s">
        <v>271</v>
      </c>
      <c r="S239" s="2">
        <v>44148</v>
      </c>
      <c r="T239" s="2">
        <v>44147</v>
      </c>
      <c r="U239" s="2">
        <v>44147</v>
      </c>
      <c r="V239" s="2">
        <v>44150</v>
      </c>
      <c r="Y239" t="s">
        <v>2371</v>
      </c>
      <c r="Z239" t="s">
        <v>2371</v>
      </c>
      <c r="AA239" t="s">
        <v>2371</v>
      </c>
      <c r="AB239" t="s">
        <v>67</v>
      </c>
      <c r="AC239" t="s">
        <v>67</v>
      </c>
      <c r="AD239" t="s">
        <v>67</v>
      </c>
      <c r="AF239" t="s">
        <v>2179</v>
      </c>
      <c r="AG239" t="s">
        <v>2180</v>
      </c>
      <c r="AH239" t="s">
        <v>2179</v>
      </c>
      <c r="AI239" t="s">
        <v>73</v>
      </c>
      <c r="AJ239">
        <v>0</v>
      </c>
      <c r="AK239">
        <v>0</v>
      </c>
      <c r="AL239">
        <v>0</v>
      </c>
      <c r="AM239">
        <v>0</v>
      </c>
      <c r="AN239">
        <v>7</v>
      </c>
      <c r="AO239">
        <v>991</v>
      </c>
      <c r="AP239">
        <v>10.08</v>
      </c>
      <c r="AV239">
        <v>-1</v>
      </c>
    </row>
    <row r="240" spans="1:48" x14ac:dyDescent="0.55000000000000004">
      <c r="A240" t="str">
        <f>HYPERLINK("https://www.infodis.net/philips/net/Shipment/Details?InfodisNumber=4557739&amp;DomainCode=DAP", "4557739")</f>
        <v>4557739</v>
      </c>
      <c r="B240" t="s">
        <v>3188</v>
      </c>
      <c r="C240" t="s">
        <v>212</v>
      </c>
      <c r="D240" t="s">
        <v>213</v>
      </c>
      <c r="E240" t="s">
        <v>214</v>
      </c>
      <c r="F240" t="s">
        <v>1078</v>
      </c>
      <c r="G240" t="s">
        <v>216</v>
      </c>
      <c r="H240" t="s">
        <v>55</v>
      </c>
      <c r="I240" t="s">
        <v>2367</v>
      </c>
      <c r="J240" t="s">
        <v>2368</v>
      </c>
      <c r="K240" t="s">
        <v>269</v>
      </c>
      <c r="L240" t="s">
        <v>180</v>
      </c>
      <c r="M240" t="s">
        <v>60</v>
      </c>
      <c r="P240" t="s">
        <v>2369</v>
      </c>
      <c r="Q240" t="s">
        <v>3189</v>
      </c>
      <c r="R240" t="s">
        <v>271</v>
      </c>
      <c r="S240" s="2">
        <v>44148</v>
      </c>
      <c r="T240" s="2">
        <v>44145</v>
      </c>
      <c r="U240" s="2">
        <v>44145</v>
      </c>
      <c r="V240" s="2">
        <v>44148</v>
      </c>
      <c r="Y240" t="s">
        <v>2371</v>
      </c>
      <c r="Z240" t="s">
        <v>2371</v>
      </c>
      <c r="AA240" t="s">
        <v>2371</v>
      </c>
      <c r="AB240" t="s">
        <v>67</v>
      </c>
      <c r="AC240" t="s">
        <v>67</v>
      </c>
      <c r="AD240" t="s">
        <v>67</v>
      </c>
      <c r="AF240" t="s">
        <v>2179</v>
      </c>
      <c r="AG240" t="s">
        <v>2180</v>
      </c>
      <c r="AH240" t="s">
        <v>2179</v>
      </c>
      <c r="AI240" t="s">
        <v>73</v>
      </c>
      <c r="AJ240">
        <v>0</v>
      </c>
      <c r="AK240">
        <v>0</v>
      </c>
      <c r="AL240">
        <v>0</v>
      </c>
      <c r="AM240">
        <v>0</v>
      </c>
      <c r="AN240">
        <v>4</v>
      </c>
      <c r="AO240">
        <v>708</v>
      </c>
      <c r="AP240">
        <v>5.4720000000000004</v>
      </c>
      <c r="AV240">
        <v>-1</v>
      </c>
    </row>
    <row r="241" spans="1:48" x14ac:dyDescent="0.55000000000000004">
      <c r="A241" t="str">
        <f>HYPERLINK("https://www.infodis.net/philips/net/Shipment/Details?InfodisNumber=4557741&amp;DomainCode=DAP", "4557741")</f>
        <v>4557741</v>
      </c>
      <c r="B241" t="s">
        <v>3190</v>
      </c>
      <c r="C241" t="s">
        <v>212</v>
      </c>
      <c r="D241" t="s">
        <v>213</v>
      </c>
      <c r="E241" t="s">
        <v>214</v>
      </c>
      <c r="F241" t="s">
        <v>1078</v>
      </c>
      <c r="G241" t="s">
        <v>216</v>
      </c>
      <c r="H241" t="s">
        <v>55</v>
      </c>
      <c r="I241" t="s">
        <v>2367</v>
      </c>
      <c r="J241" t="s">
        <v>2368</v>
      </c>
      <c r="K241" t="s">
        <v>269</v>
      </c>
      <c r="L241" t="s">
        <v>180</v>
      </c>
      <c r="M241" t="s">
        <v>60</v>
      </c>
      <c r="P241" t="s">
        <v>2369</v>
      </c>
      <c r="Q241" t="s">
        <v>3191</v>
      </c>
      <c r="R241" t="s">
        <v>271</v>
      </c>
      <c r="S241" s="2">
        <v>44148</v>
      </c>
      <c r="T241" s="2">
        <v>44147</v>
      </c>
      <c r="U241" s="2">
        <v>44147</v>
      </c>
      <c r="V241" s="2">
        <v>44150</v>
      </c>
      <c r="Y241" t="s">
        <v>2371</v>
      </c>
      <c r="Z241" t="s">
        <v>2371</v>
      </c>
      <c r="AA241" t="s">
        <v>2371</v>
      </c>
      <c r="AB241" t="s">
        <v>67</v>
      </c>
      <c r="AC241" t="s">
        <v>67</v>
      </c>
      <c r="AD241" t="s">
        <v>67</v>
      </c>
      <c r="AF241" t="s">
        <v>2179</v>
      </c>
      <c r="AG241" t="s">
        <v>2180</v>
      </c>
      <c r="AH241" t="s">
        <v>2179</v>
      </c>
      <c r="AI241" t="s">
        <v>73</v>
      </c>
      <c r="AJ241">
        <v>0</v>
      </c>
      <c r="AK241">
        <v>0</v>
      </c>
      <c r="AL241">
        <v>0</v>
      </c>
      <c r="AM241">
        <v>0</v>
      </c>
      <c r="AN241">
        <v>7</v>
      </c>
      <c r="AO241">
        <v>881</v>
      </c>
      <c r="AP241">
        <v>9.9600000000000009</v>
      </c>
      <c r="AV241">
        <v>-1</v>
      </c>
    </row>
    <row r="242" spans="1:48" x14ac:dyDescent="0.55000000000000004">
      <c r="A242" t="str">
        <f>HYPERLINK("https://www.infodis.net/philips/net/Shipment/Details?InfodisNumber=4557708&amp;DomainCode=DAP", "4557708")</f>
        <v>4557708</v>
      </c>
      <c r="B242" t="s">
        <v>3192</v>
      </c>
      <c r="C242" t="s">
        <v>212</v>
      </c>
      <c r="D242" t="s">
        <v>213</v>
      </c>
      <c r="E242" t="s">
        <v>214</v>
      </c>
      <c r="F242" t="s">
        <v>1078</v>
      </c>
      <c r="G242" t="s">
        <v>216</v>
      </c>
      <c r="H242" t="s">
        <v>55</v>
      </c>
      <c r="I242" t="s">
        <v>2367</v>
      </c>
      <c r="J242" t="s">
        <v>2368</v>
      </c>
      <c r="K242" t="s">
        <v>269</v>
      </c>
      <c r="L242" t="s">
        <v>180</v>
      </c>
      <c r="M242" t="s">
        <v>60</v>
      </c>
      <c r="P242" t="s">
        <v>2369</v>
      </c>
      <c r="Q242" t="s">
        <v>3193</v>
      </c>
      <c r="R242" t="s">
        <v>271</v>
      </c>
      <c r="S242" s="2">
        <v>44148</v>
      </c>
      <c r="T242" s="2">
        <v>44141</v>
      </c>
      <c r="U242" s="2">
        <v>44141</v>
      </c>
      <c r="V242" s="2">
        <v>44144</v>
      </c>
      <c r="Y242" t="s">
        <v>2371</v>
      </c>
      <c r="Z242" t="s">
        <v>2371</v>
      </c>
      <c r="AA242" t="s">
        <v>2371</v>
      </c>
      <c r="AB242" t="s">
        <v>67</v>
      </c>
      <c r="AC242" t="s">
        <v>67</v>
      </c>
      <c r="AD242" t="s">
        <v>67</v>
      </c>
      <c r="AF242" t="s">
        <v>2179</v>
      </c>
      <c r="AG242" t="s">
        <v>2180</v>
      </c>
      <c r="AH242" t="s">
        <v>2179</v>
      </c>
      <c r="AI242" t="s">
        <v>73</v>
      </c>
      <c r="AJ242">
        <v>0</v>
      </c>
      <c r="AK242">
        <v>0</v>
      </c>
      <c r="AL242">
        <v>0</v>
      </c>
      <c r="AM242">
        <v>0</v>
      </c>
      <c r="AN242">
        <v>9</v>
      </c>
      <c r="AO242">
        <v>1440</v>
      </c>
      <c r="AP242">
        <v>11.448</v>
      </c>
      <c r="AV242">
        <v>-1</v>
      </c>
    </row>
    <row r="243" spans="1:48" x14ac:dyDescent="0.55000000000000004">
      <c r="A243" t="str">
        <f>HYPERLINK("https://www.infodis.net/philips/net/Shipment/Details?InfodisNumber=4557715&amp;DomainCode=DAP", "4557715")</f>
        <v>4557715</v>
      </c>
      <c r="B243" t="s">
        <v>3194</v>
      </c>
      <c r="C243" t="s">
        <v>212</v>
      </c>
      <c r="D243" t="s">
        <v>213</v>
      </c>
      <c r="E243" t="s">
        <v>214</v>
      </c>
      <c r="F243" t="s">
        <v>1078</v>
      </c>
      <c r="G243" t="s">
        <v>216</v>
      </c>
      <c r="H243" t="s">
        <v>55</v>
      </c>
      <c r="I243" t="s">
        <v>2367</v>
      </c>
      <c r="J243" t="s">
        <v>2368</v>
      </c>
      <c r="K243" t="s">
        <v>269</v>
      </c>
      <c r="L243" t="s">
        <v>180</v>
      </c>
      <c r="M243" t="s">
        <v>60</v>
      </c>
      <c r="P243" t="s">
        <v>2369</v>
      </c>
      <c r="Q243" t="s">
        <v>3195</v>
      </c>
      <c r="R243" t="s">
        <v>271</v>
      </c>
      <c r="S243" s="2">
        <v>44148</v>
      </c>
      <c r="T243" s="2">
        <v>44145</v>
      </c>
      <c r="U243" s="2">
        <v>44145</v>
      </c>
      <c r="V243" s="2">
        <v>44148</v>
      </c>
      <c r="Y243" t="s">
        <v>2371</v>
      </c>
      <c r="Z243" t="s">
        <v>2371</v>
      </c>
      <c r="AA243" t="s">
        <v>2371</v>
      </c>
      <c r="AB243" t="s">
        <v>67</v>
      </c>
      <c r="AC243" t="s">
        <v>67</v>
      </c>
      <c r="AD243" t="s">
        <v>67</v>
      </c>
      <c r="AF243" t="s">
        <v>2179</v>
      </c>
      <c r="AG243" t="s">
        <v>2180</v>
      </c>
      <c r="AH243" t="s">
        <v>2179</v>
      </c>
      <c r="AI243" t="s">
        <v>73</v>
      </c>
      <c r="AJ243">
        <v>0</v>
      </c>
      <c r="AK243">
        <v>0</v>
      </c>
      <c r="AL243">
        <v>0</v>
      </c>
      <c r="AM243">
        <v>0</v>
      </c>
      <c r="AN243">
        <v>5</v>
      </c>
      <c r="AO243">
        <v>830</v>
      </c>
      <c r="AP243">
        <v>6.36</v>
      </c>
      <c r="AV243">
        <v>-1</v>
      </c>
    </row>
    <row r="244" spans="1:48" x14ac:dyDescent="0.55000000000000004">
      <c r="A244" t="str">
        <f>HYPERLINK("https://www.infodis.net/philips/net/Shipment/Details?InfodisNumber=4557714&amp;DomainCode=DAP", "4557714")</f>
        <v>4557714</v>
      </c>
      <c r="B244" t="s">
        <v>3196</v>
      </c>
      <c r="C244" t="s">
        <v>212</v>
      </c>
      <c r="D244" t="s">
        <v>213</v>
      </c>
      <c r="E244" t="s">
        <v>214</v>
      </c>
      <c r="F244" t="s">
        <v>2069</v>
      </c>
      <c r="G244" t="s">
        <v>216</v>
      </c>
      <c r="H244" t="s">
        <v>55</v>
      </c>
      <c r="I244" t="s">
        <v>2367</v>
      </c>
      <c r="J244" t="s">
        <v>293</v>
      </c>
      <c r="K244" t="s">
        <v>937</v>
      </c>
      <c r="L244" t="s">
        <v>938</v>
      </c>
      <c r="M244" t="s">
        <v>60</v>
      </c>
      <c r="P244" t="s">
        <v>2369</v>
      </c>
      <c r="Q244" t="s">
        <v>3197</v>
      </c>
      <c r="R244" t="s">
        <v>2424</v>
      </c>
      <c r="S244" s="2">
        <v>44148</v>
      </c>
      <c r="T244" s="2">
        <v>44159</v>
      </c>
      <c r="U244" s="2">
        <v>44158</v>
      </c>
      <c r="V244" s="2">
        <v>44162</v>
      </c>
      <c r="Y244" t="s">
        <v>2398</v>
      </c>
      <c r="Z244" t="s">
        <v>2398</v>
      </c>
      <c r="AA244" t="s">
        <v>2398</v>
      </c>
      <c r="AB244" t="s">
        <v>67</v>
      </c>
      <c r="AC244" t="s">
        <v>67</v>
      </c>
      <c r="AD244" t="s">
        <v>67</v>
      </c>
      <c r="AF244" t="s">
        <v>2179</v>
      </c>
      <c r="AG244" t="s">
        <v>2180</v>
      </c>
      <c r="AH244" t="s">
        <v>2179</v>
      </c>
      <c r="AI244" t="s">
        <v>73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124</v>
      </c>
      <c r="AP244">
        <v>1.143</v>
      </c>
      <c r="AV244">
        <v>-1</v>
      </c>
    </row>
    <row r="245" spans="1:48" x14ac:dyDescent="0.55000000000000004">
      <c r="A245" t="str">
        <f>HYPERLINK("https://www.infodis.net/philips/net/Shipment/Details?InfodisNumber=4557716&amp;DomainCode=DAP", "4557716")</f>
        <v>4557716</v>
      </c>
      <c r="B245" t="s">
        <v>3198</v>
      </c>
      <c r="C245" t="s">
        <v>212</v>
      </c>
      <c r="D245" t="s">
        <v>213</v>
      </c>
      <c r="E245" t="s">
        <v>214</v>
      </c>
      <c r="F245" t="s">
        <v>1078</v>
      </c>
      <c r="G245" t="s">
        <v>216</v>
      </c>
      <c r="H245" t="s">
        <v>55</v>
      </c>
      <c r="I245" t="s">
        <v>2367</v>
      </c>
      <c r="J245" t="s">
        <v>2368</v>
      </c>
      <c r="K245" t="s">
        <v>269</v>
      </c>
      <c r="L245" t="s">
        <v>180</v>
      </c>
      <c r="M245" t="s">
        <v>60</v>
      </c>
      <c r="P245" t="s">
        <v>2369</v>
      </c>
      <c r="Q245" t="s">
        <v>3199</v>
      </c>
      <c r="R245" t="s">
        <v>271</v>
      </c>
      <c r="S245" s="2">
        <v>44148</v>
      </c>
      <c r="T245" s="2">
        <v>44145</v>
      </c>
      <c r="U245" s="2">
        <v>44145</v>
      </c>
      <c r="V245" s="2">
        <v>44148</v>
      </c>
      <c r="Y245" t="s">
        <v>2371</v>
      </c>
      <c r="Z245" t="s">
        <v>2371</v>
      </c>
      <c r="AA245" t="s">
        <v>2371</v>
      </c>
      <c r="AB245" t="s">
        <v>67</v>
      </c>
      <c r="AC245" t="s">
        <v>67</v>
      </c>
      <c r="AD245" t="s">
        <v>67</v>
      </c>
      <c r="AF245" t="s">
        <v>2179</v>
      </c>
      <c r="AG245" t="s">
        <v>2180</v>
      </c>
      <c r="AH245" t="s">
        <v>2179</v>
      </c>
      <c r="AI245" t="s">
        <v>73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242</v>
      </c>
      <c r="AP245">
        <v>1.464</v>
      </c>
      <c r="AV245">
        <v>-1</v>
      </c>
    </row>
    <row r="246" spans="1:48" x14ac:dyDescent="0.55000000000000004">
      <c r="A246" t="str">
        <f>HYPERLINK("https://www.infodis.net/philips/net/Shipment/Details?InfodisNumber=1562980&amp;DomainCode=PHILIPSM1", "1562980")</f>
        <v>1562980</v>
      </c>
      <c r="B246" t="s">
        <v>3200</v>
      </c>
      <c r="C246" t="s">
        <v>2443</v>
      </c>
      <c r="D246" t="s">
        <v>2444</v>
      </c>
      <c r="E246" t="s">
        <v>2443</v>
      </c>
      <c r="F246" t="s">
        <v>3086</v>
      </c>
      <c r="G246" t="s">
        <v>1334</v>
      </c>
      <c r="H246" t="s">
        <v>180</v>
      </c>
      <c r="I246" t="s">
        <v>1333</v>
      </c>
      <c r="J246" t="s">
        <v>3087</v>
      </c>
      <c r="K246" t="s">
        <v>1380</v>
      </c>
      <c r="L246" t="s">
        <v>132</v>
      </c>
      <c r="M246" t="s">
        <v>60</v>
      </c>
      <c r="P246" t="s">
        <v>1337</v>
      </c>
      <c r="R246" t="s">
        <v>2609</v>
      </c>
      <c r="S246" s="2">
        <v>44148</v>
      </c>
      <c r="T246" s="2">
        <v>44148</v>
      </c>
      <c r="V246" s="2">
        <v>44151</v>
      </c>
      <c r="Y246" t="s">
        <v>2359</v>
      </c>
      <c r="Z246" t="s">
        <v>2359</v>
      </c>
      <c r="AA246" t="s">
        <v>2359</v>
      </c>
      <c r="AB246" t="s">
        <v>67</v>
      </c>
      <c r="AC246" t="s">
        <v>67</v>
      </c>
      <c r="AD246" t="s">
        <v>67</v>
      </c>
      <c r="AF246" t="s">
        <v>2179</v>
      </c>
      <c r="AG246" t="s">
        <v>2180</v>
      </c>
      <c r="AH246" t="s">
        <v>2179</v>
      </c>
      <c r="AI246" t="s">
        <v>605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88.9</v>
      </c>
      <c r="AP246">
        <v>0.34599999999999997</v>
      </c>
      <c r="AV246">
        <v>-1</v>
      </c>
    </row>
    <row r="247" spans="1:48" x14ac:dyDescent="0.55000000000000004">
      <c r="A247" t="str">
        <f>HYPERLINK("https://www.infodis.net/philips/net/Shipment/Details?InfodisNumber=4557788&amp;DomainCode=DAP", "4557788")</f>
        <v>4557788</v>
      </c>
      <c r="B247" t="s">
        <v>3201</v>
      </c>
      <c r="C247" t="s">
        <v>2502</v>
      </c>
      <c r="D247" t="s">
        <v>2503</v>
      </c>
      <c r="E247" t="s">
        <v>2504</v>
      </c>
      <c r="F247" t="s">
        <v>2826</v>
      </c>
      <c r="G247" t="s">
        <v>1179</v>
      </c>
      <c r="H247" t="s">
        <v>180</v>
      </c>
      <c r="I247" t="s">
        <v>194</v>
      </c>
      <c r="J247" t="s">
        <v>2827</v>
      </c>
      <c r="K247" t="s">
        <v>2828</v>
      </c>
      <c r="L247" t="s">
        <v>357</v>
      </c>
      <c r="M247" t="s">
        <v>358</v>
      </c>
      <c r="P247" t="s">
        <v>1181</v>
      </c>
      <c r="R247" t="s">
        <v>526</v>
      </c>
      <c r="S247" s="2">
        <v>44148</v>
      </c>
      <c r="T247" s="2">
        <v>44148</v>
      </c>
      <c r="V247" s="2">
        <v>44149</v>
      </c>
      <c r="Y247" t="s">
        <v>2476</v>
      </c>
      <c r="Z247" t="s">
        <v>2476</v>
      </c>
      <c r="AA247" t="s">
        <v>2476</v>
      </c>
      <c r="AB247" t="s">
        <v>67</v>
      </c>
      <c r="AC247" t="s">
        <v>67</v>
      </c>
      <c r="AD247" t="s">
        <v>67</v>
      </c>
      <c r="AF247" t="s">
        <v>2829</v>
      </c>
      <c r="AG247" t="s">
        <v>2830</v>
      </c>
      <c r="AH247" t="s">
        <v>2829</v>
      </c>
      <c r="AI247" t="s">
        <v>73</v>
      </c>
      <c r="AJ247">
        <v>0</v>
      </c>
      <c r="AK247">
        <v>0</v>
      </c>
      <c r="AL247">
        <v>0</v>
      </c>
      <c r="AM247">
        <v>0</v>
      </c>
      <c r="AN247">
        <v>12</v>
      </c>
      <c r="AO247">
        <v>1864.5</v>
      </c>
      <c r="AP247">
        <v>20.164000000000001</v>
      </c>
      <c r="AV247">
        <v>-1</v>
      </c>
    </row>
    <row r="248" spans="1:48" x14ac:dyDescent="0.55000000000000004">
      <c r="A248" t="str">
        <f>HYPERLINK("https://www.infodis.net/philips/net/Shipment/Details?InfodisNumber=4563660&amp;DomainCode=DAP", "4563660")</f>
        <v>4563660</v>
      </c>
      <c r="B248" t="s">
        <v>3202</v>
      </c>
      <c r="C248" t="s">
        <v>212</v>
      </c>
      <c r="D248" t="s">
        <v>213</v>
      </c>
      <c r="E248" t="s">
        <v>214</v>
      </c>
      <c r="F248" t="s">
        <v>1078</v>
      </c>
      <c r="G248" t="s">
        <v>216</v>
      </c>
      <c r="H248" t="s">
        <v>55</v>
      </c>
      <c r="I248" t="s">
        <v>2367</v>
      </c>
      <c r="J248" t="s">
        <v>2368</v>
      </c>
      <c r="K248" t="s">
        <v>269</v>
      </c>
      <c r="L248" t="s">
        <v>180</v>
      </c>
      <c r="M248" t="s">
        <v>60</v>
      </c>
      <c r="P248" t="s">
        <v>2369</v>
      </c>
      <c r="Q248" t="s">
        <v>3203</v>
      </c>
      <c r="R248" t="s">
        <v>271</v>
      </c>
      <c r="S248" s="2">
        <v>44155</v>
      </c>
      <c r="T248" s="2">
        <v>44155</v>
      </c>
      <c r="U248" s="2">
        <v>44155</v>
      </c>
      <c r="V248" s="2">
        <v>44158</v>
      </c>
      <c r="Y248" t="s">
        <v>2371</v>
      </c>
      <c r="Z248" t="s">
        <v>2371</v>
      </c>
      <c r="AA248" t="s">
        <v>2371</v>
      </c>
      <c r="AB248" t="s">
        <v>67</v>
      </c>
      <c r="AC248" t="s">
        <v>67</v>
      </c>
      <c r="AD248" t="s">
        <v>67</v>
      </c>
      <c r="AF248" t="s">
        <v>2179</v>
      </c>
      <c r="AG248" t="s">
        <v>2180</v>
      </c>
      <c r="AH248" t="s">
        <v>2179</v>
      </c>
      <c r="AI248" t="s">
        <v>73</v>
      </c>
      <c r="AJ248">
        <v>0</v>
      </c>
      <c r="AK248">
        <v>0</v>
      </c>
      <c r="AL248">
        <v>0</v>
      </c>
      <c r="AM248">
        <v>0</v>
      </c>
      <c r="AN248">
        <v>6</v>
      </c>
      <c r="AO248">
        <v>980</v>
      </c>
      <c r="AP248">
        <v>7.6320000000000006</v>
      </c>
      <c r="AV248">
        <v>-1</v>
      </c>
    </row>
    <row r="249" spans="1:48" x14ac:dyDescent="0.55000000000000004">
      <c r="A249" t="str">
        <f>HYPERLINK("https://www.infodis.net/philips/net/Shipment/Details?InfodisNumber=7001860&amp;DomainCode=PHILIPSR1", "7001860")</f>
        <v>7001860</v>
      </c>
      <c r="B249" t="s">
        <v>3204</v>
      </c>
      <c r="C249" t="s">
        <v>2426</v>
      </c>
      <c r="D249" t="s">
        <v>2427</v>
      </c>
      <c r="E249" t="s">
        <v>458</v>
      </c>
      <c r="F249" t="s">
        <v>3205</v>
      </c>
      <c r="G249" t="s">
        <v>2429</v>
      </c>
      <c r="H249" t="s">
        <v>180</v>
      </c>
      <c r="I249" t="s">
        <v>652</v>
      </c>
      <c r="J249" t="s">
        <v>2997</v>
      </c>
      <c r="K249" t="s">
        <v>2998</v>
      </c>
      <c r="L249" t="s">
        <v>132</v>
      </c>
      <c r="M249" t="s">
        <v>1658</v>
      </c>
      <c r="P249" t="s">
        <v>613</v>
      </c>
      <c r="Q249" t="s">
        <v>3206</v>
      </c>
      <c r="R249" t="s">
        <v>3207</v>
      </c>
      <c r="S249" s="2">
        <v>44155</v>
      </c>
      <c r="T249" s="2">
        <v>44158</v>
      </c>
      <c r="U249" s="2">
        <v>44155</v>
      </c>
      <c r="V249" s="2">
        <v>44161</v>
      </c>
      <c r="Y249" t="s">
        <v>1735</v>
      </c>
      <c r="Z249" t="s">
        <v>1735</v>
      </c>
      <c r="AA249" t="s">
        <v>1735</v>
      </c>
      <c r="AB249" t="s">
        <v>67</v>
      </c>
      <c r="AC249" t="s">
        <v>67</v>
      </c>
      <c r="AD249" t="s">
        <v>67</v>
      </c>
      <c r="AF249" t="s">
        <v>2179</v>
      </c>
      <c r="AG249" t="s">
        <v>2180</v>
      </c>
      <c r="AH249" t="s">
        <v>2179</v>
      </c>
      <c r="AI249" t="s">
        <v>252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20.399999999999999</v>
      </c>
      <c r="AP249">
        <v>0.24199999999999999</v>
      </c>
      <c r="AV249">
        <v>-1</v>
      </c>
    </row>
    <row r="250" spans="1:48" x14ac:dyDescent="0.55000000000000004">
      <c r="A250" t="str">
        <f>HYPERLINK("https://www.infodis.net/philips/net/Shipment/Details?InfodisNumber=7001547&amp;DomainCode=PHILIPSR1", "7001547")</f>
        <v>7001547</v>
      </c>
      <c r="B250" t="s">
        <v>3208</v>
      </c>
      <c r="C250" t="s">
        <v>2426</v>
      </c>
      <c r="D250" t="s">
        <v>2427</v>
      </c>
      <c r="E250" t="s">
        <v>458</v>
      </c>
      <c r="F250" t="s">
        <v>2513</v>
      </c>
      <c r="G250" t="s">
        <v>2429</v>
      </c>
      <c r="H250" t="s">
        <v>180</v>
      </c>
      <c r="I250" t="s">
        <v>652</v>
      </c>
      <c r="J250" t="s">
        <v>2396</v>
      </c>
      <c r="K250" t="s">
        <v>433</v>
      </c>
      <c r="L250" t="s">
        <v>79</v>
      </c>
      <c r="M250" t="s">
        <v>60</v>
      </c>
      <c r="P250" t="s">
        <v>613</v>
      </c>
      <c r="R250" t="s">
        <v>2475</v>
      </c>
      <c r="S250" s="2">
        <v>44155</v>
      </c>
      <c r="T250" s="2">
        <v>44156</v>
      </c>
      <c r="V250" s="2">
        <v>44159</v>
      </c>
      <c r="Y250" t="s">
        <v>2476</v>
      </c>
      <c r="Z250" t="s">
        <v>2476</v>
      </c>
      <c r="AA250" t="s">
        <v>2476</v>
      </c>
      <c r="AB250" t="s">
        <v>67</v>
      </c>
      <c r="AC250" t="s">
        <v>67</v>
      </c>
      <c r="AD250" t="s">
        <v>67</v>
      </c>
      <c r="AF250" t="s">
        <v>2179</v>
      </c>
      <c r="AG250" t="s">
        <v>2180</v>
      </c>
      <c r="AH250" t="s">
        <v>2179</v>
      </c>
      <c r="AI250" t="s">
        <v>252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361.51</v>
      </c>
      <c r="AP250">
        <v>4.1529999999999996</v>
      </c>
      <c r="AV250">
        <v>-1</v>
      </c>
    </row>
    <row r="251" spans="1:48" x14ac:dyDescent="0.55000000000000004">
      <c r="A251" t="str">
        <f>HYPERLINK("https://www.infodis.net/philips/net/Shipment/Details?InfodisNumber=1581146&amp;DomainCode=PHILIPSM1", "1581146")</f>
        <v>1581146</v>
      </c>
      <c r="B251" t="s">
        <v>3209</v>
      </c>
      <c r="C251" t="s">
        <v>2080</v>
      </c>
      <c r="D251" t="s">
        <v>2081</v>
      </c>
      <c r="E251" t="s">
        <v>2089</v>
      </c>
      <c r="F251" t="s">
        <v>2516</v>
      </c>
      <c r="G251" t="s">
        <v>1430</v>
      </c>
      <c r="H251" t="s">
        <v>244</v>
      </c>
      <c r="I251" t="s">
        <v>2084</v>
      </c>
      <c r="J251" t="s">
        <v>293</v>
      </c>
      <c r="K251" t="s">
        <v>937</v>
      </c>
      <c r="L251" t="s">
        <v>938</v>
      </c>
      <c r="M251" t="s">
        <v>84</v>
      </c>
      <c r="P251" t="s">
        <v>1432</v>
      </c>
      <c r="R251" t="s">
        <v>2517</v>
      </c>
      <c r="S251" s="2">
        <v>44155</v>
      </c>
      <c r="T251" s="2">
        <v>44195</v>
      </c>
      <c r="V251" s="2">
        <v>44198</v>
      </c>
      <c r="Y251" t="s">
        <v>3061</v>
      </c>
      <c r="Z251" t="s">
        <v>3061</v>
      </c>
      <c r="AA251" t="s">
        <v>603</v>
      </c>
      <c r="AB251" t="s">
        <v>67</v>
      </c>
      <c r="AC251" t="s">
        <v>67</v>
      </c>
      <c r="AD251" t="s">
        <v>68</v>
      </c>
      <c r="AF251" t="s">
        <v>2179</v>
      </c>
      <c r="AG251" t="s">
        <v>2180</v>
      </c>
      <c r="AH251" t="s">
        <v>2179</v>
      </c>
      <c r="AI251" t="s">
        <v>605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V251">
        <v>-1</v>
      </c>
    </row>
    <row r="252" spans="1:48" x14ac:dyDescent="0.55000000000000004">
      <c r="A252" t="str">
        <f>HYPERLINK("https://www.infodis.net/philips/net/Shipment/Details?InfodisNumber=7001992&amp;DomainCode=PHILIPSR1", "7001992")</f>
        <v>7001992</v>
      </c>
      <c r="B252" t="s">
        <v>3210</v>
      </c>
      <c r="C252" t="s">
        <v>2426</v>
      </c>
      <c r="D252" t="s">
        <v>2427</v>
      </c>
      <c r="E252" t="s">
        <v>458</v>
      </c>
      <c r="F252" t="s">
        <v>2996</v>
      </c>
      <c r="G252" t="s">
        <v>2429</v>
      </c>
      <c r="H252" t="s">
        <v>180</v>
      </c>
      <c r="I252" t="s">
        <v>652</v>
      </c>
      <c r="J252" t="s">
        <v>2997</v>
      </c>
      <c r="K252" t="s">
        <v>2998</v>
      </c>
      <c r="L252" t="s">
        <v>132</v>
      </c>
      <c r="M252" t="s">
        <v>1658</v>
      </c>
      <c r="P252" t="s">
        <v>613</v>
      </c>
      <c r="Q252" t="s">
        <v>3211</v>
      </c>
      <c r="R252" t="s">
        <v>3000</v>
      </c>
      <c r="S252" s="2">
        <v>44155</v>
      </c>
      <c r="T252" s="2">
        <v>44158</v>
      </c>
      <c r="U252" s="2">
        <v>44155</v>
      </c>
      <c r="V252" s="2">
        <v>44161</v>
      </c>
      <c r="Y252" t="s">
        <v>1735</v>
      </c>
      <c r="Z252" t="s">
        <v>1735</v>
      </c>
      <c r="AA252" t="s">
        <v>1735</v>
      </c>
      <c r="AB252" t="s">
        <v>67</v>
      </c>
      <c r="AC252" t="s">
        <v>67</v>
      </c>
      <c r="AD252" t="s">
        <v>67</v>
      </c>
      <c r="AF252" t="s">
        <v>2179</v>
      </c>
      <c r="AG252" t="s">
        <v>2180</v>
      </c>
      <c r="AH252" t="s">
        <v>2179</v>
      </c>
      <c r="AI252" t="s">
        <v>252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22.7</v>
      </c>
      <c r="AP252">
        <v>0.376</v>
      </c>
      <c r="AV252">
        <v>-1</v>
      </c>
    </row>
    <row r="253" spans="1:48" x14ac:dyDescent="0.55000000000000004">
      <c r="A253" t="str">
        <f>HYPERLINK("https://www.infodis.net/philips/net/Shipment/Details?InfodisNumber=4564114&amp;DomainCode=DAP", "4564114")</f>
        <v>4564114</v>
      </c>
      <c r="B253" t="s">
        <v>3212</v>
      </c>
      <c r="C253" t="s">
        <v>3213</v>
      </c>
      <c r="D253" t="s">
        <v>3214</v>
      </c>
      <c r="E253" t="s">
        <v>304</v>
      </c>
      <c r="F253" t="s">
        <v>1933</v>
      </c>
      <c r="G253" t="s">
        <v>3215</v>
      </c>
      <c r="H253" t="s">
        <v>3216</v>
      </c>
      <c r="J253" t="s">
        <v>80</v>
      </c>
      <c r="K253" t="s">
        <v>546</v>
      </c>
      <c r="L253" t="s">
        <v>79</v>
      </c>
      <c r="M253" t="s">
        <v>60</v>
      </c>
      <c r="P253" t="s">
        <v>3217</v>
      </c>
      <c r="R253" t="s">
        <v>1934</v>
      </c>
      <c r="S253" s="2">
        <v>44155</v>
      </c>
      <c r="T253" s="2">
        <v>44159</v>
      </c>
      <c r="V253" s="2">
        <v>44162</v>
      </c>
      <c r="Y253" t="s">
        <v>1735</v>
      </c>
      <c r="Z253" t="s">
        <v>1735</v>
      </c>
      <c r="AA253" t="s">
        <v>1735</v>
      </c>
      <c r="AB253" t="s">
        <v>67</v>
      </c>
      <c r="AC253" t="s">
        <v>67</v>
      </c>
      <c r="AD253" t="s">
        <v>67</v>
      </c>
      <c r="AF253" t="s">
        <v>2179</v>
      </c>
      <c r="AG253" t="s">
        <v>2180</v>
      </c>
      <c r="AH253" t="s">
        <v>2179</v>
      </c>
      <c r="AI253" t="s">
        <v>73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65</v>
      </c>
      <c r="AP253">
        <v>0.37</v>
      </c>
      <c r="AV253">
        <v>-1</v>
      </c>
    </row>
    <row r="254" spans="1:48" x14ac:dyDescent="0.55000000000000004">
      <c r="A254" t="str">
        <f>HYPERLINK("https://www.infodis.net/philips/net/Shipment/Details?InfodisNumber=4564213&amp;DomainCode=DAP", "4564213")</f>
        <v>4564213</v>
      </c>
      <c r="B254" t="s">
        <v>3218</v>
      </c>
      <c r="C254" t="s">
        <v>2339</v>
      </c>
      <c r="D254" t="s">
        <v>2340</v>
      </c>
      <c r="E254" t="s">
        <v>191</v>
      </c>
      <c r="F254" t="s">
        <v>2168</v>
      </c>
      <c r="G254" t="s">
        <v>219</v>
      </c>
      <c r="H254" t="s">
        <v>180</v>
      </c>
      <c r="I254" t="s">
        <v>2341</v>
      </c>
      <c r="J254" t="s">
        <v>268</v>
      </c>
      <c r="K254" t="s">
        <v>855</v>
      </c>
      <c r="L254" t="s">
        <v>267</v>
      </c>
      <c r="M254" t="s">
        <v>60</v>
      </c>
      <c r="P254" t="s">
        <v>223</v>
      </c>
      <c r="Q254" t="s">
        <v>3219</v>
      </c>
      <c r="R254" t="s">
        <v>268</v>
      </c>
      <c r="S254" s="2">
        <v>44155</v>
      </c>
      <c r="T254" s="2">
        <v>44155</v>
      </c>
      <c r="U254" s="2">
        <v>44155</v>
      </c>
      <c r="V254" s="2">
        <v>44158</v>
      </c>
      <c r="Y254" t="s">
        <v>1735</v>
      </c>
      <c r="Z254" t="s">
        <v>1735</v>
      </c>
      <c r="AA254" t="s">
        <v>1735</v>
      </c>
      <c r="AB254" t="s">
        <v>67</v>
      </c>
      <c r="AC254" t="s">
        <v>67</v>
      </c>
      <c r="AD254" t="s">
        <v>67</v>
      </c>
      <c r="AF254" t="s">
        <v>2179</v>
      </c>
      <c r="AG254" t="s">
        <v>2180</v>
      </c>
      <c r="AH254" t="s">
        <v>2179</v>
      </c>
      <c r="AI254" t="s">
        <v>73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497</v>
      </c>
      <c r="AP254">
        <v>2.339</v>
      </c>
      <c r="AV254">
        <v>-1</v>
      </c>
    </row>
    <row r="255" spans="1:48" x14ac:dyDescent="0.55000000000000004">
      <c r="A255" t="str">
        <f>HYPERLINK("https://www.infodis.net/philips/net/Shipment/Details?InfodisNumber=4564451&amp;DomainCode=DAP", "4564451")</f>
        <v>4564451</v>
      </c>
      <c r="B255" t="s">
        <v>3220</v>
      </c>
      <c r="C255" t="s">
        <v>3221</v>
      </c>
      <c r="D255" t="s">
        <v>3222</v>
      </c>
      <c r="E255" t="s">
        <v>3221</v>
      </c>
      <c r="F255" t="s">
        <v>77</v>
      </c>
      <c r="G255" t="s">
        <v>3223</v>
      </c>
      <c r="H255" t="s">
        <v>79</v>
      </c>
      <c r="I255" t="s">
        <v>97</v>
      </c>
      <c r="J255" t="s">
        <v>2141</v>
      </c>
      <c r="K255" t="s">
        <v>82</v>
      </c>
      <c r="L255" t="s">
        <v>83</v>
      </c>
      <c r="M255" t="s">
        <v>261</v>
      </c>
      <c r="P255" t="s">
        <v>593</v>
      </c>
      <c r="R255" t="s">
        <v>87</v>
      </c>
      <c r="S255" s="2">
        <v>44158</v>
      </c>
      <c r="T255" s="2">
        <v>44159</v>
      </c>
      <c r="V255" s="2">
        <v>44160</v>
      </c>
      <c r="Y255" t="s">
        <v>66</v>
      </c>
      <c r="Z255" t="s">
        <v>2051</v>
      </c>
      <c r="AA255" t="s">
        <v>2051</v>
      </c>
      <c r="AB255" t="s">
        <v>68</v>
      </c>
      <c r="AC255" t="s">
        <v>67</v>
      </c>
      <c r="AD255" t="s">
        <v>67</v>
      </c>
      <c r="AF255" t="s">
        <v>2829</v>
      </c>
      <c r="AG255" t="s">
        <v>2830</v>
      </c>
      <c r="AH255" t="s">
        <v>2829</v>
      </c>
      <c r="AI255" t="s">
        <v>73</v>
      </c>
      <c r="AJ255">
        <v>0</v>
      </c>
      <c r="AK255">
        <v>0</v>
      </c>
      <c r="AL255">
        <v>0</v>
      </c>
      <c r="AM255">
        <v>0</v>
      </c>
      <c r="AN255">
        <v>4</v>
      </c>
      <c r="AO255">
        <v>486.7</v>
      </c>
      <c r="AP255">
        <v>4.875</v>
      </c>
      <c r="AV255">
        <v>-1</v>
      </c>
    </row>
    <row r="256" spans="1:48" x14ac:dyDescent="0.55000000000000004">
      <c r="A256" t="str">
        <f>HYPERLINK("https://www.infodis.net/philips/net/Shipment/Details?InfodisNumber=1581289&amp;DomainCode=PHILIPSM1", "1581289")</f>
        <v>1581289</v>
      </c>
      <c r="B256" t="s">
        <v>3224</v>
      </c>
      <c r="C256" t="s">
        <v>2080</v>
      </c>
      <c r="D256" t="s">
        <v>2081</v>
      </c>
      <c r="E256" t="s">
        <v>2082</v>
      </c>
      <c r="F256" t="s">
        <v>3225</v>
      </c>
      <c r="G256" t="s">
        <v>1430</v>
      </c>
      <c r="H256" t="s">
        <v>244</v>
      </c>
      <c r="I256" t="s">
        <v>2084</v>
      </c>
      <c r="J256" t="s">
        <v>2495</v>
      </c>
      <c r="K256" t="s">
        <v>2496</v>
      </c>
      <c r="L256" t="s">
        <v>73</v>
      </c>
      <c r="M256" t="s">
        <v>60</v>
      </c>
      <c r="P256" t="s">
        <v>1432</v>
      </c>
      <c r="Q256" t="s">
        <v>3226</v>
      </c>
      <c r="R256" t="s">
        <v>2498</v>
      </c>
      <c r="S256" s="2">
        <v>44158</v>
      </c>
      <c r="T256" s="2">
        <v>44158</v>
      </c>
      <c r="U256" s="2">
        <v>44158</v>
      </c>
      <c r="V256" s="2">
        <v>44161</v>
      </c>
      <c r="Y256" t="s">
        <v>2359</v>
      </c>
      <c r="Z256" t="s">
        <v>604</v>
      </c>
      <c r="AA256" t="s">
        <v>603</v>
      </c>
      <c r="AB256" t="s">
        <v>67</v>
      </c>
      <c r="AC256" t="s">
        <v>67</v>
      </c>
      <c r="AD256" t="s">
        <v>68</v>
      </c>
      <c r="AF256" t="s">
        <v>2179</v>
      </c>
      <c r="AG256" t="s">
        <v>2180</v>
      </c>
      <c r="AH256" t="s">
        <v>2179</v>
      </c>
      <c r="AI256" t="s">
        <v>605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79</v>
      </c>
      <c r="AP256">
        <v>-1</v>
      </c>
      <c r="AV256">
        <v>-1</v>
      </c>
    </row>
    <row r="257" spans="1:48" x14ac:dyDescent="0.55000000000000004">
      <c r="A257" t="str">
        <f>HYPERLINK("https://www.infodis.net/philips/net/Shipment/Details?InfodisNumber=4566845&amp;DomainCode=DAP", "4566845")</f>
        <v>4566845</v>
      </c>
      <c r="B257" t="s">
        <v>3227</v>
      </c>
      <c r="C257" t="s">
        <v>212</v>
      </c>
      <c r="D257" t="s">
        <v>213</v>
      </c>
      <c r="E257" t="s">
        <v>214</v>
      </c>
      <c r="F257" t="s">
        <v>1078</v>
      </c>
      <c r="G257" t="s">
        <v>216</v>
      </c>
      <c r="H257" t="s">
        <v>55</v>
      </c>
      <c r="I257" t="s">
        <v>2367</v>
      </c>
      <c r="J257" t="s">
        <v>2368</v>
      </c>
      <c r="K257" t="s">
        <v>269</v>
      </c>
      <c r="L257" t="s">
        <v>180</v>
      </c>
      <c r="M257" t="s">
        <v>60</v>
      </c>
      <c r="P257" t="s">
        <v>2369</v>
      </c>
      <c r="Q257" t="s">
        <v>3228</v>
      </c>
      <c r="R257" t="s">
        <v>271</v>
      </c>
      <c r="S257" s="2">
        <v>44160</v>
      </c>
      <c r="T257" s="2">
        <v>44161</v>
      </c>
      <c r="U257" s="2">
        <v>44161</v>
      </c>
      <c r="V257" s="2">
        <v>44164</v>
      </c>
      <c r="Y257" t="s">
        <v>2371</v>
      </c>
      <c r="Z257" t="s">
        <v>2371</v>
      </c>
      <c r="AA257" t="s">
        <v>2371</v>
      </c>
      <c r="AB257" t="s">
        <v>67</v>
      </c>
      <c r="AC257" t="s">
        <v>67</v>
      </c>
      <c r="AD257" t="s">
        <v>67</v>
      </c>
      <c r="AF257" t="s">
        <v>2179</v>
      </c>
      <c r="AG257" t="s">
        <v>2180</v>
      </c>
      <c r="AH257" t="s">
        <v>2179</v>
      </c>
      <c r="AI257" t="s">
        <v>73</v>
      </c>
      <c r="AJ257">
        <v>0</v>
      </c>
      <c r="AK257">
        <v>0</v>
      </c>
      <c r="AL257">
        <v>0</v>
      </c>
      <c r="AM257">
        <v>0</v>
      </c>
      <c r="AN257">
        <v>8</v>
      </c>
      <c r="AO257">
        <v>1315</v>
      </c>
      <c r="AP257">
        <v>10.176</v>
      </c>
      <c r="AV257">
        <v>-1</v>
      </c>
    </row>
    <row r="258" spans="1:48" x14ac:dyDescent="0.55000000000000004">
      <c r="A258" t="str">
        <f>HYPERLINK("https://www.infodis.net/philips/net/Shipment/Details?InfodisNumber=4566846&amp;DomainCode=DAP", "4566846")</f>
        <v>4566846</v>
      </c>
      <c r="B258" t="s">
        <v>3229</v>
      </c>
      <c r="C258" t="s">
        <v>212</v>
      </c>
      <c r="D258" t="s">
        <v>213</v>
      </c>
      <c r="E258" t="s">
        <v>214</v>
      </c>
      <c r="F258" t="s">
        <v>1078</v>
      </c>
      <c r="G258" t="s">
        <v>216</v>
      </c>
      <c r="H258" t="s">
        <v>55</v>
      </c>
      <c r="I258" t="s">
        <v>2367</v>
      </c>
      <c r="J258" t="s">
        <v>2368</v>
      </c>
      <c r="K258" t="s">
        <v>269</v>
      </c>
      <c r="L258" t="s">
        <v>180</v>
      </c>
      <c r="M258" t="s">
        <v>60</v>
      </c>
      <c r="P258" t="s">
        <v>2369</v>
      </c>
      <c r="Q258" t="s">
        <v>3230</v>
      </c>
      <c r="R258" t="s">
        <v>271</v>
      </c>
      <c r="S258" s="2">
        <v>44160</v>
      </c>
      <c r="T258" s="2">
        <v>44161</v>
      </c>
      <c r="U258" s="2">
        <v>44161</v>
      </c>
      <c r="V258" s="2">
        <v>44164</v>
      </c>
      <c r="Y258" t="s">
        <v>2371</v>
      </c>
      <c r="Z258" t="s">
        <v>2371</v>
      </c>
      <c r="AA258" t="s">
        <v>2371</v>
      </c>
      <c r="AB258" t="s">
        <v>67</v>
      </c>
      <c r="AC258" t="s">
        <v>67</v>
      </c>
      <c r="AD258" t="s">
        <v>67</v>
      </c>
      <c r="AF258" t="s">
        <v>2179</v>
      </c>
      <c r="AG258" t="s">
        <v>2180</v>
      </c>
      <c r="AH258" t="s">
        <v>2179</v>
      </c>
      <c r="AI258" t="s">
        <v>73</v>
      </c>
      <c r="AJ258">
        <v>0</v>
      </c>
      <c r="AK258">
        <v>0</v>
      </c>
      <c r="AL258">
        <v>0</v>
      </c>
      <c r="AM258">
        <v>0</v>
      </c>
      <c r="AN258">
        <v>6</v>
      </c>
      <c r="AO258">
        <v>1020</v>
      </c>
      <c r="AP258">
        <v>7.6320000000000006</v>
      </c>
      <c r="AV258">
        <v>-1</v>
      </c>
    </row>
    <row r="259" spans="1:48" x14ac:dyDescent="0.55000000000000004">
      <c r="A259" t="str">
        <f>HYPERLINK("https://www.infodis.net/philips/net/Shipment/Details?InfodisNumber=1581303&amp;DomainCode=PHILIPSM1", "1581303")</f>
        <v>1581303</v>
      </c>
      <c r="B259" t="s">
        <v>3231</v>
      </c>
      <c r="C259" t="s">
        <v>2080</v>
      </c>
      <c r="D259" t="s">
        <v>2081</v>
      </c>
      <c r="E259" t="s">
        <v>2082</v>
      </c>
      <c r="F259" t="s">
        <v>3232</v>
      </c>
      <c r="G259" t="s">
        <v>1430</v>
      </c>
      <c r="H259" t="s">
        <v>244</v>
      </c>
      <c r="I259" t="s">
        <v>2084</v>
      </c>
      <c r="J259" t="s">
        <v>2938</v>
      </c>
      <c r="K259" t="s">
        <v>3233</v>
      </c>
      <c r="L259" t="s">
        <v>2940</v>
      </c>
      <c r="M259" t="s">
        <v>60</v>
      </c>
      <c r="P259" t="s">
        <v>1432</v>
      </c>
      <c r="Q259" t="s">
        <v>3234</v>
      </c>
      <c r="R259" t="s">
        <v>2938</v>
      </c>
      <c r="S259" s="2">
        <v>44158</v>
      </c>
      <c r="T259" s="2">
        <v>44158</v>
      </c>
      <c r="U259" s="2">
        <v>44158</v>
      </c>
      <c r="V259" s="2">
        <v>44161</v>
      </c>
      <c r="Y259" t="s">
        <v>2387</v>
      </c>
      <c r="Z259" t="s">
        <v>2387</v>
      </c>
      <c r="AA259" t="s">
        <v>603</v>
      </c>
      <c r="AB259" t="s">
        <v>67</v>
      </c>
      <c r="AC259" t="s">
        <v>67</v>
      </c>
      <c r="AD259" t="s">
        <v>68</v>
      </c>
      <c r="AF259" t="s">
        <v>2179</v>
      </c>
      <c r="AG259" t="s">
        <v>2180</v>
      </c>
      <c r="AH259" t="s">
        <v>2179</v>
      </c>
      <c r="AI259" t="s">
        <v>605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109.4</v>
      </c>
      <c r="AP259">
        <v>0.81799999999999995</v>
      </c>
      <c r="AV259">
        <v>-1</v>
      </c>
    </row>
    <row r="260" spans="1:48" x14ac:dyDescent="0.55000000000000004">
      <c r="A260" t="str">
        <f>HYPERLINK("https://www.infodis.net/philips/net/Shipment/Details?InfodisNumber=4564699&amp;DomainCode=DAP", "4564699")</f>
        <v>4564699</v>
      </c>
      <c r="B260" t="s">
        <v>3235</v>
      </c>
      <c r="C260" t="s">
        <v>2067</v>
      </c>
      <c r="D260" t="s">
        <v>2068</v>
      </c>
      <c r="E260" t="s">
        <v>3236</v>
      </c>
      <c r="F260" t="s">
        <v>3236</v>
      </c>
      <c r="G260" t="s">
        <v>82</v>
      </c>
      <c r="H260" t="s">
        <v>83</v>
      </c>
      <c r="I260" t="s">
        <v>2141</v>
      </c>
      <c r="J260" t="s">
        <v>2367</v>
      </c>
      <c r="K260" t="s">
        <v>3237</v>
      </c>
      <c r="L260" t="s">
        <v>55</v>
      </c>
      <c r="M260" t="s">
        <v>84</v>
      </c>
      <c r="P260" t="s">
        <v>87</v>
      </c>
      <c r="R260" t="s">
        <v>3238</v>
      </c>
      <c r="S260" s="2">
        <v>44158</v>
      </c>
      <c r="T260" s="2">
        <v>44158</v>
      </c>
      <c r="V260" s="2">
        <v>44161</v>
      </c>
      <c r="Y260" t="s">
        <v>1735</v>
      </c>
      <c r="Z260" t="s">
        <v>1735</v>
      </c>
      <c r="AA260" t="s">
        <v>1735</v>
      </c>
      <c r="AB260" t="s">
        <v>67</v>
      </c>
      <c r="AC260" t="s">
        <v>67</v>
      </c>
      <c r="AD260" t="s">
        <v>67</v>
      </c>
      <c r="AF260" t="s">
        <v>2179</v>
      </c>
      <c r="AG260" t="s">
        <v>2180</v>
      </c>
      <c r="AH260" t="s">
        <v>2179</v>
      </c>
      <c r="AI260" t="s">
        <v>73</v>
      </c>
      <c r="AJ260">
        <v>0</v>
      </c>
      <c r="AK260">
        <v>0</v>
      </c>
      <c r="AL260">
        <v>0</v>
      </c>
      <c r="AM260">
        <v>0</v>
      </c>
      <c r="AN260">
        <v>10</v>
      </c>
      <c r="AO260">
        <v>1240</v>
      </c>
      <c r="AP260">
        <v>11.28</v>
      </c>
      <c r="AV260">
        <v>-1</v>
      </c>
    </row>
    <row r="261" spans="1:48" x14ac:dyDescent="0.55000000000000004">
      <c r="A261" t="str">
        <f>HYPERLINK("https://www.infodis.net/philips/net/Shipment/Details?InfodisNumber=4564703&amp;DomainCode=DAP", "4564703")</f>
        <v>4564703</v>
      </c>
      <c r="B261" t="s">
        <v>3239</v>
      </c>
      <c r="C261" t="s">
        <v>2067</v>
      </c>
      <c r="D261" t="s">
        <v>2068</v>
      </c>
      <c r="E261" t="s">
        <v>3236</v>
      </c>
      <c r="F261" t="s">
        <v>3236</v>
      </c>
      <c r="G261" t="s">
        <v>82</v>
      </c>
      <c r="H261" t="s">
        <v>83</v>
      </c>
      <c r="I261" t="s">
        <v>2141</v>
      </c>
      <c r="J261" t="s">
        <v>2367</v>
      </c>
      <c r="K261" t="s">
        <v>3237</v>
      </c>
      <c r="L261" t="s">
        <v>55</v>
      </c>
      <c r="M261" t="s">
        <v>84</v>
      </c>
      <c r="P261" t="s">
        <v>87</v>
      </c>
      <c r="R261" t="s">
        <v>3238</v>
      </c>
      <c r="S261" s="2">
        <v>44158</v>
      </c>
      <c r="T261" s="2">
        <v>44158</v>
      </c>
      <c r="V261" s="2">
        <v>44161</v>
      </c>
      <c r="Y261" t="s">
        <v>1735</v>
      </c>
      <c r="Z261" t="s">
        <v>1735</v>
      </c>
      <c r="AA261" t="s">
        <v>1735</v>
      </c>
      <c r="AB261" t="s">
        <v>67</v>
      </c>
      <c r="AC261" t="s">
        <v>67</v>
      </c>
      <c r="AD261" t="s">
        <v>67</v>
      </c>
      <c r="AF261" t="s">
        <v>2179</v>
      </c>
      <c r="AG261" t="s">
        <v>2180</v>
      </c>
      <c r="AH261" t="s">
        <v>2179</v>
      </c>
      <c r="AI261" t="s">
        <v>73</v>
      </c>
      <c r="AJ261">
        <v>0</v>
      </c>
      <c r="AK261">
        <v>0</v>
      </c>
      <c r="AL261">
        <v>0</v>
      </c>
      <c r="AM261">
        <v>0</v>
      </c>
      <c r="AN261">
        <v>10</v>
      </c>
      <c r="AO261">
        <v>1240</v>
      </c>
      <c r="AP261">
        <v>11.28</v>
      </c>
      <c r="AV261">
        <v>-1</v>
      </c>
    </row>
    <row r="262" spans="1:48" x14ac:dyDescent="0.55000000000000004">
      <c r="A262" t="str">
        <f>HYPERLINK("https://www.infodis.net/philips/net/Shipment/Details?InfodisNumber=1581328&amp;DomainCode=PHILIPSM1", "1581328")</f>
        <v>1581328</v>
      </c>
      <c r="B262" t="s">
        <v>3240</v>
      </c>
      <c r="C262" t="s">
        <v>2080</v>
      </c>
      <c r="D262" t="s">
        <v>2081</v>
      </c>
      <c r="E262" t="s">
        <v>1428</v>
      </c>
      <c r="G262" t="s">
        <v>1430</v>
      </c>
      <c r="H262" t="s">
        <v>244</v>
      </c>
      <c r="I262" t="s">
        <v>2084</v>
      </c>
      <c r="J262" t="s">
        <v>2057</v>
      </c>
      <c r="K262" t="s">
        <v>3241</v>
      </c>
      <c r="L262" t="s">
        <v>180</v>
      </c>
      <c r="M262" t="s">
        <v>60</v>
      </c>
      <c r="P262" t="s">
        <v>1432</v>
      </c>
      <c r="Q262" t="s">
        <v>3242</v>
      </c>
      <c r="R262" t="s">
        <v>3243</v>
      </c>
      <c r="S262" s="2">
        <v>44158</v>
      </c>
      <c r="T262" s="2">
        <v>44158</v>
      </c>
      <c r="U262" s="2">
        <v>44158</v>
      </c>
      <c r="V262" s="2">
        <v>44163</v>
      </c>
      <c r="Y262" t="s">
        <v>2359</v>
      </c>
      <c r="Z262" t="s">
        <v>2359</v>
      </c>
      <c r="AA262" t="s">
        <v>2359</v>
      </c>
      <c r="AB262" t="s">
        <v>67</v>
      </c>
      <c r="AC262" t="s">
        <v>67</v>
      </c>
      <c r="AD262" t="s">
        <v>67</v>
      </c>
      <c r="AF262" t="s">
        <v>2399</v>
      </c>
      <c r="AG262" t="s">
        <v>2400</v>
      </c>
      <c r="AH262" t="s">
        <v>2399</v>
      </c>
      <c r="AI262" t="s">
        <v>605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1127</v>
      </c>
      <c r="AP262">
        <v>28.574000000000002</v>
      </c>
      <c r="AV262">
        <v>-1</v>
      </c>
    </row>
    <row r="263" spans="1:48" x14ac:dyDescent="0.55000000000000004">
      <c r="A263" t="str">
        <f>HYPERLINK("https://www.infodis.net/philips/net/Shipment/Details?InfodisNumber=4565208&amp;DomainCode=DAP", "4565208")</f>
        <v>4565208</v>
      </c>
      <c r="B263" t="s">
        <v>3244</v>
      </c>
      <c r="C263" t="s">
        <v>3245</v>
      </c>
      <c r="D263" t="s">
        <v>3246</v>
      </c>
      <c r="E263" t="s">
        <v>3245</v>
      </c>
      <c r="F263" t="s">
        <v>393</v>
      </c>
      <c r="G263" t="s">
        <v>1961</v>
      </c>
      <c r="H263" t="s">
        <v>180</v>
      </c>
      <c r="I263" t="s">
        <v>1070</v>
      </c>
      <c r="J263" t="s">
        <v>268</v>
      </c>
      <c r="K263" t="s">
        <v>855</v>
      </c>
      <c r="L263" t="s">
        <v>267</v>
      </c>
      <c r="M263" t="s">
        <v>84</v>
      </c>
      <c r="P263" t="s">
        <v>1965</v>
      </c>
      <c r="R263" t="s">
        <v>268</v>
      </c>
      <c r="S263" s="2">
        <v>44158</v>
      </c>
      <c r="T263" s="2">
        <v>44158</v>
      </c>
      <c r="V263" s="2">
        <v>44161</v>
      </c>
      <c r="Y263" t="s">
        <v>1735</v>
      </c>
      <c r="Z263" t="s">
        <v>1735</v>
      </c>
      <c r="AA263" t="s">
        <v>1735</v>
      </c>
      <c r="AB263" t="s">
        <v>67</v>
      </c>
      <c r="AC263" t="s">
        <v>67</v>
      </c>
      <c r="AD263" t="s">
        <v>67</v>
      </c>
      <c r="AF263" t="s">
        <v>2179</v>
      </c>
      <c r="AG263" t="s">
        <v>2180</v>
      </c>
      <c r="AH263" t="s">
        <v>2179</v>
      </c>
      <c r="AI263" t="s">
        <v>73</v>
      </c>
      <c r="AJ263">
        <v>0</v>
      </c>
      <c r="AK263">
        <v>0</v>
      </c>
      <c r="AL263">
        <v>0</v>
      </c>
      <c r="AM263">
        <v>0</v>
      </c>
      <c r="AN263">
        <v>12</v>
      </c>
      <c r="AO263">
        <v>3350</v>
      </c>
      <c r="AP263">
        <v>19.210999999999999</v>
      </c>
      <c r="AV263">
        <v>-1</v>
      </c>
    </row>
    <row r="264" spans="1:48" x14ac:dyDescent="0.55000000000000004">
      <c r="A264" t="str">
        <f>HYPERLINK("https://www.infodis.net/philips/net/Shipment/Details?InfodisNumber=7006102&amp;DomainCode=PHILIPSR1", "7006102")</f>
        <v>7006102</v>
      </c>
      <c r="B264" t="s">
        <v>3247</v>
      </c>
      <c r="C264" t="s">
        <v>2471</v>
      </c>
      <c r="D264" t="s">
        <v>2472</v>
      </c>
      <c r="E264" t="s">
        <v>458</v>
      </c>
      <c r="F264" t="s">
        <v>2473</v>
      </c>
      <c r="G264" t="s">
        <v>2429</v>
      </c>
      <c r="H264" t="s">
        <v>180</v>
      </c>
      <c r="I264" t="s">
        <v>652</v>
      </c>
      <c r="J264" t="s">
        <v>2396</v>
      </c>
      <c r="K264" t="s">
        <v>433</v>
      </c>
      <c r="L264" t="s">
        <v>79</v>
      </c>
      <c r="M264" t="s">
        <v>60</v>
      </c>
      <c r="P264" t="s">
        <v>613</v>
      </c>
      <c r="Q264" t="s">
        <v>3248</v>
      </c>
      <c r="R264" t="s">
        <v>2475</v>
      </c>
      <c r="S264" s="2">
        <v>44158</v>
      </c>
      <c r="T264" s="2">
        <v>44159</v>
      </c>
      <c r="U264" s="2">
        <v>44158</v>
      </c>
      <c r="V264" s="2">
        <v>44162</v>
      </c>
      <c r="Y264" t="s">
        <v>2476</v>
      </c>
      <c r="Z264" t="s">
        <v>2476</v>
      </c>
      <c r="AA264" t="s">
        <v>2476</v>
      </c>
      <c r="AB264" t="s">
        <v>67</v>
      </c>
      <c r="AC264" t="s">
        <v>67</v>
      </c>
      <c r="AD264" t="s">
        <v>67</v>
      </c>
      <c r="AF264" t="s">
        <v>2179</v>
      </c>
      <c r="AG264" t="s">
        <v>2180</v>
      </c>
      <c r="AH264" t="s">
        <v>2179</v>
      </c>
      <c r="AI264" t="s">
        <v>252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1.81</v>
      </c>
      <c r="AP264">
        <v>0.02</v>
      </c>
      <c r="AV264">
        <v>-1</v>
      </c>
    </row>
    <row r="265" spans="1:48" x14ac:dyDescent="0.55000000000000004">
      <c r="A265" t="str">
        <f>HYPERLINK("https://www.infodis.net/philips/net/Shipment/Details?InfodisNumber=4565280&amp;DomainCode=DAP", "4565280")</f>
        <v>4565280</v>
      </c>
      <c r="B265" t="s">
        <v>3249</v>
      </c>
      <c r="C265" t="s">
        <v>2637</v>
      </c>
      <c r="D265" t="s">
        <v>2638</v>
      </c>
      <c r="E265" t="s">
        <v>304</v>
      </c>
      <c r="F265" t="s">
        <v>3250</v>
      </c>
      <c r="G265" t="s">
        <v>284</v>
      </c>
      <c r="H265" t="s">
        <v>285</v>
      </c>
      <c r="I265" t="s">
        <v>2640</v>
      </c>
      <c r="J265" t="s">
        <v>2396</v>
      </c>
      <c r="K265" t="s">
        <v>667</v>
      </c>
      <c r="L265" t="s">
        <v>79</v>
      </c>
      <c r="M265" t="s">
        <v>60</v>
      </c>
      <c r="P265" t="s">
        <v>287</v>
      </c>
      <c r="R265" t="s">
        <v>3251</v>
      </c>
      <c r="S265" s="2">
        <v>44158</v>
      </c>
      <c r="T265" s="2">
        <v>44160</v>
      </c>
      <c r="V265" s="2">
        <v>44165</v>
      </c>
      <c r="Y265" t="s">
        <v>2411</v>
      </c>
      <c r="Z265" t="s">
        <v>2411</v>
      </c>
      <c r="AA265" t="s">
        <v>2411</v>
      </c>
      <c r="AB265" t="s">
        <v>67</v>
      </c>
      <c r="AC265" t="s">
        <v>67</v>
      </c>
      <c r="AD265" t="s">
        <v>67</v>
      </c>
      <c r="AF265" t="s">
        <v>2399</v>
      </c>
      <c r="AG265" t="s">
        <v>2400</v>
      </c>
      <c r="AH265" t="s">
        <v>2399</v>
      </c>
      <c r="AI265" t="s">
        <v>73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95</v>
      </c>
      <c r="AP265">
        <v>0.38400000000000001</v>
      </c>
      <c r="AV265">
        <v>-1</v>
      </c>
    </row>
    <row r="266" spans="1:48" x14ac:dyDescent="0.55000000000000004">
      <c r="A266" t="str">
        <f>HYPERLINK("https://www.infodis.net/philips/net/Shipment/Details?InfodisNumber=7006983&amp;DomainCode=PHILIPSR1", "7006983")</f>
        <v>7006983</v>
      </c>
      <c r="B266" t="s">
        <v>3252</v>
      </c>
      <c r="C266" t="s">
        <v>2426</v>
      </c>
      <c r="D266" t="s">
        <v>2427</v>
      </c>
      <c r="E266" t="s">
        <v>458</v>
      </c>
      <c r="F266" t="s">
        <v>3253</v>
      </c>
      <c r="G266" t="s">
        <v>2429</v>
      </c>
      <c r="H266" t="s">
        <v>180</v>
      </c>
      <c r="I266" t="s">
        <v>652</v>
      </c>
      <c r="J266" t="s">
        <v>2997</v>
      </c>
      <c r="K266" t="s">
        <v>3254</v>
      </c>
      <c r="L266" t="s">
        <v>132</v>
      </c>
      <c r="M266" t="s">
        <v>60</v>
      </c>
      <c r="P266" t="s">
        <v>613</v>
      </c>
      <c r="Q266" t="s">
        <v>3255</v>
      </c>
      <c r="R266" t="s">
        <v>3256</v>
      </c>
      <c r="S266" s="2">
        <v>44158</v>
      </c>
      <c r="T266" s="2">
        <v>44159</v>
      </c>
      <c r="U266" s="2">
        <v>44158</v>
      </c>
      <c r="V266" s="2">
        <v>44162</v>
      </c>
      <c r="Y266" t="s">
        <v>1735</v>
      </c>
      <c r="Z266" t="s">
        <v>1735</v>
      </c>
      <c r="AA266" t="s">
        <v>1735</v>
      </c>
      <c r="AB266" t="s">
        <v>67</v>
      </c>
      <c r="AC266" t="s">
        <v>67</v>
      </c>
      <c r="AD266" t="s">
        <v>67</v>
      </c>
      <c r="AF266" t="s">
        <v>2179</v>
      </c>
      <c r="AG266" t="s">
        <v>2180</v>
      </c>
      <c r="AH266" t="s">
        <v>2179</v>
      </c>
      <c r="AI266" t="s">
        <v>252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11.3</v>
      </c>
      <c r="AP266">
        <v>0.115</v>
      </c>
      <c r="AV266">
        <v>-1</v>
      </c>
    </row>
    <row r="267" spans="1:48" x14ac:dyDescent="0.55000000000000004">
      <c r="A267" t="str">
        <f>HYPERLINK("https://www.infodis.net/philips/net/Shipment/Details?InfodisNumber=1581448&amp;DomainCode=PHILIPSM1", "1581448")</f>
        <v>1581448</v>
      </c>
      <c r="B267" t="s">
        <v>3257</v>
      </c>
      <c r="C267" t="s">
        <v>2539</v>
      </c>
      <c r="D267" t="s">
        <v>2540</v>
      </c>
      <c r="E267" t="s">
        <v>2539</v>
      </c>
      <c r="F267" t="s">
        <v>3258</v>
      </c>
      <c r="G267" t="s">
        <v>2542</v>
      </c>
      <c r="H267" t="s">
        <v>180</v>
      </c>
      <c r="I267" t="s">
        <v>652</v>
      </c>
      <c r="J267" t="s">
        <v>2084</v>
      </c>
      <c r="K267" t="s">
        <v>54</v>
      </c>
      <c r="L267" t="s">
        <v>55</v>
      </c>
      <c r="M267" t="s">
        <v>60</v>
      </c>
      <c r="P267" t="s">
        <v>2545</v>
      </c>
      <c r="Q267" t="s">
        <v>3259</v>
      </c>
      <c r="R267" t="s">
        <v>63</v>
      </c>
      <c r="S267" s="2">
        <v>44158</v>
      </c>
      <c r="T267" s="2">
        <v>44158</v>
      </c>
      <c r="U267" s="2">
        <v>44158</v>
      </c>
      <c r="V267" s="2">
        <v>44161</v>
      </c>
      <c r="W267" s="2">
        <v>44159</v>
      </c>
      <c r="Y267" t="s">
        <v>2359</v>
      </c>
      <c r="Z267" t="s">
        <v>2359</v>
      </c>
      <c r="AA267" t="s">
        <v>2359</v>
      </c>
      <c r="AB267" t="s">
        <v>67</v>
      </c>
      <c r="AC267" t="s">
        <v>67</v>
      </c>
      <c r="AD267" t="s">
        <v>67</v>
      </c>
      <c r="AF267" t="s">
        <v>2179</v>
      </c>
      <c r="AG267" t="s">
        <v>2180</v>
      </c>
      <c r="AH267" t="s">
        <v>2179</v>
      </c>
      <c r="AI267" t="s">
        <v>605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59</v>
      </c>
      <c r="AP267">
        <v>0.80900000000000005</v>
      </c>
      <c r="AV267">
        <v>-1</v>
      </c>
    </row>
    <row r="268" spans="1:48" x14ac:dyDescent="0.55000000000000004">
      <c r="A268" t="str">
        <f>HYPERLINK("https://www.infodis.net/philips/net/Shipment/Details?InfodisNumber=4565643&amp;DomainCode=DAP", "4565643")</f>
        <v>4565643</v>
      </c>
      <c r="B268" t="s">
        <v>3260</v>
      </c>
      <c r="C268" t="s">
        <v>2344</v>
      </c>
      <c r="D268" t="s">
        <v>2345</v>
      </c>
      <c r="E268" t="s">
        <v>191</v>
      </c>
      <c r="F268" t="s">
        <v>191</v>
      </c>
      <c r="G268" t="s">
        <v>281</v>
      </c>
      <c r="H268" t="s">
        <v>79</v>
      </c>
      <c r="I268" t="s">
        <v>282</v>
      </c>
      <c r="J268" t="s">
        <v>194</v>
      </c>
      <c r="K268" t="s">
        <v>269</v>
      </c>
      <c r="L268" t="s">
        <v>180</v>
      </c>
      <c r="M268" t="s">
        <v>84</v>
      </c>
      <c r="P268" t="s">
        <v>286</v>
      </c>
      <c r="Q268" t="s">
        <v>3261</v>
      </c>
      <c r="R268" t="s">
        <v>271</v>
      </c>
      <c r="S268" s="2">
        <v>44159</v>
      </c>
      <c r="T268" s="2">
        <v>44160</v>
      </c>
      <c r="V268" s="2">
        <v>44163</v>
      </c>
      <c r="Y268" t="s">
        <v>66</v>
      </c>
      <c r="Z268" t="s">
        <v>1735</v>
      </c>
      <c r="AA268" t="s">
        <v>1735</v>
      </c>
      <c r="AB268" t="s">
        <v>68</v>
      </c>
      <c r="AC268" t="s">
        <v>67</v>
      </c>
      <c r="AD268" t="s">
        <v>67</v>
      </c>
      <c r="AF268" t="s">
        <v>2179</v>
      </c>
      <c r="AG268" t="s">
        <v>2180</v>
      </c>
      <c r="AH268" t="s">
        <v>2179</v>
      </c>
      <c r="AI268" t="s">
        <v>73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432</v>
      </c>
      <c r="AP268">
        <v>4.32</v>
      </c>
      <c r="AV268">
        <v>-1</v>
      </c>
    </row>
    <row r="269" spans="1:48" x14ac:dyDescent="0.55000000000000004">
      <c r="A269" t="str">
        <f>HYPERLINK("https://www.infodis.net/philips/net/Shipment/Details?InfodisNumber=4565661&amp;DomainCode=DAP", "4565661")</f>
        <v>4565661</v>
      </c>
      <c r="B269" t="s">
        <v>3262</v>
      </c>
      <c r="C269" t="s">
        <v>2344</v>
      </c>
      <c r="D269" t="s">
        <v>2345</v>
      </c>
      <c r="E269" t="s">
        <v>191</v>
      </c>
      <c r="F269" t="s">
        <v>191</v>
      </c>
      <c r="G269" t="s">
        <v>281</v>
      </c>
      <c r="H269" t="s">
        <v>79</v>
      </c>
      <c r="I269" t="s">
        <v>268</v>
      </c>
      <c r="J269" t="s">
        <v>2341</v>
      </c>
      <c r="K269" t="s">
        <v>219</v>
      </c>
      <c r="L269" t="s">
        <v>180</v>
      </c>
      <c r="M269" t="s">
        <v>84</v>
      </c>
      <c r="P269" t="s">
        <v>286</v>
      </c>
      <c r="R269" t="s">
        <v>223</v>
      </c>
      <c r="S269" s="2">
        <v>44159</v>
      </c>
      <c r="T269" s="2">
        <v>44162</v>
      </c>
      <c r="V269" s="2">
        <v>44165</v>
      </c>
      <c r="Y269" t="s">
        <v>66</v>
      </c>
      <c r="Z269" t="s">
        <v>2371</v>
      </c>
      <c r="AA269" t="s">
        <v>2371</v>
      </c>
      <c r="AB269" t="s">
        <v>68</v>
      </c>
      <c r="AC269" t="s">
        <v>67</v>
      </c>
      <c r="AD269" t="s">
        <v>67</v>
      </c>
      <c r="AF269" t="s">
        <v>2179</v>
      </c>
      <c r="AG269" t="s">
        <v>2180</v>
      </c>
      <c r="AH269" t="s">
        <v>2179</v>
      </c>
      <c r="AI269" t="s">
        <v>73</v>
      </c>
      <c r="AJ269">
        <v>0</v>
      </c>
      <c r="AK269">
        <v>0</v>
      </c>
      <c r="AL269">
        <v>0</v>
      </c>
      <c r="AM269">
        <v>0</v>
      </c>
      <c r="AN269">
        <v>15</v>
      </c>
      <c r="AO269">
        <v>2592</v>
      </c>
      <c r="AP269">
        <v>21.6</v>
      </c>
      <c r="AV269">
        <v>-1</v>
      </c>
    </row>
    <row r="270" spans="1:48" x14ac:dyDescent="0.55000000000000004">
      <c r="A270" t="str">
        <f>HYPERLINK("https://www.infodis.net/philips/net/Shipment/Details?InfodisNumber=1581472&amp;DomainCode=PHILIPSM1", "1581472")</f>
        <v>1581472</v>
      </c>
      <c r="B270" t="s">
        <v>3263</v>
      </c>
      <c r="C270" t="s">
        <v>2080</v>
      </c>
      <c r="D270" t="s">
        <v>2081</v>
      </c>
      <c r="E270" t="s">
        <v>1428</v>
      </c>
      <c r="F270" t="s">
        <v>3264</v>
      </c>
      <c r="G270" t="s">
        <v>1430</v>
      </c>
      <c r="H270" t="s">
        <v>244</v>
      </c>
      <c r="I270" t="s">
        <v>2084</v>
      </c>
      <c r="J270" t="s">
        <v>293</v>
      </c>
      <c r="K270" t="s">
        <v>937</v>
      </c>
      <c r="L270" t="s">
        <v>938</v>
      </c>
      <c r="M270" t="s">
        <v>60</v>
      </c>
      <c r="P270" t="s">
        <v>1432</v>
      </c>
      <c r="Q270" t="s">
        <v>3265</v>
      </c>
      <c r="R270" t="s">
        <v>939</v>
      </c>
      <c r="S270" s="2">
        <v>44159</v>
      </c>
      <c r="T270" s="2">
        <v>44160</v>
      </c>
      <c r="U270" s="2">
        <v>44159</v>
      </c>
      <c r="V270" s="2">
        <v>44163</v>
      </c>
      <c r="Y270" t="s">
        <v>604</v>
      </c>
      <c r="Z270" t="s">
        <v>604</v>
      </c>
      <c r="AA270" t="s">
        <v>603</v>
      </c>
      <c r="AB270" t="s">
        <v>67</v>
      </c>
      <c r="AC270" t="s">
        <v>67</v>
      </c>
      <c r="AD270" t="s">
        <v>68</v>
      </c>
      <c r="AF270" t="s">
        <v>2179</v>
      </c>
      <c r="AG270" t="s">
        <v>2180</v>
      </c>
      <c r="AH270" t="s">
        <v>2179</v>
      </c>
      <c r="AI270" t="s">
        <v>605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68.5</v>
      </c>
      <c r="AP270">
        <v>0.81700000000000006</v>
      </c>
      <c r="AV270">
        <v>-1</v>
      </c>
    </row>
    <row r="271" spans="1:48" x14ac:dyDescent="0.55000000000000004">
      <c r="A271" t="str">
        <f>HYPERLINK("https://www.infodis.net/philips/net/Shipment/Details?InfodisNumber=4565761&amp;DomainCode=DAP", "4565761")</f>
        <v>4565761</v>
      </c>
      <c r="B271" t="s">
        <v>3266</v>
      </c>
      <c r="C271" t="s">
        <v>3267</v>
      </c>
      <c r="D271" t="s">
        <v>3268</v>
      </c>
      <c r="E271" t="s">
        <v>304</v>
      </c>
      <c r="F271" t="s">
        <v>393</v>
      </c>
      <c r="G271" t="s">
        <v>3269</v>
      </c>
      <c r="H271" t="s">
        <v>55</v>
      </c>
      <c r="I271" t="s">
        <v>2367</v>
      </c>
      <c r="J271" t="s">
        <v>268</v>
      </c>
      <c r="K271" t="s">
        <v>3270</v>
      </c>
      <c r="L271" t="s">
        <v>267</v>
      </c>
      <c r="M271" t="s">
        <v>84</v>
      </c>
      <c r="P271" t="s">
        <v>3271</v>
      </c>
      <c r="R271" t="s">
        <v>3272</v>
      </c>
      <c r="S271" s="2">
        <v>44159</v>
      </c>
      <c r="T271" s="2">
        <v>44160</v>
      </c>
      <c r="V271" s="2">
        <v>44163</v>
      </c>
      <c r="Y271" t="s">
        <v>2051</v>
      </c>
      <c r="Z271" t="s">
        <v>2051</v>
      </c>
      <c r="AA271" t="s">
        <v>2051</v>
      </c>
      <c r="AB271" t="s">
        <v>67</v>
      </c>
      <c r="AC271" t="s">
        <v>67</v>
      </c>
      <c r="AD271" t="s">
        <v>67</v>
      </c>
      <c r="AF271" t="s">
        <v>2179</v>
      </c>
      <c r="AG271" t="s">
        <v>2180</v>
      </c>
      <c r="AH271" t="s">
        <v>2179</v>
      </c>
      <c r="AI271" t="s">
        <v>73</v>
      </c>
      <c r="AJ271">
        <v>0</v>
      </c>
      <c r="AK271">
        <v>0</v>
      </c>
      <c r="AL271">
        <v>0</v>
      </c>
      <c r="AM271">
        <v>0</v>
      </c>
      <c r="AN271">
        <v>7</v>
      </c>
      <c r="AO271">
        <v>3087</v>
      </c>
      <c r="AP271">
        <v>7.93</v>
      </c>
      <c r="AV271">
        <v>-1</v>
      </c>
    </row>
    <row r="272" spans="1:48" x14ac:dyDescent="0.55000000000000004">
      <c r="A272" t="str">
        <f>HYPERLINK("https://www.infodis.net/philips/net/Shipment/Details?InfodisNumber=4565889&amp;DomainCode=DAP", "4565889")</f>
        <v>4565889</v>
      </c>
      <c r="B272" t="s">
        <v>3273</v>
      </c>
      <c r="C272" t="s">
        <v>212</v>
      </c>
      <c r="D272" t="s">
        <v>213</v>
      </c>
      <c r="E272" t="s">
        <v>214</v>
      </c>
      <c r="F272" t="s">
        <v>2069</v>
      </c>
      <c r="G272" t="s">
        <v>216</v>
      </c>
      <c r="H272" t="s">
        <v>55</v>
      </c>
      <c r="I272" t="s">
        <v>2367</v>
      </c>
      <c r="J272" t="s">
        <v>293</v>
      </c>
      <c r="K272" t="s">
        <v>937</v>
      </c>
      <c r="L272" t="s">
        <v>938</v>
      </c>
      <c r="M272" t="s">
        <v>60</v>
      </c>
      <c r="P272" t="s">
        <v>2369</v>
      </c>
      <c r="Q272" t="s">
        <v>3274</v>
      </c>
      <c r="R272" t="s">
        <v>2424</v>
      </c>
      <c r="S272" s="2">
        <v>44159</v>
      </c>
      <c r="T272" s="2">
        <v>44161</v>
      </c>
      <c r="U272" s="2">
        <v>44161</v>
      </c>
      <c r="V272" s="2">
        <v>44164</v>
      </c>
      <c r="Y272" t="s">
        <v>2398</v>
      </c>
      <c r="Z272" t="s">
        <v>2398</v>
      </c>
      <c r="AA272" t="s">
        <v>2398</v>
      </c>
      <c r="AB272" t="s">
        <v>67</v>
      </c>
      <c r="AC272" t="s">
        <v>67</v>
      </c>
      <c r="AD272" t="s">
        <v>67</v>
      </c>
      <c r="AF272" t="s">
        <v>2179</v>
      </c>
      <c r="AG272" t="s">
        <v>2180</v>
      </c>
      <c r="AH272" t="s">
        <v>2179</v>
      </c>
      <c r="AI272" t="s">
        <v>73</v>
      </c>
      <c r="AJ272">
        <v>0</v>
      </c>
      <c r="AK272">
        <v>0</v>
      </c>
      <c r="AL272">
        <v>0</v>
      </c>
      <c r="AM272">
        <v>0</v>
      </c>
      <c r="AN272">
        <v>5</v>
      </c>
      <c r="AO272">
        <v>127</v>
      </c>
      <c r="AP272">
        <v>1.1519999999999999</v>
      </c>
      <c r="AV272">
        <v>-1</v>
      </c>
    </row>
    <row r="273" spans="1:48" x14ac:dyDescent="0.55000000000000004">
      <c r="A273" t="str">
        <f>HYPERLINK("https://www.infodis.net/philips/net/Shipment/Details?InfodisNumber=4565955&amp;DomainCode=DAP", "4565955")</f>
        <v>4565955</v>
      </c>
      <c r="B273" t="s">
        <v>3275</v>
      </c>
      <c r="C273" t="s">
        <v>3276</v>
      </c>
      <c r="D273" t="s">
        <v>3277</v>
      </c>
      <c r="E273" t="s">
        <v>3276</v>
      </c>
      <c r="F273" t="s">
        <v>291</v>
      </c>
      <c r="G273" t="s">
        <v>546</v>
      </c>
      <c r="H273" t="s">
        <v>79</v>
      </c>
      <c r="I273" t="s">
        <v>80</v>
      </c>
      <c r="J273" t="s">
        <v>2616</v>
      </c>
      <c r="K273" t="s">
        <v>295</v>
      </c>
      <c r="L273" t="s">
        <v>296</v>
      </c>
      <c r="M273" t="s">
        <v>84</v>
      </c>
      <c r="P273" t="s">
        <v>3278</v>
      </c>
      <c r="R273" t="s">
        <v>300</v>
      </c>
      <c r="S273" s="2">
        <v>44159</v>
      </c>
      <c r="T273" s="2">
        <v>44160</v>
      </c>
      <c r="V273" s="2">
        <v>44163</v>
      </c>
      <c r="Y273" t="s">
        <v>1735</v>
      </c>
      <c r="Z273" t="s">
        <v>1735</v>
      </c>
      <c r="AA273" t="s">
        <v>1735</v>
      </c>
      <c r="AB273" t="s">
        <v>67</v>
      </c>
      <c r="AC273" t="s">
        <v>67</v>
      </c>
      <c r="AD273" t="s">
        <v>67</v>
      </c>
      <c r="AF273" t="s">
        <v>2179</v>
      </c>
      <c r="AG273" t="s">
        <v>2180</v>
      </c>
      <c r="AH273" t="s">
        <v>2179</v>
      </c>
      <c r="AI273" t="s">
        <v>73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669</v>
      </c>
      <c r="AP273">
        <v>4.2839999999999998</v>
      </c>
      <c r="AV273">
        <v>-1</v>
      </c>
    </row>
    <row r="274" spans="1:48" x14ac:dyDescent="0.55000000000000004">
      <c r="A274" t="str">
        <f>HYPERLINK("https://www.infodis.net/philips/net/Shipment/Details?InfodisNumber=4565963&amp;DomainCode=DAP", "4565963")</f>
        <v>4565963</v>
      </c>
      <c r="B274" t="s">
        <v>3279</v>
      </c>
      <c r="C274" t="s">
        <v>3276</v>
      </c>
      <c r="D274" t="s">
        <v>3277</v>
      </c>
      <c r="E274" t="s">
        <v>3276</v>
      </c>
      <c r="F274" t="s">
        <v>291</v>
      </c>
      <c r="G274" t="s">
        <v>546</v>
      </c>
      <c r="H274" t="s">
        <v>79</v>
      </c>
      <c r="I274" t="s">
        <v>80</v>
      </c>
      <c r="J274" t="s">
        <v>2616</v>
      </c>
      <c r="K274" t="s">
        <v>295</v>
      </c>
      <c r="L274" t="s">
        <v>296</v>
      </c>
      <c r="M274" t="s">
        <v>84</v>
      </c>
      <c r="P274" t="s">
        <v>3278</v>
      </c>
      <c r="R274" t="s">
        <v>300</v>
      </c>
      <c r="S274" s="2">
        <v>44159</v>
      </c>
      <c r="T274" s="2">
        <v>44160</v>
      </c>
      <c r="V274" s="2">
        <v>44163</v>
      </c>
      <c r="Y274" t="s">
        <v>1735</v>
      </c>
      <c r="Z274" t="s">
        <v>1735</v>
      </c>
      <c r="AA274" t="s">
        <v>1735</v>
      </c>
      <c r="AB274" t="s">
        <v>67</v>
      </c>
      <c r="AC274" t="s">
        <v>67</v>
      </c>
      <c r="AD274" t="s">
        <v>67</v>
      </c>
      <c r="AF274" t="s">
        <v>2179</v>
      </c>
      <c r="AG274" t="s">
        <v>2180</v>
      </c>
      <c r="AH274" t="s">
        <v>2179</v>
      </c>
      <c r="AI274" t="s">
        <v>73</v>
      </c>
      <c r="AJ274">
        <v>0</v>
      </c>
      <c r="AK274">
        <v>0</v>
      </c>
      <c r="AL274">
        <v>0</v>
      </c>
      <c r="AM274">
        <v>0</v>
      </c>
      <c r="AN274">
        <v>7</v>
      </c>
      <c r="AO274">
        <v>1290</v>
      </c>
      <c r="AP274">
        <v>6.1440000000000001</v>
      </c>
      <c r="AV274">
        <v>-1</v>
      </c>
    </row>
    <row r="275" spans="1:48" x14ac:dyDescent="0.55000000000000004">
      <c r="A275" t="str">
        <f>HYPERLINK("https://www.infodis.net/philips/net/Shipment/Details?InfodisNumber=1582879&amp;DomainCode=PHILIPSM1", "1582879")</f>
        <v>1582879</v>
      </c>
      <c r="B275" t="s">
        <v>3280</v>
      </c>
      <c r="C275" t="s">
        <v>2080</v>
      </c>
      <c r="D275" t="s">
        <v>2081</v>
      </c>
      <c r="E275" t="s">
        <v>1428</v>
      </c>
      <c r="G275" t="s">
        <v>1430</v>
      </c>
      <c r="H275" t="s">
        <v>244</v>
      </c>
      <c r="I275" t="s">
        <v>2084</v>
      </c>
      <c r="J275" t="s">
        <v>2176</v>
      </c>
      <c r="K275" t="s">
        <v>3281</v>
      </c>
      <c r="L275" t="s">
        <v>1051</v>
      </c>
      <c r="M275" t="s">
        <v>60</v>
      </c>
      <c r="P275" t="s">
        <v>1432</v>
      </c>
      <c r="Q275" t="s">
        <v>3282</v>
      </c>
      <c r="R275" t="s">
        <v>3283</v>
      </c>
      <c r="S275" s="2">
        <v>44159</v>
      </c>
      <c r="T275" s="2">
        <v>44159</v>
      </c>
      <c r="U275" s="2">
        <v>44159</v>
      </c>
      <c r="V275" s="2">
        <v>44162</v>
      </c>
      <c r="W275" s="2">
        <v>44161</v>
      </c>
      <c r="Y275" t="s">
        <v>2387</v>
      </c>
      <c r="Z275" t="s">
        <v>2387</v>
      </c>
      <c r="AA275" t="s">
        <v>603</v>
      </c>
      <c r="AB275" t="s">
        <v>67</v>
      </c>
      <c r="AC275" t="s">
        <v>67</v>
      </c>
      <c r="AD275" t="s">
        <v>68</v>
      </c>
      <c r="AF275" t="s">
        <v>2179</v>
      </c>
      <c r="AG275" t="s">
        <v>2180</v>
      </c>
      <c r="AH275" t="s">
        <v>2179</v>
      </c>
      <c r="AI275" t="s">
        <v>605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5</v>
      </c>
      <c r="AP275">
        <v>0.06</v>
      </c>
      <c r="AV275">
        <v>-1</v>
      </c>
    </row>
    <row r="276" spans="1:48" x14ac:dyDescent="0.55000000000000004">
      <c r="A276" t="str">
        <f>HYPERLINK("https://www.infodis.net/philips/net/Shipment/Details?InfodisNumber=4566167&amp;DomainCode=DAP", "4566167")</f>
        <v>4566167</v>
      </c>
      <c r="B276" t="s">
        <v>3284</v>
      </c>
      <c r="C276" t="s">
        <v>3138</v>
      </c>
      <c r="D276" t="s">
        <v>3139</v>
      </c>
      <c r="E276" t="s">
        <v>3138</v>
      </c>
      <c r="F276" t="s">
        <v>2202</v>
      </c>
      <c r="G276" t="s">
        <v>3140</v>
      </c>
      <c r="H276" t="s">
        <v>180</v>
      </c>
      <c r="I276" t="s">
        <v>3141</v>
      </c>
      <c r="J276" t="s">
        <v>2634</v>
      </c>
      <c r="K276" t="s">
        <v>2203</v>
      </c>
      <c r="L276" t="s">
        <v>2204</v>
      </c>
      <c r="M276" t="s">
        <v>84</v>
      </c>
      <c r="P276" t="s">
        <v>3142</v>
      </c>
      <c r="R276" t="s">
        <v>2205</v>
      </c>
      <c r="S276" s="2">
        <v>44159</v>
      </c>
      <c r="T276" s="2">
        <v>44160</v>
      </c>
      <c r="V276" s="2">
        <v>44163</v>
      </c>
      <c r="Y276" t="s">
        <v>1735</v>
      </c>
      <c r="Z276" t="s">
        <v>1735</v>
      </c>
      <c r="AA276" t="s">
        <v>1735</v>
      </c>
      <c r="AB276" t="s">
        <v>67</v>
      </c>
      <c r="AC276" t="s">
        <v>67</v>
      </c>
      <c r="AD276" t="s">
        <v>67</v>
      </c>
      <c r="AF276" t="s">
        <v>2179</v>
      </c>
      <c r="AG276" t="s">
        <v>2180</v>
      </c>
      <c r="AH276" t="s">
        <v>2179</v>
      </c>
      <c r="AI276" t="s">
        <v>73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157</v>
      </c>
      <c r="AP276">
        <v>0.58799999999999997</v>
      </c>
      <c r="AV276">
        <v>-1</v>
      </c>
    </row>
    <row r="277" spans="1:48" x14ac:dyDescent="0.55000000000000004">
      <c r="A277" t="str">
        <f>HYPERLINK("https://www.infodis.net/philips/net/Shipment/Details?InfodisNumber=1582914&amp;DomainCode=PHILIPSM1", "1582914")</f>
        <v>1582914</v>
      </c>
      <c r="B277" t="s">
        <v>3285</v>
      </c>
      <c r="C277" t="s">
        <v>2539</v>
      </c>
      <c r="D277" t="s">
        <v>2540</v>
      </c>
      <c r="E277" t="s">
        <v>2539</v>
      </c>
      <c r="F277" t="s">
        <v>2779</v>
      </c>
      <c r="G277" t="s">
        <v>2542</v>
      </c>
      <c r="H277" t="s">
        <v>180</v>
      </c>
      <c r="I277" t="s">
        <v>652</v>
      </c>
      <c r="J277" t="s">
        <v>2780</v>
      </c>
      <c r="K277" t="s">
        <v>2781</v>
      </c>
      <c r="L277" t="s">
        <v>881</v>
      </c>
      <c r="M277" t="s">
        <v>1658</v>
      </c>
      <c r="P277" t="s">
        <v>2545</v>
      </c>
      <c r="Q277" t="s">
        <v>3286</v>
      </c>
      <c r="R277" t="s">
        <v>2783</v>
      </c>
      <c r="S277" s="2">
        <v>44159</v>
      </c>
      <c r="T277" s="2">
        <v>44159</v>
      </c>
      <c r="U277" s="2">
        <v>44159</v>
      </c>
      <c r="V277" s="2">
        <v>44162</v>
      </c>
      <c r="Y277" t="s">
        <v>2359</v>
      </c>
      <c r="Z277" t="s">
        <v>2359</v>
      </c>
      <c r="AA277" t="s">
        <v>2359</v>
      </c>
      <c r="AB277" t="s">
        <v>67</v>
      </c>
      <c r="AC277" t="s">
        <v>67</v>
      </c>
      <c r="AD277" t="s">
        <v>67</v>
      </c>
      <c r="AF277" t="s">
        <v>2179</v>
      </c>
      <c r="AG277" t="s">
        <v>2180</v>
      </c>
      <c r="AH277" t="s">
        <v>2179</v>
      </c>
      <c r="AI277" t="s">
        <v>605</v>
      </c>
      <c r="AJ277">
        <v>0</v>
      </c>
      <c r="AK277">
        <v>0</v>
      </c>
      <c r="AL277">
        <v>0</v>
      </c>
      <c r="AM277">
        <v>0</v>
      </c>
      <c r="AN277">
        <v>2</v>
      </c>
      <c r="AO277">
        <v>148</v>
      </c>
      <c r="AP277">
        <v>1.4530000000000001</v>
      </c>
      <c r="AV277">
        <v>-1</v>
      </c>
    </row>
    <row r="278" spans="1:48" x14ac:dyDescent="0.55000000000000004">
      <c r="A278" t="str">
        <f>HYPERLINK("https://www.infodis.net/philips/net/Shipment/Details?InfodisNumber=1582947&amp;DomainCode=PHILIPSM1", "1582947")</f>
        <v>1582947</v>
      </c>
      <c r="B278" t="s">
        <v>3287</v>
      </c>
      <c r="C278" t="s">
        <v>2080</v>
      </c>
      <c r="D278" t="s">
        <v>2081</v>
      </c>
      <c r="E278" t="s">
        <v>2089</v>
      </c>
      <c r="G278" t="s">
        <v>1430</v>
      </c>
      <c r="H278" t="s">
        <v>244</v>
      </c>
      <c r="I278" t="s">
        <v>2084</v>
      </c>
      <c r="J278" t="s">
        <v>2557</v>
      </c>
      <c r="K278" t="s">
        <v>2558</v>
      </c>
      <c r="L278" t="s">
        <v>881</v>
      </c>
      <c r="M278" t="s">
        <v>60</v>
      </c>
      <c r="P278" t="s">
        <v>1432</v>
      </c>
      <c r="Q278" t="s">
        <v>3288</v>
      </c>
      <c r="R278" t="s">
        <v>2560</v>
      </c>
      <c r="S278" s="2">
        <v>44159</v>
      </c>
      <c r="T278" s="2">
        <v>44160</v>
      </c>
      <c r="U278" s="2">
        <v>44160</v>
      </c>
      <c r="V278" s="2">
        <v>44160</v>
      </c>
      <c r="Y278" t="s">
        <v>2387</v>
      </c>
      <c r="Z278" t="s">
        <v>2387</v>
      </c>
      <c r="AA278" t="s">
        <v>603</v>
      </c>
      <c r="AB278" t="s">
        <v>67</v>
      </c>
      <c r="AC278" t="s">
        <v>67</v>
      </c>
      <c r="AD278" t="s">
        <v>68</v>
      </c>
      <c r="AF278" t="s">
        <v>2388</v>
      </c>
      <c r="AG278" t="s">
        <v>2389</v>
      </c>
      <c r="AH278" t="s">
        <v>2388</v>
      </c>
      <c r="AI278" t="s">
        <v>605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3.2</v>
      </c>
      <c r="AP278">
        <v>5.5999999999999987E-2</v>
      </c>
      <c r="AV278">
        <v>-1</v>
      </c>
    </row>
    <row r="279" spans="1:48" x14ac:dyDescent="0.55000000000000004">
      <c r="A279" t="str">
        <f>HYPERLINK("https://www.infodis.net/philips/net/Shipment/Details?InfodisNumber=4566261&amp;DomainCode=DAP", "4566261")</f>
        <v>4566261</v>
      </c>
      <c r="B279" t="s">
        <v>3289</v>
      </c>
      <c r="C279" t="s">
        <v>2125</v>
      </c>
      <c r="D279" t="s">
        <v>2126</v>
      </c>
      <c r="E279" t="s">
        <v>393</v>
      </c>
      <c r="F279" t="s">
        <v>215</v>
      </c>
      <c r="G279" t="s">
        <v>394</v>
      </c>
      <c r="H279" t="s">
        <v>79</v>
      </c>
      <c r="I279" t="s">
        <v>587</v>
      </c>
      <c r="J279" t="s">
        <v>2341</v>
      </c>
      <c r="K279" t="s">
        <v>219</v>
      </c>
      <c r="L279" t="s">
        <v>180</v>
      </c>
      <c r="M279" t="s">
        <v>60</v>
      </c>
      <c r="P279" t="s">
        <v>398</v>
      </c>
      <c r="Q279" t="s">
        <v>3290</v>
      </c>
      <c r="R279" t="s">
        <v>223</v>
      </c>
      <c r="S279" s="2">
        <v>44160</v>
      </c>
      <c r="T279" s="2">
        <v>44161</v>
      </c>
      <c r="V279" s="2">
        <v>44166</v>
      </c>
      <c r="W279" s="2">
        <v>44161</v>
      </c>
      <c r="Y279" t="s">
        <v>3291</v>
      </c>
      <c r="Z279" t="s">
        <v>1735</v>
      </c>
      <c r="AA279" t="s">
        <v>1735</v>
      </c>
      <c r="AB279" t="s">
        <v>67</v>
      </c>
      <c r="AC279" t="s">
        <v>67</v>
      </c>
      <c r="AD279" t="s">
        <v>67</v>
      </c>
      <c r="AF279" t="s">
        <v>2399</v>
      </c>
      <c r="AG279" t="s">
        <v>2400</v>
      </c>
      <c r="AH279" t="s">
        <v>2399</v>
      </c>
      <c r="AI279" t="s">
        <v>73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450</v>
      </c>
      <c r="AP279">
        <v>3.6</v>
      </c>
      <c r="AV279">
        <v>-1</v>
      </c>
    </row>
    <row r="280" spans="1:48" x14ac:dyDescent="0.55000000000000004">
      <c r="A280" t="str">
        <f>HYPERLINK("https://www.infodis.net/philips/net/Shipment/Details?InfodisNumber=1583023&amp;DomainCode=PHILIPSM1", "1583023")</f>
        <v>1583023</v>
      </c>
      <c r="B280" t="s">
        <v>3292</v>
      </c>
      <c r="C280" t="s">
        <v>2080</v>
      </c>
      <c r="D280" t="s">
        <v>2081</v>
      </c>
      <c r="E280" t="s">
        <v>1428</v>
      </c>
      <c r="G280" t="s">
        <v>1430</v>
      </c>
      <c r="H280" t="s">
        <v>244</v>
      </c>
      <c r="I280" t="s">
        <v>2084</v>
      </c>
      <c r="J280" t="s">
        <v>194</v>
      </c>
      <c r="K280" t="s">
        <v>3293</v>
      </c>
      <c r="L280" t="s">
        <v>180</v>
      </c>
      <c r="M280" t="s">
        <v>60</v>
      </c>
      <c r="P280" t="s">
        <v>1432</v>
      </c>
      <c r="Q280" t="s">
        <v>3294</v>
      </c>
      <c r="R280" t="s">
        <v>3295</v>
      </c>
      <c r="S280" s="2">
        <v>44160</v>
      </c>
      <c r="T280" s="2">
        <v>44160</v>
      </c>
      <c r="U280" s="2">
        <v>44160</v>
      </c>
      <c r="V280" s="2">
        <v>44163</v>
      </c>
      <c r="W280" s="2">
        <v>44160</v>
      </c>
      <c r="Y280" t="s">
        <v>604</v>
      </c>
      <c r="Z280" t="s">
        <v>604</v>
      </c>
      <c r="AA280" t="s">
        <v>603</v>
      </c>
      <c r="AB280" t="s">
        <v>67</v>
      </c>
      <c r="AC280" t="s">
        <v>67</v>
      </c>
      <c r="AD280" t="s">
        <v>68</v>
      </c>
      <c r="AF280" t="s">
        <v>2179</v>
      </c>
      <c r="AG280" t="s">
        <v>2180</v>
      </c>
      <c r="AH280" t="s">
        <v>2179</v>
      </c>
      <c r="AI280" t="s">
        <v>605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111</v>
      </c>
      <c r="AP280">
        <v>2.133</v>
      </c>
      <c r="AV280">
        <v>-1</v>
      </c>
    </row>
    <row r="281" spans="1:48" x14ac:dyDescent="0.55000000000000004">
      <c r="A281" t="str">
        <f>HYPERLINK("https://www.infodis.net/philips/net/Shipment/Details?InfodisNumber=4566471&amp;DomainCode=DAP", "4566471")</f>
        <v>4566471</v>
      </c>
      <c r="B281" t="s">
        <v>3296</v>
      </c>
      <c r="C281" t="s">
        <v>3297</v>
      </c>
      <c r="D281" t="s">
        <v>3298</v>
      </c>
      <c r="E281" t="s">
        <v>3297</v>
      </c>
      <c r="F281" t="s">
        <v>2202</v>
      </c>
      <c r="G281" t="s">
        <v>546</v>
      </c>
      <c r="H281" t="s">
        <v>79</v>
      </c>
      <c r="I281" t="s">
        <v>2396</v>
      </c>
      <c r="J281" t="s">
        <v>2634</v>
      </c>
      <c r="K281" t="s">
        <v>2203</v>
      </c>
      <c r="L281" t="s">
        <v>2204</v>
      </c>
      <c r="M281" t="s">
        <v>84</v>
      </c>
      <c r="P281" t="s">
        <v>551</v>
      </c>
      <c r="R281" t="s">
        <v>2205</v>
      </c>
      <c r="S281" s="2">
        <v>44160</v>
      </c>
      <c r="T281" s="2">
        <v>44160</v>
      </c>
      <c r="V281" s="2">
        <v>44163</v>
      </c>
      <c r="Y281" t="s">
        <v>1735</v>
      </c>
      <c r="Z281" t="s">
        <v>1735</v>
      </c>
      <c r="AA281" t="s">
        <v>66</v>
      </c>
      <c r="AB281" t="s">
        <v>67</v>
      </c>
      <c r="AC281" t="s">
        <v>67</v>
      </c>
      <c r="AD281" t="s">
        <v>68</v>
      </c>
      <c r="AF281" t="s">
        <v>2179</v>
      </c>
      <c r="AG281" t="s">
        <v>2180</v>
      </c>
      <c r="AH281" t="s">
        <v>2179</v>
      </c>
      <c r="AI281" t="s">
        <v>73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168.4</v>
      </c>
      <c r="AP281">
        <v>0.85</v>
      </c>
      <c r="AV281">
        <v>-1</v>
      </c>
    </row>
    <row r="282" spans="1:48" x14ac:dyDescent="0.55000000000000004">
      <c r="A282" t="str">
        <f>HYPERLINK("https://www.infodis.net/philips/net/Shipment/Details?InfodisNumber=1583014&amp;DomainCode=PHILIPSM1", "1583014")</f>
        <v>1583014</v>
      </c>
      <c r="B282" t="s">
        <v>3299</v>
      </c>
      <c r="C282" t="s">
        <v>2353</v>
      </c>
      <c r="D282" t="s">
        <v>2354</v>
      </c>
      <c r="E282" t="s">
        <v>2355</v>
      </c>
      <c r="F282" t="s">
        <v>2356</v>
      </c>
      <c r="G282" t="s">
        <v>667</v>
      </c>
      <c r="H282" t="s">
        <v>79</v>
      </c>
      <c r="I282" t="s">
        <v>1813</v>
      </c>
      <c r="J282" t="s">
        <v>2357</v>
      </c>
      <c r="K282" t="s">
        <v>2248</v>
      </c>
      <c r="L282" t="s">
        <v>230</v>
      </c>
      <c r="M282" t="s">
        <v>60</v>
      </c>
      <c r="P282" t="s">
        <v>1853</v>
      </c>
      <c r="Q282" t="s">
        <v>3300</v>
      </c>
      <c r="R282" t="s">
        <v>2293</v>
      </c>
      <c r="S282" s="2">
        <v>44160</v>
      </c>
      <c r="T282" s="2">
        <v>44160</v>
      </c>
      <c r="U282" s="2">
        <v>44160</v>
      </c>
      <c r="V282" s="2">
        <v>44163</v>
      </c>
      <c r="W282" s="2">
        <v>44161</v>
      </c>
      <c r="Y282" t="s">
        <v>2359</v>
      </c>
      <c r="Z282" t="s">
        <v>2359</v>
      </c>
      <c r="AA282" t="s">
        <v>603</v>
      </c>
      <c r="AB282" t="s">
        <v>67</v>
      </c>
      <c r="AC282" t="s">
        <v>67</v>
      </c>
      <c r="AD282" t="s">
        <v>68</v>
      </c>
      <c r="AF282" t="s">
        <v>2179</v>
      </c>
      <c r="AG282" t="s">
        <v>2180</v>
      </c>
      <c r="AH282" t="s">
        <v>2179</v>
      </c>
      <c r="AI282" t="s">
        <v>605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433</v>
      </c>
      <c r="AP282">
        <v>4.585</v>
      </c>
      <c r="AV282">
        <v>-1</v>
      </c>
    </row>
    <row r="283" spans="1:48" x14ac:dyDescent="0.55000000000000004">
      <c r="A283" t="str">
        <f>HYPERLINK("https://www.infodis.net/philips/net/Shipment/Details?InfodisNumber=1583019&amp;DomainCode=PHILIPSM1", "1583019")</f>
        <v>1583019</v>
      </c>
      <c r="B283" t="s">
        <v>3301</v>
      </c>
      <c r="C283" t="s">
        <v>2080</v>
      </c>
      <c r="D283" t="s">
        <v>2081</v>
      </c>
      <c r="E283" t="s">
        <v>1428</v>
      </c>
      <c r="F283" t="s">
        <v>2434</v>
      </c>
      <c r="G283" t="s">
        <v>1430</v>
      </c>
      <c r="H283" t="s">
        <v>244</v>
      </c>
      <c r="I283" t="s">
        <v>2084</v>
      </c>
      <c r="J283" t="s">
        <v>2435</v>
      </c>
      <c r="K283" t="s">
        <v>58</v>
      </c>
      <c r="L283" t="s">
        <v>59</v>
      </c>
      <c r="M283" t="s">
        <v>60</v>
      </c>
      <c r="P283" t="s">
        <v>1432</v>
      </c>
      <c r="Q283" t="s">
        <v>3302</v>
      </c>
      <c r="R283" t="s">
        <v>64</v>
      </c>
      <c r="S283" s="2">
        <v>44160</v>
      </c>
      <c r="T283" s="2">
        <v>44160</v>
      </c>
      <c r="U283" s="2">
        <v>44160</v>
      </c>
      <c r="V283" s="2">
        <v>44165</v>
      </c>
      <c r="Y283" t="s">
        <v>2359</v>
      </c>
      <c r="Z283" t="s">
        <v>2359</v>
      </c>
      <c r="AA283" t="s">
        <v>603</v>
      </c>
      <c r="AB283" t="s">
        <v>67</v>
      </c>
      <c r="AC283" t="s">
        <v>67</v>
      </c>
      <c r="AD283" t="s">
        <v>68</v>
      </c>
      <c r="AF283" t="s">
        <v>2399</v>
      </c>
      <c r="AG283" t="s">
        <v>2400</v>
      </c>
      <c r="AH283" t="s">
        <v>2399</v>
      </c>
      <c r="AI283" t="s">
        <v>605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457.5</v>
      </c>
      <c r="AP283">
        <v>11.608000000000001</v>
      </c>
      <c r="AV283">
        <v>-1</v>
      </c>
    </row>
    <row r="284" spans="1:48" x14ac:dyDescent="0.55000000000000004">
      <c r="A284" t="str">
        <f>HYPERLINK("https://www.infodis.net/philips/net/Shipment/Details?InfodisNumber=1583037&amp;DomainCode=PHILIPSM1", "1583037")</f>
        <v>1583037</v>
      </c>
      <c r="B284" t="s">
        <v>3303</v>
      </c>
      <c r="C284" t="s">
        <v>2080</v>
      </c>
      <c r="D284" t="s">
        <v>2081</v>
      </c>
      <c r="E284" t="s">
        <v>1428</v>
      </c>
      <c r="F284" t="s">
        <v>3304</v>
      </c>
      <c r="G284" t="s">
        <v>1430</v>
      </c>
      <c r="H284" t="s">
        <v>244</v>
      </c>
      <c r="I284" t="s">
        <v>2084</v>
      </c>
      <c r="J284" t="s">
        <v>3305</v>
      </c>
      <c r="K284" t="s">
        <v>3306</v>
      </c>
      <c r="L284" t="s">
        <v>180</v>
      </c>
      <c r="M284" t="s">
        <v>60</v>
      </c>
      <c r="P284" t="s">
        <v>1432</v>
      </c>
      <c r="Q284" t="s">
        <v>3307</v>
      </c>
      <c r="R284" t="s">
        <v>3308</v>
      </c>
      <c r="S284" s="2">
        <v>44160</v>
      </c>
      <c r="T284" s="2">
        <v>44160</v>
      </c>
      <c r="U284" s="2">
        <v>44160</v>
      </c>
      <c r="V284" s="2">
        <v>44163</v>
      </c>
      <c r="W284" s="2">
        <v>44160</v>
      </c>
      <c r="Y284" t="s">
        <v>604</v>
      </c>
      <c r="Z284" t="s">
        <v>604</v>
      </c>
      <c r="AA284" t="s">
        <v>603</v>
      </c>
      <c r="AB284" t="s">
        <v>67</v>
      </c>
      <c r="AC284" t="s">
        <v>67</v>
      </c>
      <c r="AD284" t="s">
        <v>68</v>
      </c>
      <c r="AF284" t="s">
        <v>2179</v>
      </c>
      <c r="AG284" t="s">
        <v>2180</v>
      </c>
      <c r="AH284" t="s">
        <v>2179</v>
      </c>
      <c r="AI284" t="s">
        <v>605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322.5</v>
      </c>
      <c r="AP284">
        <v>5.6950000000000003</v>
      </c>
      <c r="AV284">
        <v>-1</v>
      </c>
    </row>
    <row r="285" spans="1:48" x14ac:dyDescent="0.55000000000000004">
      <c r="A285" t="str">
        <f>HYPERLINK("https://www.infodis.net/philips/net/Shipment/Details?InfodisNumber=4566705&amp;DomainCode=DAP", "4566705")</f>
        <v>4566705</v>
      </c>
      <c r="B285" t="s">
        <v>2172</v>
      </c>
      <c r="C285" t="s">
        <v>2173</v>
      </c>
      <c r="D285" t="s">
        <v>2174</v>
      </c>
      <c r="E285" t="s">
        <v>2173</v>
      </c>
      <c r="F285" t="s">
        <v>77</v>
      </c>
      <c r="G285" t="s">
        <v>2175</v>
      </c>
      <c r="H285" t="s">
        <v>1051</v>
      </c>
      <c r="I285" t="s">
        <v>2176</v>
      </c>
      <c r="J285" t="s">
        <v>2141</v>
      </c>
      <c r="K285" t="s">
        <v>82</v>
      </c>
      <c r="L285" t="s">
        <v>83</v>
      </c>
      <c r="M285" t="s">
        <v>84</v>
      </c>
      <c r="P285" t="s">
        <v>2177</v>
      </c>
      <c r="Q285" t="s">
        <v>2178</v>
      </c>
      <c r="R285" t="s">
        <v>87</v>
      </c>
      <c r="S285" s="2">
        <v>44160</v>
      </c>
      <c r="T285" s="2">
        <v>44161</v>
      </c>
      <c r="V285" s="2">
        <v>44164</v>
      </c>
      <c r="Y285" t="s">
        <v>857</v>
      </c>
      <c r="Z285" t="s">
        <v>857</v>
      </c>
      <c r="AA285" t="s">
        <v>857</v>
      </c>
      <c r="AB285" t="s">
        <v>67</v>
      </c>
      <c r="AC285" t="s">
        <v>67</v>
      </c>
      <c r="AD285" t="s">
        <v>67</v>
      </c>
      <c r="AF285" t="s">
        <v>2179</v>
      </c>
      <c r="AG285" t="s">
        <v>2180</v>
      </c>
      <c r="AH285" t="s">
        <v>2179</v>
      </c>
      <c r="AI285" t="s">
        <v>73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300</v>
      </c>
      <c r="AP285">
        <v>0.35</v>
      </c>
      <c r="AV285">
        <v>-1</v>
      </c>
    </row>
    <row r="286" spans="1:48" x14ac:dyDescent="0.55000000000000004">
      <c r="A286" t="str">
        <f>HYPERLINK("https://www.infodis.net/philips/net/Shipment/Details?InfodisNumber=7013782&amp;DomainCode=PHILIPSR1", "7013782")</f>
        <v>7013782</v>
      </c>
      <c r="B286" t="s">
        <v>3309</v>
      </c>
      <c r="C286" t="s">
        <v>3310</v>
      </c>
      <c r="D286" t="s">
        <v>3311</v>
      </c>
      <c r="E286" t="s">
        <v>242</v>
      </c>
      <c r="F286" t="s">
        <v>242</v>
      </c>
      <c r="G286" t="s">
        <v>3312</v>
      </c>
      <c r="H286" t="s">
        <v>2384</v>
      </c>
      <c r="I286" t="s">
        <v>3313</v>
      </c>
      <c r="J286" t="s">
        <v>3314</v>
      </c>
      <c r="K286" t="s">
        <v>3315</v>
      </c>
      <c r="L286" t="s">
        <v>180</v>
      </c>
      <c r="M286" t="s">
        <v>60</v>
      </c>
      <c r="P286" t="s">
        <v>3316</v>
      </c>
      <c r="R286" t="s">
        <v>3317</v>
      </c>
      <c r="S286" s="2">
        <v>44160</v>
      </c>
      <c r="T286" s="2">
        <v>44161</v>
      </c>
      <c r="V286" s="2">
        <v>44164</v>
      </c>
      <c r="Y286" t="s">
        <v>1735</v>
      </c>
      <c r="Z286" t="s">
        <v>1735</v>
      </c>
      <c r="AA286" t="s">
        <v>1735</v>
      </c>
      <c r="AB286" t="s">
        <v>67</v>
      </c>
      <c r="AC286" t="s">
        <v>67</v>
      </c>
      <c r="AD286" t="s">
        <v>67</v>
      </c>
      <c r="AF286" t="s">
        <v>2179</v>
      </c>
      <c r="AG286" t="s">
        <v>2180</v>
      </c>
      <c r="AH286" t="s">
        <v>2179</v>
      </c>
      <c r="AI286" t="s">
        <v>252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330</v>
      </c>
      <c r="AP286">
        <v>5.64</v>
      </c>
      <c r="AV286">
        <v>-1</v>
      </c>
    </row>
    <row r="287" spans="1:48" x14ac:dyDescent="0.55000000000000004">
      <c r="A287" t="str">
        <f>HYPERLINK("https://www.infodis.net/philips/net/Shipment/Details?InfodisNumber=4566851&amp;DomainCode=DAP", "4566851")</f>
        <v>4566851</v>
      </c>
      <c r="B287" t="s">
        <v>3318</v>
      </c>
      <c r="C287" t="s">
        <v>212</v>
      </c>
      <c r="D287" t="s">
        <v>213</v>
      </c>
      <c r="E287" t="s">
        <v>214</v>
      </c>
      <c r="F287" t="s">
        <v>1078</v>
      </c>
      <c r="G287" t="s">
        <v>216</v>
      </c>
      <c r="H287" t="s">
        <v>55</v>
      </c>
      <c r="I287" t="s">
        <v>2367</v>
      </c>
      <c r="J287" t="s">
        <v>2368</v>
      </c>
      <c r="K287" t="s">
        <v>269</v>
      </c>
      <c r="L287" t="s">
        <v>180</v>
      </c>
      <c r="M287" t="s">
        <v>60</v>
      </c>
      <c r="P287" t="s">
        <v>2369</v>
      </c>
      <c r="Q287" t="s">
        <v>3319</v>
      </c>
      <c r="R287" t="s">
        <v>271</v>
      </c>
      <c r="S287" s="2">
        <v>44160</v>
      </c>
      <c r="T287" s="2">
        <v>44161</v>
      </c>
      <c r="U287" s="2">
        <v>44161</v>
      </c>
      <c r="V287" s="2">
        <v>44164</v>
      </c>
      <c r="Y287" t="s">
        <v>2371</v>
      </c>
      <c r="Z287" t="s">
        <v>2371</v>
      </c>
      <c r="AA287" t="s">
        <v>2371</v>
      </c>
      <c r="AB287" t="s">
        <v>67</v>
      </c>
      <c r="AC287" t="s">
        <v>67</v>
      </c>
      <c r="AD287" t="s">
        <v>67</v>
      </c>
      <c r="AF287" t="s">
        <v>2179</v>
      </c>
      <c r="AG287" t="s">
        <v>2180</v>
      </c>
      <c r="AH287" t="s">
        <v>2179</v>
      </c>
      <c r="AI287" t="s">
        <v>73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417</v>
      </c>
      <c r="AP287">
        <v>3.456</v>
      </c>
      <c r="AV287">
        <v>-1</v>
      </c>
    </row>
    <row r="288" spans="1:48" x14ac:dyDescent="0.55000000000000004">
      <c r="A288" t="str">
        <f>HYPERLINK("https://www.infodis.net/philips/net/Shipment/Details?InfodisNumber=4566852&amp;DomainCode=DAP", "4566852")</f>
        <v>4566852</v>
      </c>
      <c r="B288" t="s">
        <v>3320</v>
      </c>
      <c r="C288" t="s">
        <v>212</v>
      </c>
      <c r="D288" t="s">
        <v>213</v>
      </c>
      <c r="E288" t="s">
        <v>214</v>
      </c>
      <c r="F288" t="s">
        <v>1078</v>
      </c>
      <c r="G288" t="s">
        <v>216</v>
      </c>
      <c r="H288" t="s">
        <v>55</v>
      </c>
      <c r="I288" t="s">
        <v>2367</v>
      </c>
      <c r="J288" t="s">
        <v>2368</v>
      </c>
      <c r="K288" t="s">
        <v>269</v>
      </c>
      <c r="L288" t="s">
        <v>180</v>
      </c>
      <c r="M288" t="s">
        <v>60</v>
      </c>
      <c r="P288" t="s">
        <v>2369</v>
      </c>
      <c r="Q288" t="s">
        <v>3321</v>
      </c>
      <c r="R288" t="s">
        <v>271</v>
      </c>
      <c r="S288" s="2">
        <v>44160</v>
      </c>
      <c r="T288" s="2">
        <v>44161</v>
      </c>
      <c r="U288" s="2">
        <v>44161</v>
      </c>
      <c r="V288" s="2">
        <v>44164</v>
      </c>
      <c r="Y288" t="s">
        <v>2371</v>
      </c>
      <c r="Z288" t="s">
        <v>2371</v>
      </c>
      <c r="AA288" t="s">
        <v>2371</v>
      </c>
      <c r="AB288" t="s">
        <v>67</v>
      </c>
      <c r="AC288" t="s">
        <v>67</v>
      </c>
      <c r="AD288" t="s">
        <v>67</v>
      </c>
      <c r="AF288" t="s">
        <v>2179</v>
      </c>
      <c r="AG288" t="s">
        <v>2180</v>
      </c>
      <c r="AH288" t="s">
        <v>2179</v>
      </c>
      <c r="AI288" t="s">
        <v>73</v>
      </c>
      <c r="AJ288">
        <v>0</v>
      </c>
      <c r="AK288">
        <v>0</v>
      </c>
      <c r="AL288">
        <v>0</v>
      </c>
      <c r="AM288">
        <v>0</v>
      </c>
      <c r="AN288">
        <v>5</v>
      </c>
      <c r="AO288">
        <v>728</v>
      </c>
      <c r="AP288">
        <v>7.2</v>
      </c>
      <c r="AV288">
        <v>-1</v>
      </c>
    </row>
    <row r="289" spans="1:48" x14ac:dyDescent="0.55000000000000004">
      <c r="A289" t="str">
        <f>HYPERLINK("https://www.infodis.net/philips/net/Shipment/Details?InfodisNumber=4566872&amp;DomainCode=DAP", "4566872")</f>
        <v>4566872</v>
      </c>
      <c r="B289" t="s">
        <v>3322</v>
      </c>
      <c r="C289" t="s">
        <v>2402</v>
      </c>
      <c r="D289" t="s">
        <v>2403</v>
      </c>
      <c r="E289" t="s">
        <v>2402</v>
      </c>
      <c r="F289" t="s">
        <v>167</v>
      </c>
      <c r="G289" t="s">
        <v>2404</v>
      </c>
      <c r="H289" t="s">
        <v>881</v>
      </c>
      <c r="J289" t="s">
        <v>2405</v>
      </c>
      <c r="K289" t="s">
        <v>1125</v>
      </c>
      <c r="L289" t="s">
        <v>172</v>
      </c>
      <c r="M289" t="s">
        <v>1489</v>
      </c>
      <c r="P289" t="s">
        <v>2406</v>
      </c>
      <c r="R289" t="s">
        <v>1128</v>
      </c>
      <c r="S289" s="2">
        <v>44160</v>
      </c>
      <c r="T289" s="2">
        <v>44161</v>
      </c>
      <c r="V289" s="2">
        <v>44164</v>
      </c>
      <c r="Y289" t="s">
        <v>2398</v>
      </c>
      <c r="Z289" t="s">
        <v>2398</v>
      </c>
      <c r="AA289" t="s">
        <v>2398</v>
      </c>
      <c r="AB289" t="s">
        <v>67</v>
      </c>
      <c r="AC289" t="s">
        <v>67</v>
      </c>
      <c r="AD289" t="s">
        <v>67</v>
      </c>
      <c r="AF289" t="s">
        <v>2179</v>
      </c>
      <c r="AG289" t="s">
        <v>2180</v>
      </c>
      <c r="AH289" t="s">
        <v>2179</v>
      </c>
      <c r="AI289" t="s">
        <v>73</v>
      </c>
      <c r="AJ289">
        <v>0</v>
      </c>
      <c r="AK289">
        <v>0</v>
      </c>
      <c r="AL289">
        <v>0</v>
      </c>
      <c r="AM289">
        <v>0</v>
      </c>
      <c r="AN289">
        <v>9</v>
      </c>
      <c r="AO289">
        <v>1471.5</v>
      </c>
      <c r="AP289">
        <v>-1</v>
      </c>
      <c r="AV289">
        <v>-1</v>
      </c>
    </row>
    <row r="290" spans="1:48" x14ac:dyDescent="0.55000000000000004">
      <c r="A290" t="str">
        <f>HYPERLINK("https://www.infodis.net/philips/net/Shipment/Details?InfodisNumber=7014521&amp;DomainCode=PHILIPSR1", "7014521")</f>
        <v>7014521</v>
      </c>
      <c r="B290" t="s">
        <v>3323</v>
      </c>
      <c r="C290" t="s">
        <v>2426</v>
      </c>
      <c r="D290" t="s">
        <v>2427</v>
      </c>
      <c r="E290" t="s">
        <v>458</v>
      </c>
      <c r="F290" t="s">
        <v>3324</v>
      </c>
      <c r="G290" t="s">
        <v>2429</v>
      </c>
      <c r="H290" t="s">
        <v>180</v>
      </c>
      <c r="I290" t="s">
        <v>652</v>
      </c>
      <c r="K290" t="s">
        <v>3325</v>
      </c>
      <c r="L290" t="s">
        <v>3326</v>
      </c>
      <c r="M290" t="s">
        <v>60</v>
      </c>
      <c r="P290" t="s">
        <v>613</v>
      </c>
      <c r="Q290" t="s">
        <v>3327</v>
      </c>
      <c r="R290" t="s">
        <v>2578</v>
      </c>
      <c r="S290" s="2">
        <v>44160</v>
      </c>
      <c r="T290" s="2">
        <v>44161</v>
      </c>
      <c r="U290" s="2">
        <v>44160</v>
      </c>
      <c r="V290" s="2">
        <v>44164</v>
      </c>
      <c r="Y290" t="s">
        <v>1735</v>
      </c>
      <c r="Z290" t="s">
        <v>1735</v>
      </c>
      <c r="AA290" t="s">
        <v>1735</v>
      </c>
      <c r="AB290" t="s">
        <v>67</v>
      </c>
      <c r="AC290" t="s">
        <v>67</v>
      </c>
      <c r="AD290" t="s">
        <v>67</v>
      </c>
      <c r="AF290" t="s">
        <v>2179</v>
      </c>
      <c r="AG290" t="s">
        <v>2180</v>
      </c>
      <c r="AH290" t="s">
        <v>2179</v>
      </c>
      <c r="AI290" t="s">
        <v>252</v>
      </c>
      <c r="AJ290">
        <v>0</v>
      </c>
      <c r="AK290">
        <v>0</v>
      </c>
      <c r="AL290">
        <v>0</v>
      </c>
      <c r="AM290">
        <v>0</v>
      </c>
      <c r="AN290">
        <v>3</v>
      </c>
      <c r="AO290">
        <v>378.5</v>
      </c>
      <c r="AP290">
        <v>5.1539999999999999</v>
      </c>
      <c r="AV290">
        <v>-1</v>
      </c>
    </row>
    <row r="291" spans="1:48" x14ac:dyDescent="0.55000000000000004">
      <c r="A291" t="str">
        <f>HYPERLINK("https://www.infodis.net/philips/net/Shipment/Details?InfodisNumber=1583124&amp;DomainCode=PHILIPSM1", "1583124")</f>
        <v>1583124</v>
      </c>
      <c r="B291" t="s">
        <v>3328</v>
      </c>
      <c r="C291" t="s">
        <v>2080</v>
      </c>
      <c r="D291" t="s">
        <v>2081</v>
      </c>
      <c r="E291" t="s">
        <v>2089</v>
      </c>
      <c r="G291" t="s">
        <v>1430</v>
      </c>
      <c r="H291" t="s">
        <v>244</v>
      </c>
      <c r="I291" t="s">
        <v>2084</v>
      </c>
      <c r="J291" t="s">
        <v>2767</v>
      </c>
      <c r="K291" t="s">
        <v>3329</v>
      </c>
      <c r="L291" t="s">
        <v>881</v>
      </c>
      <c r="M291" t="s">
        <v>60</v>
      </c>
      <c r="P291" t="s">
        <v>1432</v>
      </c>
      <c r="Q291" t="s">
        <v>3330</v>
      </c>
      <c r="R291" t="s">
        <v>3331</v>
      </c>
      <c r="S291" s="2">
        <v>44160</v>
      </c>
      <c r="T291" s="2">
        <v>44161</v>
      </c>
      <c r="V291" s="2">
        <v>44161</v>
      </c>
      <c r="Y291" t="s">
        <v>2387</v>
      </c>
      <c r="Z291" t="s">
        <v>2387</v>
      </c>
      <c r="AA291" t="s">
        <v>603</v>
      </c>
      <c r="AB291" t="s">
        <v>67</v>
      </c>
      <c r="AC291" t="s">
        <v>67</v>
      </c>
      <c r="AD291" t="s">
        <v>68</v>
      </c>
      <c r="AF291" t="s">
        <v>2388</v>
      </c>
      <c r="AG291" t="s">
        <v>2389</v>
      </c>
      <c r="AH291" t="s">
        <v>2388</v>
      </c>
      <c r="AI291" t="s">
        <v>605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1.3</v>
      </c>
      <c r="AP291">
        <v>0</v>
      </c>
      <c r="AV291">
        <v>-1</v>
      </c>
    </row>
    <row r="292" spans="1:48" x14ac:dyDescent="0.55000000000000004">
      <c r="A292" t="str">
        <f>HYPERLINK("https://www.infodis.net/philips/net/Shipment/Details?InfodisNumber=4566925&amp;DomainCode=DAP", "4566925")</f>
        <v>4566925</v>
      </c>
      <c r="B292" t="s">
        <v>3332</v>
      </c>
      <c r="C292" t="s">
        <v>2502</v>
      </c>
      <c r="D292" t="s">
        <v>2503</v>
      </c>
      <c r="E292" t="s">
        <v>2504</v>
      </c>
      <c r="F292" t="s">
        <v>3333</v>
      </c>
      <c r="G292" t="s">
        <v>1179</v>
      </c>
      <c r="H292" t="s">
        <v>180</v>
      </c>
      <c r="I292" t="s">
        <v>2368</v>
      </c>
      <c r="J292" t="s">
        <v>681</v>
      </c>
      <c r="K292" t="s">
        <v>3334</v>
      </c>
      <c r="L292" t="s">
        <v>380</v>
      </c>
      <c r="M292" t="s">
        <v>60</v>
      </c>
      <c r="P292" t="s">
        <v>1181</v>
      </c>
      <c r="R292" t="s">
        <v>3335</v>
      </c>
      <c r="S292" s="2">
        <v>44160</v>
      </c>
      <c r="T292" s="2">
        <v>44160</v>
      </c>
      <c r="V292" s="2">
        <v>44163</v>
      </c>
      <c r="Y292" t="s">
        <v>2476</v>
      </c>
      <c r="Z292" t="s">
        <v>2476</v>
      </c>
      <c r="AA292" t="s">
        <v>2476</v>
      </c>
      <c r="AB292" t="s">
        <v>67</v>
      </c>
      <c r="AC292" t="s">
        <v>67</v>
      </c>
      <c r="AD292" t="s">
        <v>67</v>
      </c>
      <c r="AF292" t="s">
        <v>2179</v>
      </c>
      <c r="AG292" t="s">
        <v>2180</v>
      </c>
      <c r="AH292" t="s">
        <v>2179</v>
      </c>
      <c r="AI292" t="s">
        <v>73</v>
      </c>
      <c r="AJ292">
        <v>0</v>
      </c>
      <c r="AK292">
        <v>0</v>
      </c>
      <c r="AL292">
        <v>0</v>
      </c>
      <c r="AM292">
        <v>0</v>
      </c>
      <c r="AN292">
        <v>3</v>
      </c>
      <c r="AO292">
        <v>480</v>
      </c>
      <c r="AP292">
        <v>4.3620000000000001</v>
      </c>
      <c r="AV292">
        <v>-1</v>
      </c>
    </row>
    <row r="293" spans="1:48" x14ac:dyDescent="0.55000000000000004">
      <c r="A293" t="str">
        <f>HYPERLINK("https://www.infodis.net/philips/net/Shipment/Details?InfodisNumber=7014205&amp;DomainCode=PHILIPSR1", "7014205")</f>
        <v>7014205</v>
      </c>
      <c r="B293" t="s">
        <v>3336</v>
      </c>
      <c r="C293" t="s">
        <v>2449</v>
      </c>
      <c r="D293" t="s">
        <v>2450</v>
      </c>
      <c r="E293" t="s">
        <v>2451</v>
      </c>
      <c r="F293" t="s">
        <v>2452</v>
      </c>
      <c r="G293" t="s">
        <v>2453</v>
      </c>
      <c r="H293" t="s">
        <v>443</v>
      </c>
      <c r="I293" t="s">
        <v>2454</v>
      </c>
      <c r="J293" t="s">
        <v>2455</v>
      </c>
      <c r="K293" t="s">
        <v>2456</v>
      </c>
      <c r="L293" t="s">
        <v>321</v>
      </c>
      <c r="M293" t="s">
        <v>60</v>
      </c>
      <c r="P293" t="s">
        <v>2457</v>
      </c>
      <c r="Q293" t="s">
        <v>3337</v>
      </c>
      <c r="R293" t="s">
        <v>2459</v>
      </c>
      <c r="S293" s="2">
        <v>44160</v>
      </c>
      <c r="T293" s="2">
        <v>44160</v>
      </c>
      <c r="U293" s="2">
        <v>44160</v>
      </c>
      <c r="V293" s="2">
        <v>44163</v>
      </c>
      <c r="Y293" t="s">
        <v>1735</v>
      </c>
      <c r="Z293" t="s">
        <v>1735</v>
      </c>
      <c r="AA293" t="s">
        <v>1735</v>
      </c>
      <c r="AB293" t="s">
        <v>67</v>
      </c>
      <c r="AC293" t="s">
        <v>67</v>
      </c>
      <c r="AD293" t="s">
        <v>67</v>
      </c>
      <c r="AF293" t="s">
        <v>2179</v>
      </c>
      <c r="AG293" t="s">
        <v>2180</v>
      </c>
      <c r="AH293" t="s">
        <v>2179</v>
      </c>
      <c r="AI293" t="s">
        <v>252</v>
      </c>
      <c r="AJ293">
        <v>0</v>
      </c>
      <c r="AK293">
        <v>0</v>
      </c>
      <c r="AL293">
        <v>0</v>
      </c>
      <c r="AM293">
        <v>0</v>
      </c>
      <c r="AN293">
        <v>8</v>
      </c>
      <c r="AO293">
        <v>568</v>
      </c>
      <c r="AP293">
        <v>14.141999999999999</v>
      </c>
      <c r="AV293">
        <v>-1</v>
      </c>
    </row>
    <row r="294" spans="1:48" x14ac:dyDescent="0.55000000000000004">
      <c r="A294" t="str">
        <f>HYPERLINK("https://www.infodis.net/philips/net/Shipment/Details?InfodisNumber=1583142&amp;DomainCode=PHILIPSM1", "1583142")</f>
        <v>1583142</v>
      </c>
      <c r="B294" t="s">
        <v>3338</v>
      </c>
      <c r="C294" t="s">
        <v>2539</v>
      </c>
      <c r="D294" t="s">
        <v>2540</v>
      </c>
      <c r="E294" t="s">
        <v>2539</v>
      </c>
      <c r="F294" t="s">
        <v>3339</v>
      </c>
      <c r="G294" t="s">
        <v>2542</v>
      </c>
      <c r="H294" t="s">
        <v>180</v>
      </c>
      <c r="I294" t="s">
        <v>652</v>
      </c>
      <c r="J294" t="s">
        <v>2767</v>
      </c>
      <c r="K294" t="s">
        <v>3340</v>
      </c>
      <c r="L294" t="s">
        <v>881</v>
      </c>
      <c r="M294" t="s">
        <v>60</v>
      </c>
      <c r="P294" t="s">
        <v>2545</v>
      </c>
      <c r="Q294" t="s">
        <v>3341</v>
      </c>
      <c r="R294" t="s">
        <v>3342</v>
      </c>
      <c r="S294" s="2">
        <v>44160</v>
      </c>
      <c r="T294" s="2">
        <v>44160</v>
      </c>
      <c r="U294" s="2">
        <v>44160</v>
      </c>
      <c r="V294" s="2">
        <v>44163</v>
      </c>
      <c r="Y294" t="s">
        <v>2359</v>
      </c>
      <c r="Z294" t="s">
        <v>2359</v>
      </c>
      <c r="AA294" t="s">
        <v>2359</v>
      </c>
      <c r="AB294" t="s">
        <v>67</v>
      </c>
      <c r="AC294" t="s">
        <v>67</v>
      </c>
      <c r="AD294" t="s">
        <v>67</v>
      </c>
      <c r="AF294" t="s">
        <v>2179</v>
      </c>
      <c r="AG294" t="s">
        <v>2180</v>
      </c>
      <c r="AH294" t="s">
        <v>2179</v>
      </c>
      <c r="AI294" t="s">
        <v>605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246.5</v>
      </c>
      <c r="AP294">
        <v>4.2130000000000001</v>
      </c>
      <c r="AV294">
        <v>-1</v>
      </c>
    </row>
    <row r="295" spans="1:48" x14ac:dyDescent="0.55000000000000004">
      <c r="A295" t="str">
        <f>HYPERLINK("https://www.infodis.net/philips/net/Shipment/Details?InfodisNumber=4567271&amp;DomainCode=DAP", "4567271")</f>
        <v>4567271</v>
      </c>
      <c r="B295" t="s">
        <v>3343</v>
      </c>
      <c r="C295" t="s">
        <v>2199</v>
      </c>
      <c r="D295" t="s">
        <v>2200</v>
      </c>
      <c r="E295" t="s">
        <v>94</v>
      </c>
      <c r="G295" t="s">
        <v>96</v>
      </c>
      <c r="H295" t="s">
        <v>79</v>
      </c>
      <c r="I295" t="s">
        <v>2396</v>
      </c>
      <c r="J295" t="s">
        <v>2367</v>
      </c>
      <c r="K295" t="s">
        <v>3344</v>
      </c>
      <c r="L295" t="s">
        <v>55</v>
      </c>
      <c r="M295" t="s">
        <v>60</v>
      </c>
      <c r="P295" t="s">
        <v>415</v>
      </c>
      <c r="R295" t="s">
        <v>3345</v>
      </c>
      <c r="S295" s="2">
        <v>44161</v>
      </c>
      <c r="T295" s="2">
        <v>44162</v>
      </c>
      <c r="V295" s="2">
        <v>44167</v>
      </c>
      <c r="Y295" t="s">
        <v>2051</v>
      </c>
      <c r="Z295" t="s">
        <v>2051</v>
      </c>
      <c r="AA295" t="s">
        <v>2051</v>
      </c>
      <c r="AB295" t="s">
        <v>67</v>
      </c>
      <c r="AC295" t="s">
        <v>67</v>
      </c>
      <c r="AD295" t="s">
        <v>67</v>
      </c>
      <c r="AF295" t="s">
        <v>2399</v>
      </c>
      <c r="AG295" t="s">
        <v>2400</v>
      </c>
      <c r="AH295" t="s">
        <v>2399</v>
      </c>
      <c r="AI295" t="s">
        <v>73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188.25</v>
      </c>
      <c r="AP295">
        <v>1.542</v>
      </c>
      <c r="AV295">
        <v>-1</v>
      </c>
    </row>
    <row r="296" spans="1:48" x14ac:dyDescent="0.55000000000000004">
      <c r="A296" t="str">
        <f>HYPERLINK("https://www.infodis.net/philips/net/Shipment/Details?InfodisNumber=4567382&amp;DomainCode=DAP", "4567382")</f>
        <v>4567382</v>
      </c>
      <c r="B296" t="s">
        <v>3346</v>
      </c>
      <c r="C296" t="s">
        <v>3347</v>
      </c>
      <c r="D296" t="s">
        <v>3348</v>
      </c>
      <c r="E296" t="s">
        <v>94</v>
      </c>
      <c r="F296" t="s">
        <v>1078</v>
      </c>
      <c r="G296" t="s">
        <v>111</v>
      </c>
      <c r="H296" t="s">
        <v>79</v>
      </c>
      <c r="I296" t="s">
        <v>268</v>
      </c>
      <c r="J296" t="s">
        <v>194</v>
      </c>
      <c r="K296" t="s">
        <v>269</v>
      </c>
      <c r="L296" t="s">
        <v>180</v>
      </c>
      <c r="M296" t="s">
        <v>60</v>
      </c>
      <c r="P296" t="s">
        <v>116</v>
      </c>
      <c r="R296" t="s">
        <v>271</v>
      </c>
      <c r="S296" s="2">
        <v>44161</v>
      </c>
      <c r="T296" s="2">
        <v>44169</v>
      </c>
      <c r="V296" s="2">
        <v>44172</v>
      </c>
      <c r="Y296" t="s">
        <v>1735</v>
      </c>
      <c r="Z296" t="s">
        <v>1735</v>
      </c>
      <c r="AA296" t="s">
        <v>1735</v>
      </c>
      <c r="AB296" t="s">
        <v>67</v>
      </c>
      <c r="AC296" t="s">
        <v>67</v>
      </c>
      <c r="AD296" t="s">
        <v>67</v>
      </c>
      <c r="AF296" t="s">
        <v>2179</v>
      </c>
      <c r="AG296" t="s">
        <v>2180</v>
      </c>
      <c r="AH296" t="s">
        <v>2179</v>
      </c>
      <c r="AI296" t="s">
        <v>73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153.68</v>
      </c>
      <c r="AP296">
        <v>1.619</v>
      </c>
      <c r="AV296">
        <v>-1</v>
      </c>
    </row>
    <row r="297" spans="1:48" x14ac:dyDescent="0.55000000000000004">
      <c r="A297" t="str">
        <f>HYPERLINK("https://www.infodis.net/philips/net/Shipment/Details?InfodisNumber=4567441&amp;DomainCode=DAP", "4567441")</f>
        <v>4567441</v>
      </c>
      <c r="B297" t="s">
        <v>3349</v>
      </c>
      <c r="C297" t="s">
        <v>2067</v>
      </c>
      <c r="D297" t="s">
        <v>2068</v>
      </c>
      <c r="E297" t="s">
        <v>94</v>
      </c>
      <c r="F297" t="s">
        <v>256</v>
      </c>
      <c r="G297" t="s">
        <v>82</v>
      </c>
      <c r="H297" t="s">
        <v>83</v>
      </c>
      <c r="I297" t="s">
        <v>2141</v>
      </c>
      <c r="J297" t="s">
        <v>2626</v>
      </c>
      <c r="K297" t="s">
        <v>259</v>
      </c>
      <c r="L297" t="s">
        <v>260</v>
      </c>
      <c r="M297" t="s">
        <v>60</v>
      </c>
      <c r="P297" t="s">
        <v>87</v>
      </c>
      <c r="R297" t="s">
        <v>262</v>
      </c>
      <c r="S297" s="2">
        <v>44161</v>
      </c>
      <c r="T297" s="2">
        <v>44162</v>
      </c>
      <c r="V297" s="2">
        <v>44165</v>
      </c>
      <c r="Y297" t="s">
        <v>1735</v>
      </c>
      <c r="Z297" t="s">
        <v>1735</v>
      </c>
      <c r="AA297" t="s">
        <v>1735</v>
      </c>
      <c r="AB297" t="s">
        <v>67</v>
      </c>
      <c r="AC297" t="s">
        <v>67</v>
      </c>
      <c r="AD297" t="s">
        <v>67</v>
      </c>
      <c r="AF297" t="s">
        <v>2179</v>
      </c>
      <c r="AG297" t="s">
        <v>2180</v>
      </c>
      <c r="AH297" t="s">
        <v>2179</v>
      </c>
      <c r="AI297" t="s">
        <v>73</v>
      </c>
      <c r="AJ297">
        <v>0</v>
      </c>
      <c r="AK297">
        <v>0</v>
      </c>
      <c r="AL297">
        <v>0</v>
      </c>
      <c r="AM297">
        <v>0</v>
      </c>
      <c r="AN297">
        <v>7</v>
      </c>
      <c r="AO297">
        <v>1748.5</v>
      </c>
      <c r="AP297">
        <v>8.8989999999999991</v>
      </c>
      <c r="AV297">
        <v>-1</v>
      </c>
    </row>
    <row r="298" spans="1:48" x14ac:dyDescent="0.55000000000000004">
      <c r="A298" t="str">
        <f>HYPERLINK("https://www.infodis.net/philips/net/Shipment/Details?InfodisNumber=4567459&amp;DomainCode=DAP", "4567459")</f>
        <v>4567459</v>
      </c>
      <c r="B298" t="s">
        <v>3350</v>
      </c>
      <c r="C298" t="s">
        <v>2067</v>
      </c>
      <c r="D298" t="s">
        <v>2068</v>
      </c>
      <c r="E298" t="s">
        <v>94</v>
      </c>
      <c r="F298" t="s">
        <v>256</v>
      </c>
      <c r="G298" t="s">
        <v>82</v>
      </c>
      <c r="H298" t="s">
        <v>83</v>
      </c>
      <c r="I298" t="s">
        <v>2141</v>
      </c>
      <c r="J298" t="s">
        <v>2626</v>
      </c>
      <c r="K298" t="s">
        <v>259</v>
      </c>
      <c r="L298" t="s">
        <v>260</v>
      </c>
      <c r="M298" t="s">
        <v>60</v>
      </c>
      <c r="P298" t="s">
        <v>87</v>
      </c>
      <c r="R298" t="s">
        <v>262</v>
      </c>
      <c r="S298" s="2">
        <v>44161</v>
      </c>
      <c r="T298" s="2">
        <v>44162</v>
      </c>
      <c r="V298" s="2">
        <v>44165</v>
      </c>
      <c r="Y298" t="s">
        <v>1735</v>
      </c>
      <c r="Z298" t="s">
        <v>1735</v>
      </c>
      <c r="AA298" t="s">
        <v>1735</v>
      </c>
      <c r="AB298" t="s">
        <v>67</v>
      </c>
      <c r="AC298" t="s">
        <v>67</v>
      </c>
      <c r="AD298" t="s">
        <v>67</v>
      </c>
      <c r="AF298" t="s">
        <v>2179</v>
      </c>
      <c r="AG298" t="s">
        <v>2180</v>
      </c>
      <c r="AH298" t="s">
        <v>2179</v>
      </c>
      <c r="AI298" t="s">
        <v>73</v>
      </c>
      <c r="AJ298">
        <v>0</v>
      </c>
      <c r="AK298">
        <v>0</v>
      </c>
      <c r="AL298">
        <v>0</v>
      </c>
      <c r="AM298">
        <v>0</v>
      </c>
      <c r="AN298">
        <v>7</v>
      </c>
      <c r="AO298">
        <v>1228.5</v>
      </c>
      <c r="AP298">
        <v>6.8140000000000001</v>
      </c>
      <c r="AV298">
        <v>-1</v>
      </c>
    </row>
    <row r="299" spans="1:48" x14ac:dyDescent="0.55000000000000004">
      <c r="A299" t="str">
        <f>HYPERLINK("https://www.infodis.net/philips/net/Shipment/Details?InfodisNumber=4567460&amp;DomainCode=DAP", "4567460")</f>
        <v>4567460</v>
      </c>
      <c r="B299" t="s">
        <v>3351</v>
      </c>
      <c r="C299" t="s">
        <v>2067</v>
      </c>
      <c r="D299" t="s">
        <v>2068</v>
      </c>
      <c r="E299" t="s">
        <v>94</v>
      </c>
      <c r="F299" t="s">
        <v>256</v>
      </c>
      <c r="G299" t="s">
        <v>82</v>
      </c>
      <c r="H299" t="s">
        <v>83</v>
      </c>
      <c r="I299" t="s">
        <v>2141</v>
      </c>
      <c r="J299" t="s">
        <v>2626</v>
      </c>
      <c r="K299" t="s">
        <v>259</v>
      </c>
      <c r="L299" t="s">
        <v>260</v>
      </c>
      <c r="M299" t="s">
        <v>60</v>
      </c>
      <c r="P299" t="s">
        <v>87</v>
      </c>
      <c r="R299" t="s">
        <v>262</v>
      </c>
      <c r="S299" s="2">
        <v>44161</v>
      </c>
      <c r="T299" s="2">
        <v>44162</v>
      </c>
      <c r="V299" s="2">
        <v>44165</v>
      </c>
      <c r="Y299" t="s">
        <v>1735</v>
      </c>
      <c r="Z299" t="s">
        <v>1735</v>
      </c>
      <c r="AA299" t="s">
        <v>1735</v>
      </c>
      <c r="AB299" t="s">
        <v>67</v>
      </c>
      <c r="AC299" t="s">
        <v>67</v>
      </c>
      <c r="AD299" t="s">
        <v>67</v>
      </c>
      <c r="AF299" t="s">
        <v>2179</v>
      </c>
      <c r="AG299" t="s">
        <v>2180</v>
      </c>
      <c r="AH299" t="s">
        <v>2179</v>
      </c>
      <c r="AI299" t="s">
        <v>73</v>
      </c>
      <c r="AJ299">
        <v>0</v>
      </c>
      <c r="AK299">
        <v>0</v>
      </c>
      <c r="AL299">
        <v>0</v>
      </c>
      <c r="AM299">
        <v>0</v>
      </c>
      <c r="AN299">
        <v>7</v>
      </c>
      <c r="AO299">
        <v>1416</v>
      </c>
      <c r="AP299">
        <v>6.78</v>
      </c>
      <c r="AV299">
        <v>-1</v>
      </c>
    </row>
    <row r="300" spans="1:48" x14ac:dyDescent="0.55000000000000004">
      <c r="A300" t="str">
        <f>HYPERLINK("https://www.infodis.net/philips/net/Shipment/Details?InfodisNumber=4567472&amp;DomainCode=DAP", "4567472")</f>
        <v>4567472</v>
      </c>
      <c r="B300" t="s">
        <v>3352</v>
      </c>
      <c r="C300" t="s">
        <v>2067</v>
      </c>
      <c r="D300" t="s">
        <v>2068</v>
      </c>
      <c r="E300" t="s">
        <v>94</v>
      </c>
      <c r="F300" t="s">
        <v>256</v>
      </c>
      <c r="G300" t="s">
        <v>82</v>
      </c>
      <c r="H300" t="s">
        <v>83</v>
      </c>
      <c r="I300" t="s">
        <v>2141</v>
      </c>
      <c r="J300" t="s">
        <v>2626</v>
      </c>
      <c r="K300" t="s">
        <v>259</v>
      </c>
      <c r="L300" t="s">
        <v>260</v>
      </c>
      <c r="M300" t="s">
        <v>60</v>
      </c>
      <c r="P300" t="s">
        <v>87</v>
      </c>
      <c r="R300" t="s">
        <v>262</v>
      </c>
      <c r="S300" s="2">
        <v>44161</v>
      </c>
      <c r="T300" s="2">
        <v>44162</v>
      </c>
      <c r="V300" s="2">
        <v>44165</v>
      </c>
      <c r="Y300" t="s">
        <v>1735</v>
      </c>
      <c r="Z300" t="s">
        <v>1735</v>
      </c>
      <c r="AA300" t="s">
        <v>1735</v>
      </c>
      <c r="AB300" t="s">
        <v>67</v>
      </c>
      <c r="AC300" t="s">
        <v>67</v>
      </c>
      <c r="AD300" t="s">
        <v>67</v>
      </c>
      <c r="AF300" t="s">
        <v>2179</v>
      </c>
      <c r="AG300" t="s">
        <v>2180</v>
      </c>
      <c r="AH300" t="s">
        <v>2179</v>
      </c>
      <c r="AI300" t="s">
        <v>73</v>
      </c>
      <c r="AJ300">
        <v>0</v>
      </c>
      <c r="AK300">
        <v>0</v>
      </c>
      <c r="AL300">
        <v>0</v>
      </c>
      <c r="AM300">
        <v>0</v>
      </c>
      <c r="AN300">
        <v>7</v>
      </c>
      <c r="AO300">
        <v>1153</v>
      </c>
      <c r="AP300">
        <v>7.5939999999999994</v>
      </c>
      <c r="AV300">
        <v>-1</v>
      </c>
    </row>
    <row r="301" spans="1:48" x14ac:dyDescent="0.55000000000000004">
      <c r="A301" t="str">
        <f>HYPERLINK("https://www.infodis.net/philips/net/Shipment/Details?InfodisNumber=4567489&amp;DomainCode=DAP", "4567489")</f>
        <v>4567489</v>
      </c>
      <c r="B301" t="s">
        <v>3353</v>
      </c>
      <c r="C301" t="s">
        <v>2067</v>
      </c>
      <c r="D301" t="s">
        <v>2068</v>
      </c>
      <c r="E301" t="s">
        <v>94</v>
      </c>
      <c r="F301" t="s">
        <v>256</v>
      </c>
      <c r="G301" t="s">
        <v>82</v>
      </c>
      <c r="H301" t="s">
        <v>83</v>
      </c>
      <c r="I301" t="s">
        <v>2141</v>
      </c>
      <c r="J301" t="s">
        <v>2626</v>
      </c>
      <c r="K301" t="s">
        <v>259</v>
      </c>
      <c r="L301" t="s">
        <v>260</v>
      </c>
      <c r="M301" t="s">
        <v>60</v>
      </c>
      <c r="P301" t="s">
        <v>87</v>
      </c>
      <c r="R301" t="s">
        <v>262</v>
      </c>
      <c r="S301" s="2">
        <v>44161</v>
      </c>
      <c r="T301" s="2">
        <v>44162</v>
      </c>
      <c r="V301" s="2">
        <v>44165</v>
      </c>
      <c r="Y301" t="s">
        <v>1735</v>
      </c>
      <c r="Z301" t="s">
        <v>1735</v>
      </c>
      <c r="AA301" t="s">
        <v>1735</v>
      </c>
      <c r="AB301" t="s">
        <v>67</v>
      </c>
      <c r="AC301" t="s">
        <v>67</v>
      </c>
      <c r="AD301" t="s">
        <v>67</v>
      </c>
      <c r="AF301" t="s">
        <v>2179</v>
      </c>
      <c r="AG301" t="s">
        <v>2180</v>
      </c>
      <c r="AH301" t="s">
        <v>2179</v>
      </c>
      <c r="AI301" t="s">
        <v>73</v>
      </c>
      <c r="AJ301">
        <v>0</v>
      </c>
      <c r="AK301">
        <v>0</v>
      </c>
      <c r="AL301">
        <v>0</v>
      </c>
      <c r="AM301">
        <v>0</v>
      </c>
      <c r="AN301">
        <v>7</v>
      </c>
      <c r="AO301">
        <v>1255</v>
      </c>
      <c r="AP301">
        <v>7.1420000000000003</v>
      </c>
      <c r="AV301">
        <v>-1</v>
      </c>
    </row>
    <row r="302" spans="1:48" x14ac:dyDescent="0.55000000000000004">
      <c r="A302" t="str">
        <f>HYPERLINK("https://www.infodis.net/philips/net/Shipment/Details?InfodisNumber=4567494&amp;DomainCode=DAP", "4567494")</f>
        <v>4567494</v>
      </c>
      <c r="B302" t="s">
        <v>3354</v>
      </c>
      <c r="C302" t="s">
        <v>2067</v>
      </c>
      <c r="D302" t="s">
        <v>2068</v>
      </c>
      <c r="E302" t="s">
        <v>94</v>
      </c>
      <c r="F302" t="s">
        <v>256</v>
      </c>
      <c r="G302" t="s">
        <v>82</v>
      </c>
      <c r="H302" t="s">
        <v>83</v>
      </c>
      <c r="I302" t="s">
        <v>2141</v>
      </c>
      <c r="J302" t="s">
        <v>2626</v>
      </c>
      <c r="K302" t="s">
        <v>259</v>
      </c>
      <c r="L302" t="s">
        <v>260</v>
      </c>
      <c r="M302" t="s">
        <v>60</v>
      </c>
      <c r="P302" t="s">
        <v>87</v>
      </c>
      <c r="R302" t="s">
        <v>262</v>
      </c>
      <c r="S302" s="2">
        <v>44161</v>
      </c>
      <c r="T302" s="2">
        <v>44162</v>
      </c>
      <c r="V302" s="2">
        <v>44165</v>
      </c>
      <c r="Y302" t="s">
        <v>1735</v>
      </c>
      <c r="Z302" t="s">
        <v>1735</v>
      </c>
      <c r="AA302" t="s">
        <v>1735</v>
      </c>
      <c r="AB302" t="s">
        <v>67</v>
      </c>
      <c r="AC302" t="s">
        <v>67</v>
      </c>
      <c r="AD302" t="s">
        <v>67</v>
      </c>
      <c r="AF302" t="s">
        <v>2179</v>
      </c>
      <c r="AG302" t="s">
        <v>2180</v>
      </c>
      <c r="AH302" t="s">
        <v>2179</v>
      </c>
      <c r="AI302" t="s">
        <v>73</v>
      </c>
      <c r="AJ302">
        <v>0</v>
      </c>
      <c r="AK302">
        <v>0</v>
      </c>
      <c r="AL302">
        <v>0</v>
      </c>
      <c r="AM302">
        <v>0</v>
      </c>
      <c r="AN302">
        <v>7</v>
      </c>
      <c r="AO302">
        <v>1404.5</v>
      </c>
      <c r="AP302">
        <v>7.67</v>
      </c>
      <c r="AV302">
        <v>-1</v>
      </c>
    </row>
    <row r="303" spans="1:48" x14ac:dyDescent="0.55000000000000004">
      <c r="A303" t="str">
        <f>HYPERLINK("https://www.infodis.net/philips/net/Shipment/Details?InfodisNumber=4567723&amp;DomainCode=DAP", "4567723")</f>
        <v>4567723</v>
      </c>
      <c r="B303" t="s">
        <v>3355</v>
      </c>
      <c r="C303" t="s">
        <v>2067</v>
      </c>
      <c r="D303" t="s">
        <v>2068</v>
      </c>
      <c r="E303" t="s">
        <v>94</v>
      </c>
      <c r="F303" t="s">
        <v>256</v>
      </c>
      <c r="G303" t="s">
        <v>82</v>
      </c>
      <c r="H303" t="s">
        <v>83</v>
      </c>
      <c r="I303" t="s">
        <v>2141</v>
      </c>
      <c r="J303" t="s">
        <v>2626</v>
      </c>
      <c r="K303" t="s">
        <v>259</v>
      </c>
      <c r="L303" t="s">
        <v>260</v>
      </c>
      <c r="M303" t="s">
        <v>60</v>
      </c>
      <c r="P303" t="s">
        <v>87</v>
      </c>
      <c r="R303" t="s">
        <v>262</v>
      </c>
      <c r="S303" s="2">
        <v>44161</v>
      </c>
      <c r="T303" s="2">
        <v>44162</v>
      </c>
      <c r="V303" s="2">
        <v>44165</v>
      </c>
      <c r="Y303" t="s">
        <v>1735</v>
      </c>
      <c r="Z303" t="s">
        <v>1735</v>
      </c>
      <c r="AA303" t="s">
        <v>1735</v>
      </c>
      <c r="AB303" t="s">
        <v>67</v>
      </c>
      <c r="AC303" t="s">
        <v>67</v>
      </c>
      <c r="AD303" t="s">
        <v>67</v>
      </c>
      <c r="AF303" t="s">
        <v>2179</v>
      </c>
      <c r="AG303" t="s">
        <v>2180</v>
      </c>
      <c r="AH303" t="s">
        <v>2179</v>
      </c>
      <c r="AI303" t="s">
        <v>73</v>
      </c>
      <c r="AJ303">
        <v>0</v>
      </c>
      <c r="AK303">
        <v>0</v>
      </c>
      <c r="AL303">
        <v>0</v>
      </c>
      <c r="AM303">
        <v>0</v>
      </c>
      <c r="AN303">
        <v>7</v>
      </c>
      <c r="AO303">
        <v>1217</v>
      </c>
      <c r="AP303">
        <v>6.593</v>
      </c>
      <c r="AV303">
        <v>-1</v>
      </c>
    </row>
    <row r="304" spans="1:48" x14ac:dyDescent="0.55000000000000004">
      <c r="A304" t="str">
        <f>HYPERLINK("https://www.infodis.net/philips/net/Shipment/Details?InfodisNumber=4567726&amp;DomainCode=DAP", "4567726")</f>
        <v>4567726</v>
      </c>
      <c r="B304" t="s">
        <v>3356</v>
      </c>
      <c r="C304" t="s">
        <v>2067</v>
      </c>
      <c r="D304" t="s">
        <v>2068</v>
      </c>
      <c r="E304" t="s">
        <v>94</v>
      </c>
      <c r="F304" t="s">
        <v>256</v>
      </c>
      <c r="G304" t="s">
        <v>82</v>
      </c>
      <c r="H304" t="s">
        <v>83</v>
      </c>
      <c r="I304" t="s">
        <v>2141</v>
      </c>
      <c r="J304" t="s">
        <v>2626</v>
      </c>
      <c r="K304" t="s">
        <v>259</v>
      </c>
      <c r="L304" t="s">
        <v>260</v>
      </c>
      <c r="M304" t="s">
        <v>60</v>
      </c>
      <c r="P304" t="s">
        <v>87</v>
      </c>
      <c r="R304" t="s">
        <v>262</v>
      </c>
      <c r="S304" s="2">
        <v>44161</v>
      </c>
      <c r="T304" s="2">
        <v>44162</v>
      </c>
      <c r="V304" s="2">
        <v>44165</v>
      </c>
      <c r="Y304" t="s">
        <v>1735</v>
      </c>
      <c r="Z304" t="s">
        <v>1735</v>
      </c>
      <c r="AA304" t="s">
        <v>1735</v>
      </c>
      <c r="AB304" t="s">
        <v>67</v>
      </c>
      <c r="AC304" t="s">
        <v>67</v>
      </c>
      <c r="AD304" t="s">
        <v>67</v>
      </c>
      <c r="AF304" t="s">
        <v>2179</v>
      </c>
      <c r="AG304" t="s">
        <v>2180</v>
      </c>
      <c r="AH304" t="s">
        <v>2179</v>
      </c>
      <c r="AI304" t="s">
        <v>73</v>
      </c>
      <c r="AJ304">
        <v>0</v>
      </c>
      <c r="AK304">
        <v>0</v>
      </c>
      <c r="AL304">
        <v>0</v>
      </c>
      <c r="AM304">
        <v>0</v>
      </c>
      <c r="AN304">
        <v>6</v>
      </c>
      <c r="AO304">
        <v>1345.5</v>
      </c>
      <c r="AP304">
        <v>6.2979999999999992</v>
      </c>
      <c r="AV304">
        <v>-1</v>
      </c>
    </row>
    <row r="305" spans="1:49" x14ac:dyDescent="0.55000000000000004">
      <c r="A305" t="str">
        <f>HYPERLINK("https://www.infodis.net/philips/net/Shipment/Details?InfodisNumber=4567728&amp;DomainCode=DAP", "4567728")</f>
        <v>4567728</v>
      </c>
      <c r="B305" t="s">
        <v>3357</v>
      </c>
      <c r="C305" t="s">
        <v>2067</v>
      </c>
      <c r="D305" t="s">
        <v>2068</v>
      </c>
      <c r="E305" t="s">
        <v>94</v>
      </c>
      <c r="F305" t="s">
        <v>256</v>
      </c>
      <c r="G305" t="s">
        <v>82</v>
      </c>
      <c r="H305" t="s">
        <v>83</v>
      </c>
      <c r="I305" t="s">
        <v>2141</v>
      </c>
      <c r="J305" t="s">
        <v>2626</v>
      </c>
      <c r="K305" t="s">
        <v>259</v>
      </c>
      <c r="L305" t="s">
        <v>260</v>
      </c>
      <c r="M305" t="s">
        <v>60</v>
      </c>
      <c r="P305" t="s">
        <v>87</v>
      </c>
      <c r="R305" t="s">
        <v>262</v>
      </c>
      <c r="S305" s="2">
        <v>44161</v>
      </c>
      <c r="T305" s="2">
        <v>44162</v>
      </c>
      <c r="V305" s="2">
        <v>44165</v>
      </c>
      <c r="Y305" t="s">
        <v>1735</v>
      </c>
      <c r="Z305" t="s">
        <v>1735</v>
      </c>
      <c r="AA305" t="s">
        <v>1735</v>
      </c>
      <c r="AB305" t="s">
        <v>67</v>
      </c>
      <c r="AC305" t="s">
        <v>67</v>
      </c>
      <c r="AD305" t="s">
        <v>67</v>
      </c>
      <c r="AF305" t="s">
        <v>2179</v>
      </c>
      <c r="AG305" t="s">
        <v>2180</v>
      </c>
      <c r="AH305" t="s">
        <v>2179</v>
      </c>
      <c r="AI305" t="s">
        <v>73</v>
      </c>
      <c r="AJ305">
        <v>0</v>
      </c>
      <c r="AK305">
        <v>0</v>
      </c>
      <c r="AL305">
        <v>0</v>
      </c>
      <c r="AM305">
        <v>0</v>
      </c>
      <c r="AN305">
        <v>7</v>
      </c>
      <c r="AO305">
        <v>1533.5</v>
      </c>
      <c r="AP305">
        <v>7.2070000000000007</v>
      </c>
      <c r="AV305">
        <v>-1</v>
      </c>
    </row>
    <row r="306" spans="1:49" x14ac:dyDescent="0.55000000000000004">
      <c r="A306" t="str">
        <f>HYPERLINK("https://www.infodis.net/philips/net/Shipment/Details?InfodisNumber=4567797&amp;DomainCode=DAP", "4567797")</f>
        <v>4567797</v>
      </c>
      <c r="B306" t="s">
        <v>3358</v>
      </c>
      <c r="C306" t="s">
        <v>212</v>
      </c>
      <c r="D306" t="s">
        <v>213</v>
      </c>
      <c r="E306" t="s">
        <v>214</v>
      </c>
      <c r="F306" t="s">
        <v>1078</v>
      </c>
      <c r="G306" t="s">
        <v>216</v>
      </c>
      <c r="H306" t="s">
        <v>55</v>
      </c>
      <c r="I306" t="s">
        <v>2367</v>
      </c>
      <c r="J306" t="s">
        <v>2368</v>
      </c>
      <c r="K306" t="s">
        <v>269</v>
      </c>
      <c r="L306" t="s">
        <v>180</v>
      </c>
      <c r="M306" t="s">
        <v>60</v>
      </c>
      <c r="P306" t="s">
        <v>2369</v>
      </c>
      <c r="R306" t="s">
        <v>271</v>
      </c>
      <c r="S306" s="2">
        <v>44161</v>
      </c>
      <c r="T306" s="2">
        <v>44162</v>
      </c>
      <c r="V306" s="2">
        <v>44165</v>
      </c>
      <c r="Y306" t="s">
        <v>2371</v>
      </c>
      <c r="Z306" t="s">
        <v>2371</v>
      </c>
      <c r="AA306" t="s">
        <v>2371</v>
      </c>
      <c r="AB306" t="s">
        <v>67</v>
      </c>
      <c r="AC306" t="s">
        <v>67</v>
      </c>
      <c r="AD306" t="s">
        <v>67</v>
      </c>
      <c r="AF306" t="s">
        <v>2179</v>
      </c>
      <c r="AG306" t="s">
        <v>2180</v>
      </c>
      <c r="AH306" t="s">
        <v>2179</v>
      </c>
      <c r="AI306" t="s">
        <v>73</v>
      </c>
      <c r="AJ306">
        <v>0</v>
      </c>
      <c r="AK306">
        <v>0</v>
      </c>
      <c r="AL306">
        <v>0</v>
      </c>
      <c r="AM306">
        <v>0</v>
      </c>
      <c r="AN306">
        <v>5</v>
      </c>
      <c r="AO306">
        <v>157</v>
      </c>
      <c r="AP306">
        <v>1.272</v>
      </c>
      <c r="AV306">
        <v>-1</v>
      </c>
    </row>
    <row r="307" spans="1:49" x14ac:dyDescent="0.55000000000000004">
      <c r="A307" t="str">
        <f>HYPERLINK("https://www.infodis.net/philips/net/Shipment/Details?InfodisNumber=4567794&amp;DomainCode=DAP", "4567794")</f>
        <v>4567794</v>
      </c>
      <c r="B307" t="s">
        <v>3359</v>
      </c>
      <c r="C307" t="s">
        <v>212</v>
      </c>
      <c r="D307" t="s">
        <v>213</v>
      </c>
      <c r="E307" t="s">
        <v>214</v>
      </c>
      <c r="F307" t="s">
        <v>1078</v>
      </c>
      <c r="G307" t="s">
        <v>216</v>
      </c>
      <c r="H307" t="s">
        <v>55</v>
      </c>
      <c r="I307" t="s">
        <v>2367</v>
      </c>
      <c r="J307" t="s">
        <v>2368</v>
      </c>
      <c r="K307" t="s">
        <v>269</v>
      </c>
      <c r="L307" t="s">
        <v>180</v>
      </c>
      <c r="M307" t="s">
        <v>60</v>
      </c>
      <c r="P307" t="s">
        <v>2369</v>
      </c>
      <c r="R307" t="s">
        <v>271</v>
      </c>
      <c r="S307" s="2">
        <v>44161</v>
      </c>
      <c r="T307" s="2">
        <v>44162</v>
      </c>
      <c r="V307" s="2">
        <v>44165</v>
      </c>
      <c r="Y307" t="s">
        <v>2371</v>
      </c>
      <c r="Z307" t="s">
        <v>2371</v>
      </c>
      <c r="AA307" t="s">
        <v>2371</v>
      </c>
      <c r="AB307" t="s">
        <v>67</v>
      </c>
      <c r="AC307" t="s">
        <v>67</v>
      </c>
      <c r="AD307" t="s">
        <v>67</v>
      </c>
      <c r="AF307" t="s">
        <v>2179</v>
      </c>
      <c r="AG307" t="s">
        <v>2180</v>
      </c>
      <c r="AH307" t="s">
        <v>2179</v>
      </c>
      <c r="AI307" t="s">
        <v>73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145</v>
      </c>
      <c r="AP307">
        <v>1.44</v>
      </c>
      <c r="AV307">
        <v>-1</v>
      </c>
    </row>
    <row r="308" spans="1:49" x14ac:dyDescent="0.55000000000000004">
      <c r="A308" t="str">
        <f>HYPERLINK("https://www.infodis.net/philips/net/Shipment/Details?InfodisNumber=4567804&amp;DomainCode=DAP", "4567804")</f>
        <v>4567804</v>
      </c>
      <c r="B308" t="s">
        <v>3360</v>
      </c>
      <c r="C308" t="s">
        <v>212</v>
      </c>
      <c r="D308" t="s">
        <v>213</v>
      </c>
      <c r="E308" t="s">
        <v>214</v>
      </c>
      <c r="F308" t="s">
        <v>2069</v>
      </c>
      <c r="G308" t="s">
        <v>216</v>
      </c>
      <c r="H308" t="s">
        <v>55</v>
      </c>
      <c r="I308" t="s">
        <v>2367</v>
      </c>
      <c r="J308" t="s">
        <v>293</v>
      </c>
      <c r="K308" t="s">
        <v>937</v>
      </c>
      <c r="L308" t="s">
        <v>938</v>
      </c>
      <c r="M308" t="s">
        <v>60</v>
      </c>
      <c r="P308" t="s">
        <v>2369</v>
      </c>
      <c r="R308" t="s">
        <v>2424</v>
      </c>
      <c r="S308" s="2">
        <v>44161</v>
      </c>
      <c r="T308" s="2">
        <v>44162</v>
      </c>
      <c r="V308" s="2">
        <v>44165</v>
      </c>
      <c r="Y308" t="s">
        <v>2398</v>
      </c>
      <c r="Z308" t="s">
        <v>2398</v>
      </c>
      <c r="AA308" t="s">
        <v>2398</v>
      </c>
      <c r="AB308" t="s">
        <v>67</v>
      </c>
      <c r="AC308" t="s">
        <v>67</v>
      </c>
      <c r="AD308" t="s">
        <v>67</v>
      </c>
      <c r="AF308" t="s">
        <v>2179</v>
      </c>
      <c r="AG308" t="s">
        <v>2180</v>
      </c>
      <c r="AH308" t="s">
        <v>2179</v>
      </c>
      <c r="AI308" t="s">
        <v>73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128</v>
      </c>
      <c r="AP308">
        <v>1.1519999999999999</v>
      </c>
      <c r="AV308">
        <v>-1</v>
      </c>
    </row>
    <row r="309" spans="1:49" x14ac:dyDescent="0.55000000000000004">
      <c r="A309" t="str">
        <f>HYPERLINK("https://www.infodis.net/philips/net/Shipment/Details?InfodisNumber=4567865&amp;DomainCode=DAP", "4567865")</f>
        <v>4567865</v>
      </c>
      <c r="B309" t="s">
        <v>3361</v>
      </c>
      <c r="C309" t="s">
        <v>2067</v>
      </c>
      <c r="D309" t="s">
        <v>2068</v>
      </c>
      <c r="E309" t="s">
        <v>94</v>
      </c>
      <c r="F309" t="s">
        <v>256</v>
      </c>
      <c r="G309" t="s">
        <v>82</v>
      </c>
      <c r="H309" t="s">
        <v>83</v>
      </c>
      <c r="I309" t="s">
        <v>2141</v>
      </c>
      <c r="J309" t="s">
        <v>2626</v>
      </c>
      <c r="K309" t="s">
        <v>259</v>
      </c>
      <c r="L309" t="s">
        <v>260</v>
      </c>
      <c r="M309" t="s">
        <v>60</v>
      </c>
      <c r="P309" t="s">
        <v>87</v>
      </c>
      <c r="R309" t="s">
        <v>262</v>
      </c>
      <c r="S309" s="2">
        <v>44161</v>
      </c>
      <c r="T309" s="2">
        <v>44162</v>
      </c>
      <c r="V309" s="2">
        <v>44165</v>
      </c>
      <c r="Y309" t="s">
        <v>1735</v>
      </c>
      <c r="Z309" t="s">
        <v>1735</v>
      </c>
      <c r="AA309" t="s">
        <v>1735</v>
      </c>
      <c r="AB309" t="s">
        <v>67</v>
      </c>
      <c r="AC309" t="s">
        <v>67</v>
      </c>
      <c r="AD309" t="s">
        <v>67</v>
      </c>
      <c r="AF309" t="s">
        <v>2179</v>
      </c>
      <c r="AG309" t="s">
        <v>2180</v>
      </c>
      <c r="AH309" t="s">
        <v>2179</v>
      </c>
      <c r="AI309" t="s">
        <v>73</v>
      </c>
      <c r="AJ309">
        <v>0</v>
      </c>
      <c r="AK309">
        <v>0</v>
      </c>
      <c r="AL309">
        <v>0</v>
      </c>
      <c r="AM309">
        <v>0</v>
      </c>
      <c r="AN309">
        <v>7</v>
      </c>
      <c r="AO309">
        <v>856</v>
      </c>
      <c r="AP309">
        <v>6.5590000000000002</v>
      </c>
      <c r="AV309">
        <v>-1</v>
      </c>
    </row>
    <row r="310" spans="1:49" x14ac:dyDescent="0.55000000000000004">
      <c r="A310" t="str">
        <f>HYPERLINK("https://www.infodis.net/philips/net/Shipment/Details?InfodisNumber=4567862&amp;DomainCode=DAP", "4567862")</f>
        <v>4567862</v>
      </c>
      <c r="B310" t="s">
        <v>3362</v>
      </c>
      <c r="C310" t="s">
        <v>2067</v>
      </c>
      <c r="D310" t="s">
        <v>2068</v>
      </c>
      <c r="E310" t="s">
        <v>94</v>
      </c>
      <c r="F310" t="s">
        <v>256</v>
      </c>
      <c r="G310" t="s">
        <v>82</v>
      </c>
      <c r="H310" t="s">
        <v>83</v>
      </c>
      <c r="I310" t="s">
        <v>2141</v>
      </c>
      <c r="J310" t="s">
        <v>2626</v>
      </c>
      <c r="K310" t="s">
        <v>259</v>
      </c>
      <c r="L310" t="s">
        <v>260</v>
      </c>
      <c r="M310" t="s">
        <v>60</v>
      </c>
      <c r="P310" t="s">
        <v>87</v>
      </c>
      <c r="R310" t="s">
        <v>262</v>
      </c>
      <c r="S310" s="2">
        <v>44161</v>
      </c>
      <c r="T310" s="2">
        <v>44162</v>
      </c>
      <c r="V310" s="2">
        <v>44165</v>
      </c>
      <c r="Y310" t="s">
        <v>1735</v>
      </c>
      <c r="Z310" t="s">
        <v>1735</v>
      </c>
      <c r="AA310" t="s">
        <v>1735</v>
      </c>
      <c r="AB310" t="s">
        <v>67</v>
      </c>
      <c r="AC310" t="s">
        <v>67</v>
      </c>
      <c r="AD310" t="s">
        <v>67</v>
      </c>
      <c r="AF310" t="s">
        <v>2179</v>
      </c>
      <c r="AG310" t="s">
        <v>2180</v>
      </c>
      <c r="AH310" t="s">
        <v>2179</v>
      </c>
      <c r="AI310" t="s">
        <v>73</v>
      </c>
      <c r="AJ310">
        <v>0</v>
      </c>
      <c r="AK310">
        <v>0</v>
      </c>
      <c r="AL310">
        <v>0</v>
      </c>
      <c r="AM310">
        <v>0</v>
      </c>
      <c r="AN310">
        <v>7</v>
      </c>
      <c r="AO310">
        <v>1632.5</v>
      </c>
      <c r="AP310">
        <v>7.7279999999999998</v>
      </c>
      <c r="AV310">
        <v>-1</v>
      </c>
    </row>
    <row r="311" spans="1:49" x14ac:dyDescent="0.55000000000000004">
      <c r="A311" t="str">
        <f>HYPERLINK("https://www.infodis.net/philips/net/Shipment/Details?InfodisNumber=4567867&amp;DomainCode=DAP", "4567867")</f>
        <v>4567867</v>
      </c>
      <c r="B311" t="s">
        <v>3363</v>
      </c>
      <c r="C311" t="s">
        <v>2067</v>
      </c>
      <c r="D311" t="s">
        <v>2068</v>
      </c>
      <c r="E311" t="s">
        <v>94</v>
      </c>
      <c r="F311" t="s">
        <v>256</v>
      </c>
      <c r="G311" t="s">
        <v>82</v>
      </c>
      <c r="H311" t="s">
        <v>83</v>
      </c>
      <c r="I311" t="s">
        <v>2141</v>
      </c>
      <c r="J311" t="s">
        <v>2626</v>
      </c>
      <c r="K311" t="s">
        <v>259</v>
      </c>
      <c r="L311" t="s">
        <v>260</v>
      </c>
      <c r="M311" t="s">
        <v>60</v>
      </c>
      <c r="P311" t="s">
        <v>87</v>
      </c>
      <c r="R311" t="s">
        <v>262</v>
      </c>
      <c r="S311" s="2">
        <v>44161</v>
      </c>
      <c r="T311" s="2">
        <v>44162</v>
      </c>
      <c r="V311" s="2">
        <v>44165</v>
      </c>
      <c r="Y311" t="s">
        <v>1735</v>
      </c>
      <c r="Z311" t="s">
        <v>1735</v>
      </c>
      <c r="AA311" t="s">
        <v>1735</v>
      </c>
      <c r="AB311" t="s">
        <v>67</v>
      </c>
      <c r="AC311" t="s">
        <v>67</v>
      </c>
      <c r="AD311" t="s">
        <v>67</v>
      </c>
      <c r="AF311" t="s">
        <v>2179</v>
      </c>
      <c r="AG311" t="s">
        <v>2180</v>
      </c>
      <c r="AH311" t="s">
        <v>2179</v>
      </c>
      <c r="AI311" t="s">
        <v>73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1108</v>
      </c>
      <c r="AP311">
        <v>7.0779999999999994</v>
      </c>
      <c r="AV311">
        <v>-1</v>
      </c>
    </row>
    <row r="312" spans="1:49" x14ac:dyDescent="0.55000000000000004">
      <c r="A312" t="str">
        <f>HYPERLINK("https://www.infodis.net/philips/net/Shipment/Details?InfodisNumber=4567869&amp;DomainCode=DAP", "4567869")</f>
        <v>4567869</v>
      </c>
      <c r="B312" t="s">
        <v>3364</v>
      </c>
      <c r="C312" t="s">
        <v>2067</v>
      </c>
      <c r="D312" t="s">
        <v>2068</v>
      </c>
      <c r="E312" t="s">
        <v>94</v>
      </c>
      <c r="F312" t="s">
        <v>256</v>
      </c>
      <c r="G312" t="s">
        <v>82</v>
      </c>
      <c r="H312" t="s">
        <v>83</v>
      </c>
      <c r="I312" t="s">
        <v>2141</v>
      </c>
      <c r="J312" t="s">
        <v>2626</v>
      </c>
      <c r="K312" t="s">
        <v>259</v>
      </c>
      <c r="L312" t="s">
        <v>260</v>
      </c>
      <c r="M312" t="s">
        <v>60</v>
      </c>
      <c r="P312" t="s">
        <v>87</v>
      </c>
      <c r="R312" t="s">
        <v>262</v>
      </c>
      <c r="S312" s="2">
        <v>44161</v>
      </c>
      <c r="T312" s="2">
        <v>44162</v>
      </c>
      <c r="V312" s="2">
        <v>44165</v>
      </c>
      <c r="Y312" t="s">
        <v>1735</v>
      </c>
      <c r="Z312" t="s">
        <v>1735</v>
      </c>
      <c r="AA312" t="s">
        <v>1735</v>
      </c>
      <c r="AB312" t="s">
        <v>67</v>
      </c>
      <c r="AC312" t="s">
        <v>67</v>
      </c>
      <c r="AD312" t="s">
        <v>67</v>
      </c>
      <c r="AF312" t="s">
        <v>2179</v>
      </c>
      <c r="AG312" t="s">
        <v>2180</v>
      </c>
      <c r="AH312" t="s">
        <v>2179</v>
      </c>
      <c r="AI312" t="s">
        <v>73</v>
      </c>
      <c r="AJ312">
        <v>0</v>
      </c>
      <c r="AK312">
        <v>0</v>
      </c>
      <c r="AL312">
        <v>0</v>
      </c>
      <c r="AM312">
        <v>0</v>
      </c>
      <c r="AN312">
        <v>7</v>
      </c>
      <c r="AO312">
        <v>1620</v>
      </c>
      <c r="AP312">
        <v>7.3250000000000002</v>
      </c>
      <c r="AV312">
        <v>-1</v>
      </c>
    </row>
    <row r="313" spans="1:49" x14ac:dyDescent="0.55000000000000004">
      <c r="A313" t="str">
        <f>HYPERLINK("https://www.infodis.net/philips/net/Shipment/Details?InfodisNumber=4567871&amp;DomainCode=DAP", "4567871")</f>
        <v>4567871</v>
      </c>
      <c r="B313" t="s">
        <v>3365</v>
      </c>
      <c r="C313" t="s">
        <v>2067</v>
      </c>
      <c r="D313" t="s">
        <v>2068</v>
      </c>
      <c r="E313" t="s">
        <v>94</v>
      </c>
      <c r="F313" t="s">
        <v>256</v>
      </c>
      <c r="G313" t="s">
        <v>82</v>
      </c>
      <c r="H313" t="s">
        <v>83</v>
      </c>
      <c r="I313" t="s">
        <v>2141</v>
      </c>
      <c r="J313" t="s">
        <v>2626</v>
      </c>
      <c r="K313" t="s">
        <v>259</v>
      </c>
      <c r="L313" t="s">
        <v>260</v>
      </c>
      <c r="M313" t="s">
        <v>60</v>
      </c>
      <c r="P313" t="s">
        <v>87</v>
      </c>
      <c r="R313" t="s">
        <v>262</v>
      </c>
      <c r="S313" s="2">
        <v>44161</v>
      </c>
      <c r="T313" s="2">
        <v>44162</v>
      </c>
      <c r="V313" s="2">
        <v>44165</v>
      </c>
      <c r="Y313" t="s">
        <v>1735</v>
      </c>
      <c r="Z313" t="s">
        <v>1735</v>
      </c>
      <c r="AA313" t="s">
        <v>1735</v>
      </c>
      <c r="AB313" t="s">
        <v>67</v>
      </c>
      <c r="AC313" t="s">
        <v>67</v>
      </c>
      <c r="AD313" t="s">
        <v>67</v>
      </c>
      <c r="AF313" t="s">
        <v>2179</v>
      </c>
      <c r="AG313" t="s">
        <v>2180</v>
      </c>
      <c r="AH313" t="s">
        <v>2179</v>
      </c>
      <c r="AI313" t="s">
        <v>73</v>
      </c>
      <c r="AJ313">
        <v>0</v>
      </c>
      <c r="AK313">
        <v>0</v>
      </c>
      <c r="AL313">
        <v>0</v>
      </c>
      <c r="AM313">
        <v>0</v>
      </c>
      <c r="AN313">
        <v>7</v>
      </c>
      <c r="AO313">
        <v>1100.5</v>
      </c>
      <c r="AP313">
        <v>6.8540000000000001</v>
      </c>
      <c r="AV313">
        <v>-1</v>
      </c>
    </row>
    <row r="314" spans="1:49" x14ac:dyDescent="0.55000000000000004">
      <c r="A314" t="str">
        <f>HYPERLINK("https://www.infodis.net/philips/net/Shipment/Details?InfodisNumber=4567873&amp;DomainCode=DAP", "4567873")</f>
        <v>4567873</v>
      </c>
      <c r="B314" t="s">
        <v>3366</v>
      </c>
      <c r="C314" t="s">
        <v>2067</v>
      </c>
      <c r="D314" t="s">
        <v>2068</v>
      </c>
      <c r="E314" t="s">
        <v>94</v>
      </c>
      <c r="F314" t="s">
        <v>256</v>
      </c>
      <c r="G314" t="s">
        <v>82</v>
      </c>
      <c r="H314" t="s">
        <v>83</v>
      </c>
      <c r="I314" t="s">
        <v>2141</v>
      </c>
      <c r="J314" t="s">
        <v>2626</v>
      </c>
      <c r="K314" t="s">
        <v>259</v>
      </c>
      <c r="L314" t="s">
        <v>260</v>
      </c>
      <c r="M314" t="s">
        <v>60</v>
      </c>
      <c r="P314" t="s">
        <v>87</v>
      </c>
      <c r="R314" t="s">
        <v>262</v>
      </c>
      <c r="S314" s="2">
        <v>44161</v>
      </c>
      <c r="T314" s="2">
        <v>44162</v>
      </c>
      <c r="V314" s="2">
        <v>44165</v>
      </c>
      <c r="Y314" t="s">
        <v>1735</v>
      </c>
      <c r="Z314" t="s">
        <v>1735</v>
      </c>
      <c r="AA314" t="s">
        <v>1735</v>
      </c>
      <c r="AB314" t="s">
        <v>67</v>
      </c>
      <c r="AC314" t="s">
        <v>67</v>
      </c>
      <c r="AD314" t="s">
        <v>67</v>
      </c>
      <c r="AF314" t="s">
        <v>2179</v>
      </c>
      <c r="AG314" t="s">
        <v>2180</v>
      </c>
      <c r="AH314" t="s">
        <v>2179</v>
      </c>
      <c r="AI314" t="s">
        <v>73</v>
      </c>
      <c r="AJ314">
        <v>0</v>
      </c>
      <c r="AK314">
        <v>0</v>
      </c>
      <c r="AL314">
        <v>0</v>
      </c>
      <c r="AM314">
        <v>0</v>
      </c>
      <c r="AN314">
        <v>7</v>
      </c>
      <c r="AO314">
        <v>1455.5</v>
      </c>
      <c r="AP314">
        <v>6.5860000000000003</v>
      </c>
      <c r="AV314">
        <v>-1</v>
      </c>
    </row>
    <row r="315" spans="1:49" x14ac:dyDescent="0.55000000000000004">
      <c r="A315" t="str">
        <f>HYPERLINK("https://www.infodis.net/philips/net/Shipment/Details?InfodisNumber=4567875&amp;DomainCode=DAP", "4567875")</f>
        <v>4567875</v>
      </c>
      <c r="B315" t="s">
        <v>3367</v>
      </c>
      <c r="C315" t="s">
        <v>2067</v>
      </c>
      <c r="D315" t="s">
        <v>2068</v>
      </c>
      <c r="E315" t="s">
        <v>94</v>
      </c>
      <c r="F315" t="s">
        <v>256</v>
      </c>
      <c r="G315" t="s">
        <v>82</v>
      </c>
      <c r="H315" t="s">
        <v>83</v>
      </c>
      <c r="I315" t="s">
        <v>2141</v>
      </c>
      <c r="J315" t="s">
        <v>2626</v>
      </c>
      <c r="K315" t="s">
        <v>259</v>
      </c>
      <c r="L315" t="s">
        <v>260</v>
      </c>
      <c r="M315" t="s">
        <v>60</v>
      </c>
      <c r="P315" t="s">
        <v>87</v>
      </c>
      <c r="R315" t="s">
        <v>262</v>
      </c>
      <c r="S315" s="2">
        <v>44161</v>
      </c>
      <c r="T315" s="2">
        <v>44162</v>
      </c>
      <c r="V315" s="2">
        <v>44165</v>
      </c>
      <c r="Y315" t="s">
        <v>1735</v>
      </c>
      <c r="Z315" t="s">
        <v>1735</v>
      </c>
      <c r="AA315" t="s">
        <v>1735</v>
      </c>
      <c r="AB315" t="s">
        <v>67</v>
      </c>
      <c r="AC315" t="s">
        <v>67</v>
      </c>
      <c r="AD315" t="s">
        <v>67</v>
      </c>
      <c r="AF315" t="s">
        <v>2179</v>
      </c>
      <c r="AG315" t="s">
        <v>2180</v>
      </c>
      <c r="AH315" t="s">
        <v>2179</v>
      </c>
      <c r="AI315" t="s">
        <v>73</v>
      </c>
      <c r="AJ315">
        <v>0</v>
      </c>
      <c r="AK315">
        <v>0</v>
      </c>
      <c r="AL315">
        <v>0</v>
      </c>
      <c r="AM315">
        <v>0</v>
      </c>
      <c r="AN315">
        <v>6</v>
      </c>
      <c r="AO315">
        <v>1275.5</v>
      </c>
      <c r="AP315">
        <v>6.0620000000000003</v>
      </c>
      <c r="AV315">
        <v>-1</v>
      </c>
    </row>
    <row r="316" spans="1:49" x14ac:dyDescent="0.55000000000000004">
      <c r="A316" t="str">
        <f>HYPERLINK("https://www.infodis.net/philips/net/Shipment/Details?InfodisNumber=4557395&amp;DomainCode=DAP", "4557395")</f>
        <v>4557395</v>
      </c>
      <c r="B316" t="s">
        <v>3368</v>
      </c>
      <c r="C316" t="s">
        <v>212</v>
      </c>
      <c r="D316" t="s">
        <v>213</v>
      </c>
      <c r="E316" t="s">
        <v>214</v>
      </c>
      <c r="F316" t="s">
        <v>2958</v>
      </c>
      <c r="G316" t="s">
        <v>216</v>
      </c>
      <c r="H316" t="s">
        <v>55</v>
      </c>
      <c r="I316" t="s">
        <v>2367</v>
      </c>
      <c r="J316" t="s">
        <v>547</v>
      </c>
      <c r="K316" t="s">
        <v>2959</v>
      </c>
      <c r="L316" t="s">
        <v>180</v>
      </c>
      <c r="M316" t="s">
        <v>309</v>
      </c>
      <c r="P316" t="s">
        <v>2369</v>
      </c>
      <c r="Q316" t="s">
        <v>3369</v>
      </c>
      <c r="R316" t="s">
        <v>2960</v>
      </c>
      <c r="S316" s="2">
        <v>44148</v>
      </c>
      <c r="T316" s="2">
        <v>44148</v>
      </c>
      <c r="U316" s="2">
        <v>44148</v>
      </c>
      <c r="V316" s="2">
        <v>44151</v>
      </c>
      <c r="Y316" t="s">
        <v>2371</v>
      </c>
      <c r="Z316" t="s">
        <v>2371</v>
      </c>
      <c r="AA316" t="s">
        <v>2371</v>
      </c>
      <c r="AB316" t="s">
        <v>67</v>
      </c>
      <c r="AC316" t="s">
        <v>67</v>
      </c>
      <c r="AD316" t="s">
        <v>67</v>
      </c>
      <c r="AF316" t="s">
        <v>2179</v>
      </c>
      <c r="AG316" t="s">
        <v>2180</v>
      </c>
      <c r="AH316" t="s">
        <v>2179</v>
      </c>
      <c r="AI316" t="s">
        <v>73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V316">
        <v>-1</v>
      </c>
    </row>
    <row r="317" spans="1:49" x14ac:dyDescent="0.55000000000000004">
      <c r="A317" t="str">
        <f>HYPERLINK("https://www.infodis.net/philips/net/Shipment/Details?InfodisNumber=4567724&amp;DomainCode=DAP", "4567724")</f>
        <v>4567724</v>
      </c>
      <c r="B317" t="s">
        <v>3370</v>
      </c>
      <c r="C317" t="s">
        <v>2067</v>
      </c>
      <c r="D317" t="s">
        <v>2068</v>
      </c>
      <c r="E317" t="s">
        <v>94</v>
      </c>
      <c r="F317" t="s">
        <v>256</v>
      </c>
      <c r="G317" t="s">
        <v>82</v>
      </c>
      <c r="H317" t="s">
        <v>83</v>
      </c>
      <c r="I317" t="s">
        <v>2141</v>
      </c>
      <c r="J317" t="s">
        <v>2626</v>
      </c>
      <c r="K317" t="s">
        <v>259</v>
      </c>
      <c r="L317" t="s">
        <v>260</v>
      </c>
      <c r="M317" t="s">
        <v>60</v>
      </c>
      <c r="P317" t="s">
        <v>87</v>
      </c>
      <c r="R317" t="s">
        <v>262</v>
      </c>
      <c r="S317" s="2">
        <v>44161</v>
      </c>
      <c r="T317" s="2">
        <v>44162</v>
      </c>
      <c r="V317" s="2">
        <v>44165</v>
      </c>
      <c r="Y317" t="s">
        <v>1735</v>
      </c>
      <c r="Z317" t="s">
        <v>1735</v>
      </c>
      <c r="AA317" t="s">
        <v>1735</v>
      </c>
      <c r="AB317" t="s">
        <v>67</v>
      </c>
      <c r="AC317" t="s">
        <v>67</v>
      </c>
      <c r="AD317" t="s">
        <v>67</v>
      </c>
      <c r="AF317" t="s">
        <v>2179</v>
      </c>
      <c r="AG317" t="s">
        <v>2180</v>
      </c>
      <c r="AH317" t="s">
        <v>2179</v>
      </c>
      <c r="AI317" t="s">
        <v>73</v>
      </c>
      <c r="AJ317">
        <v>0</v>
      </c>
      <c r="AK317">
        <v>0</v>
      </c>
      <c r="AL317">
        <v>0</v>
      </c>
      <c r="AM317">
        <v>0</v>
      </c>
      <c r="AN317">
        <v>5</v>
      </c>
      <c r="AO317">
        <v>1162.5</v>
      </c>
      <c r="AP317">
        <v>5.4480000000000004</v>
      </c>
      <c r="AV317">
        <v>-1</v>
      </c>
    </row>
    <row r="318" spans="1:49" x14ac:dyDescent="0.55000000000000004">
      <c r="A318" t="str">
        <f>HYPERLINK("https://www.infodis.net/philips/net/Shipment/Details?InfodisNumber=1585975&amp;DomainCode=PHILIPSM1", "1585975")</f>
        <v>1585975</v>
      </c>
      <c r="B318" t="s">
        <v>3371</v>
      </c>
      <c r="C318" t="s">
        <v>2080</v>
      </c>
      <c r="D318" t="s">
        <v>2081</v>
      </c>
      <c r="E318" t="s">
        <v>2082</v>
      </c>
      <c r="F318" t="s">
        <v>3372</v>
      </c>
      <c r="G318" t="s">
        <v>1430</v>
      </c>
      <c r="H318" t="s">
        <v>244</v>
      </c>
      <c r="I318" t="s">
        <v>2084</v>
      </c>
      <c r="J318" t="s">
        <v>3087</v>
      </c>
      <c r="K318" t="s">
        <v>3373</v>
      </c>
      <c r="L318" t="s">
        <v>132</v>
      </c>
      <c r="M318" t="s">
        <v>60</v>
      </c>
      <c r="P318" t="s">
        <v>1432</v>
      </c>
      <c r="R318" t="s">
        <v>3374</v>
      </c>
      <c r="S318" s="2">
        <v>44161</v>
      </c>
      <c r="T318" s="2">
        <v>44162</v>
      </c>
      <c r="V318" s="2">
        <v>44165</v>
      </c>
      <c r="Y318" t="s">
        <v>2387</v>
      </c>
      <c r="Z318" t="s">
        <v>2387</v>
      </c>
      <c r="AA318" t="s">
        <v>603</v>
      </c>
      <c r="AB318" t="s">
        <v>67</v>
      </c>
      <c r="AC318" t="s">
        <v>67</v>
      </c>
      <c r="AD318" t="s">
        <v>68</v>
      </c>
      <c r="AF318" t="s">
        <v>2179</v>
      </c>
      <c r="AG318" t="s">
        <v>2180</v>
      </c>
      <c r="AH318" t="s">
        <v>2179</v>
      </c>
      <c r="AI318" t="s">
        <v>605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11.7</v>
      </c>
      <c r="AP318">
        <v>0</v>
      </c>
      <c r="AV318">
        <v>-1</v>
      </c>
    </row>
    <row r="319" spans="1:49" x14ac:dyDescent="0.55000000000000004">
      <c r="A319" s="3" t="str">
        <f>HYPERLINK("https://www.infodis.net/philips/net/Shipment/Details?InfodisNumber=5896824&amp;DomainCode=PHILIPSR1", "5896824")</f>
        <v>5896824</v>
      </c>
      <c r="B319" s="3" t="s">
        <v>3375</v>
      </c>
      <c r="C319" s="3" t="s">
        <v>2580</v>
      </c>
      <c r="D319" s="3" t="s">
        <v>2581</v>
      </c>
      <c r="E319" s="3" t="s">
        <v>1187</v>
      </c>
      <c r="F319" s="3" t="s">
        <v>2913</v>
      </c>
      <c r="G319" s="3" t="s">
        <v>880</v>
      </c>
      <c r="H319" s="3" t="s">
        <v>881</v>
      </c>
      <c r="I319" s="3" t="s">
        <v>2583</v>
      </c>
      <c r="J319" s="3" t="s">
        <v>2553</v>
      </c>
      <c r="K319" s="3" t="s">
        <v>1555</v>
      </c>
      <c r="L319" s="3" t="s">
        <v>846</v>
      </c>
      <c r="M319" s="3" t="s">
        <v>60</v>
      </c>
      <c r="N319" s="3"/>
      <c r="O319" s="3"/>
      <c r="P319" s="3" t="s">
        <v>888</v>
      </c>
      <c r="Q319" s="3"/>
      <c r="R319" s="3" t="s">
        <v>1557</v>
      </c>
      <c r="S319" s="4">
        <v>43756</v>
      </c>
      <c r="T319" s="4">
        <v>43760</v>
      </c>
      <c r="U319" s="4">
        <v>43759</v>
      </c>
      <c r="V319" s="4">
        <v>43763</v>
      </c>
      <c r="W319" s="4">
        <v>43763</v>
      </c>
      <c r="X319" s="4">
        <v>43767</v>
      </c>
      <c r="Y319" s="3" t="s">
        <v>2518</v>
      </c>
      <c r="Z319" s="3" t="s">
        <v>2518</v>
      </c>
      <c r="AA319" s="3" t="s">
        <v>2518</v>
      </c>
      <c r="AB319" s="3" t="s">
        <v>67</v>
      </c>
      <c r="AC319" s="3" t="s">
        <v>67</v>
      </c>
      <c r="AD319" s="3" t="s">
        <v>67</v>
      </c>
      <c r="AE319" s="3"/>
      <c r="AF319" s="3" t="s">
        <v>2179</v>
      </c>
      <c r="AG319" s="3" t="s">
        <v>2180</v>
      </c>
      <c r="AH319" s="3" t="s">
        <v>2179</v>
      </c>
      <c r="AI319" s="3" t="s">
        <v>252</v>
      </c>
      <c r="AJ319" s="3">
        <v>0</v>
      </c>
      <c r="AK319" s="3">
        <v>0</v>
      </c>
      <c r="AL319" s="3">
        <v>0</v>
      </c>
      <c r="AM319" s="3">
        <v>0</v>
      </c>
      <c r="AN319" s="3">
        <v>1</v>
      </c>
      <c r="AO319" s="3">
        <v>75</v>
      </c>
      <c r="AP319" s="3">
        <v>1.2</v>
      </c>
      <c r="AQ319" s="3" t="s">
        <v>713</v>
      </c>
      <c r="AR319" s="3" t="s">
        <v>714</v>
      </c>
      <c r="AS319" s="3" t="s">
        <v>713</v>
      </c>
      <c r="AT319" s="4">
        <v>43895</v>
      </c>
      <c r="AU319" s="3" t="s">
        <v>3376</v>
      </c>
      <c r="AV319" s="3">
        <v>267</v>
      </c>
      <c r="AW319" s="3" t="s">
        <v>3377</v>
      </c>
    </row>
    <row r="320" spans="1:49" x14ac:dyDescent="0.55000000000000004">
      <c r="A320" s="3" t="str">
        <f>HYPERLINK("https://www.infodis.net/philips/net/Shipment/Details?InfodisNumber=4521100&amp;DomainCode=DAP", "4521100")</f>
        <v>4521100</v>
      </c>
      <c r="B320" s="3" t="s">
        <v>3378</v>
      </c>
      <c r="C320" s="3" t="s">
        <v>2067</v>
      </c>
      <c r="D320" s="3" t="s">
        <v>2068</v>
      </c>
      <c r="E320" s="3" t="s">
        <v>77</v>
      </c>
      <c r="F320" s="3" t="s">
        <v>77</v>
      </c>
      <c r="G320" s="3" t="s">
        <v>3379</v>
      </c>
      <c r="H320" s="3" t="s">
        <v>180</v>
      </c>
      <c r="I320" s="3" t="s">
        <v>2757</v>
      </c>
      <c r="J320" s="3" t="s">
        <v>2141</v>
      </c>
      <c r="K320" s="3" t="s">
        <v>82</v>
      </c>
      <c r="L320" s="3" t="s">
        <v>83</v>
      </c>
      <c r="M320" s="3" t="s">
        <v>84</v>
      </c>
      <c r="N320" s="3"/>
      <c r="O320" s="3"/>
      <c r="P320" s="3" t="s">
        <v>3380</v>
      </c>
      <c r="Q320" s="3" t="s">
        <v>3381</v>
      </c>
      <c r="R320" s="3" t="s">
        <v>87</v>
      </c>
      <c r="S320" s="4">
        <v>44098</v>
      </c>
      <c r="T320" s="4">
        <v>44099</v>
      </c>
      <c r="U320" s="4">
        <v>44095</v>
      </c>
      <c r="V320" s="4">
        <v>44104</v>
      </c>
      <c r="W320" s="4">
        <v>44098</v>
      </c>
      <c r="X320" s="4">
        <v>44103</v>
      </c>
      <c r="Y320" s="3" t="s">
        <v>2411</v>
      </c>
      <c r="Z320" s="3" t="s">
        <v>2411</v>
      </c>
      <c r="AA320" s="3" t="s">
        <v>2411</v>
      </c>
      <c r="AB320" s="3" t="s">
        <v>67</v>
      </c>
      <c r="AC320" s="3" t="s">
        <v>67</v>
      </c>
      <c r="AD320" s="3" t="s">
        <v>67</v>
      </c>
      <c r="AE320" s="3"/>
      <c r="AF320" s="3" t="s">
        <v>2399</v>
      </c>
      <c r="AG320" s="3" t="s">
        <v>2400</v>
      </c>
      <c r="AH320" s="3" t="s">
        <v>2399</v>
      </c>
      <c r="AI320" s="3" t="s">
        <v>73</v>
      </c>
      <c r="AJ320" s="3">
        <v>0</v>
      </c>
      <c r="AK320" s="3">
        <v>0</v>
      </c>
      <c r="AL320" s="3">
        <v>0</v>
      </c>
      <c r="AM320" s="3">
        <v>0</v>
      </c>
      <c r="AN320" s="3">
        <v>1</v>
      </c>
      <c r="AO320" s="3">
        <v>98</v>
      </c>
      <c r="AP320" s="3">
        <v>0.76500000000000001</v>
      </c>
      <c r="AQ320" s="3" t="s">
        <v>713</v>
      </c>
      <c r="AR320" s="3" t="s">
        <v>714</v>
      </c>
      <c r="AS320" s="3" t="s">
        <v>713</v>
      </c>
      <c r="AT320" s="4">
        <v>44125</v>
      </c>
      <c r="AU320" s="3" t="s">
        <v>3382</v>
      </c>
      <c r="AV320" s="3">
        <v>37</v>
      </c>
      <c r="AW320" s="3" t="s">
        <v>1060</v>
      </c>
    </row>
    <row r="321" spans="1:49" x14ac:dyDescent="0.55000000000000004">
      <c r="A321" s="3" t="str">
        <f>HYPERLINK("https://www.infodis.net/philips/net/Shipment/Details?InfodisNumber=4520405&amp;DomainCode=DAP", "4520405")</f>
        <v>4520405</v>
      </c>
      <c r="B321" s="3" t="s">
        <v>3383</v>
      </c>
      <c r="C321" s="3" t="s">
        <v>212</v>
      </c>
      <c r="D321" s="3" t="s">
        <v>213</v>
      </c>
      <c r="E321" s="3" t="s">
        <v>214</v>
      </c>
      <c r="F321" s="3" t="s">
        <v>2209</v>
      </c>
      <c r="G321" s="3" t="s">
        <v>216</v>
      </c>
      <c r="H321" s="3" t="s">
        <v>55</v>
      </c>
      <c r="I321" s="3" t="s">
        <v>2367</v>
      </c>
      <c r="J321" s="3" t="s">
        <v>2141</v>
      </c>
      <c r="K321" s="3" t="s">
        <v>2668</v>
      </c>
      <c r="L321" s="3" t="s">
        <v>83</v>
      </c>
      <c r="M321" s="3" t="s">
        <v>60</v>
      </c>
      <c r="N321" s="3"/>
      <c r="O321" s="3"/>
      <c r="P321" s="3" t="s">
        <v>2369</v>
      </c>
      <c r="Q321" s="3" t="s">
        <v>3384</v>
      </c>
      <c r="R321" s="3" t="s">
        <v>87</v>
      </c>
      <c r="S321" s="4">
        <v>44097</v>
      </c>
      <c r="T321" s="4">
        <v>44097</v>
      </c>
      <c r="U321" s="4">
        <v>44097</v>
      </c>
      <c r="V321" s="4">
        <v>44153</v>
      </c>
      <c r="W321" s="4">
        <v>44105</v>
      </c>
      <c r="X321" s="4">
        <v>44112</v>
      </c>
      <c r="Y321" s="3" t="s">
        <v>2411</v>
      </c>
      <c r="Z321" s="3" t="s">
        <v>2411</v>
      </c>
      <c r="AA321" s="3" t="s">
        <v>2411</v>
      </c>
      <c r="AB321" s="3" t="s">
        <v>67</v>
      </c>
      <c r="AC321" s="3" t="s">
        <v>67</v>
      </c>
      <c r="AD321" s="3" t="s">
        <v>67</v>
      </c>
      <c r="AE321" s="3"/>
      <c r="AF321" s="3" t="s">
        <v>2179</v>
      </c>
      <c r="AG321" s="3" t="s">
        <v>2180</v>
      </c>
      <c r="AH321" s="3" t="s">
        <v>2179</v>
      </c>
      <c r="AI321" s="3" t="s">
        <v>73</v>
      </c>
      <c r="AJ321" s="3">
        <v>0</v>
      </c>
      <c r="AK321" s="3">
        <v>0</v>
      </c>
      <c r="AL321" s="3">
        <v>0</v>
      </c>
      <c r="AM321" s="3">
        <v>0</v>
      </c>
      <c r="AN321" s="3">
        <v>4</v>
      </c>
      <c r="AO321" s="3">
        <v>508</v>
      </c>
      <c r="AP321" s="3">
        <v>6.06</v>
      </c>
      <c r="AQ321" s="3" t="s">
        <v>713</v>
      </c>
      <c r="AR321" s="3" t="s">
        <v>714</v>
      </c>
      <c r="AS321" s="3" t="s">
        <v>713</v>
      </c>
      <c r="AT321" s="4">
        <v>44125</v>
      </c>
      <c r="AU321" s="3" t="s">
        <v>3385</v>
      </c>
      <c r="AV321" s="3">
        <v>37</v>
      </c>
      <c r="AW321" s="3" t="s">
        <v>968</v>
      </c>
    </row>
    <row r="322" spans="1:49" x14ac:dyDescent="0.55000000000000004">
      <c r="A322" s="3" t="str">
        <f>HYPERLINK("https://www.infodis.net/philips/net/Shipment/Details?InfodisNumber=4520246&amp;DomainCode=DAP", "4520246")</f>
        <v>4520246</v>
      </c>
      <c r="B322" s="3" t="s">
        <v>3386</v>
      </c>
      <c r="C322" s="3" t="s">
        <v>585</v>
      </c>
      <c r="D322" s="3" t="s">
        <v>586</v>
      </c>
      <c r="E322" s="3" t="s">
        <v>393</v>
      </c>
      <c r="F322" s="3" t="s">
        <v>228</v>
      </c>
      <c r="G322" s="3" t="s">
        <v>394</v>
      </c>
      <c r="H322" s="3" t="s">
        <v>79</v>
      </c>
      <c r="I322" s="3" t="s">
        <v>587</v>
      </c>
      <c r="J322" s="3" t="s">
        <v>511</v>
      </c>
      <c r="K322" s="3" t="s">
        <v>3387</v>
      </c>
      <c r="L322" s="3" t="s">
        <v>234</v>
      </c>
      <c r="M322" s="3" t="s">
        <v>60</v>
      </c>
      <c r="N322" s="3"/>
      <c r="O322" s="3"/>
      <c r="P322" s="3" t="s">
        <v>398</v>
      </c>
      <c r="Q322" s="3" t="s">
        <v>3388</v>
      </c>
      <c r="R322" s="3" t="s">
        <v>236</v>
      </c>
      <c r="S322" s="4">
        <v>44097</v>
      </c>
      <c r="T322" s="4">
        <v>44103</v>
      </c>
      <c r="U322" s="4">
        <v>44102</v>
      </c>
      <c r="V322" s="4">
        <v>44106</v>
      </c>
      <c r="W322" s="4">
        <v>44108</v>
      </c>
      <c r="X322" s="4">
        <v>44111</v>
      </c>
      <c r="Y322" s="3" t="s">
        <v>3291</v>
      </c>
      <c r="Z322" s="3" t="s">
        <v>2051</v>
      </c>
      <c r="AA322" s="3" t="s">
        <v>2051</v>
      </c>
      <c r="AB322" s="3" t="s">
        <v>67</v>
      </c>
      <c r="AC322" s="3" t="s">
        <v>67</v>
      </c>
      <c r="AD322" s="3" t="s">
        <v>67</v>
      </c>
      <c r="AE322" s="3"/>
      <c r="AF322" s="3" t="s">
        <v>2179</v>
      </c>
      <c r="AG322" s="3" t="s">
        <v>2180</v>
      </c>
      <c r="AH322" s="3" t="s">
        <v>2179</v>
      </c>
      <c r="AI322" s="3" t="s">
        <v>73</v>
      </c>
      <c r="AJ322" s="3">
        <v>0</v>
      </c>
      <c r="AK322" s="3">
        <v>0</v>
      </c>
      <c r="AL322" s="3">
        <v>0</v>
      </c>
      <c r="AM322" s="3">
        <v>0</v>
      </c>
      <c r="AN322" s="3">
        <v>5</v>
      </c>
      <c r="AO322" s="3">
        <v>719</v>
      </c>
      <c r="AP322" s="3">
        <v>4.9009999999999998</v>
      </c>
      <c r="AQ322" s="3" t="s">
        <v>713</v>
      </c>
      <c r="AR322" s="3" t="s">
        <v>714</v>
      </c>
      <c r="AS322" s="3" t="s">
        <v>713</v>
      </c>
      <c r="AT322" s="4">
        <v>44098</v>
      </c>
      <c r="AU322" s="3" t="s">
        <v>3389</v>
      </c>
      <c r="AV322" s="3">
        <v>64</v>
      </c>
      <c r="AW322" s="3" t="s">
        <v>3390</v>
      </c>
    </row>
    <row r="323" spans="1:49" x14ac:dyDescent="0.55000000000000004">
      <c r="A323" s="3" t="str">
        <f>HYPERLINK("https://www.infodis.net/philips/net/Shipment/Details?InfodisNumber=4519792&amp;DomainCode=DAP", "4519792")</f>
        <v>4519792</v>
      </c>
      <c r="B323" s="3" t="s">
        <v>3391</v>
      </c>
      <c r="C323" s="3" t="s">
        <v>3392</v>
      </c>
      <c r="D323" s="3" t="s">
        <v>3393</v>
      </c>
      <c r="E323" s="3" t="s">
        <v>3392</v>
      </c>
      <c r="F323" s="3" t="s">
        <v>167</v>
      </c>
      <c r="G323" s="3" t="s">
        <v>3394</v>
      </c>
      <c r="H323" s="3" t="s">
        <v>180</v>
      </c>
      <c r="I323" s="3" t="s">
        <v>2057</v>
      </c>
      <c r="J323" s="3" t="s">
        <v>2405</v>
      </c>
      <c r="K323" s="3" t="s">
        <v>1125</v>
      </c>
      <c r="L323" s="3" t="s">
        <v>172</v>
      </c>
      <c r="M323" s="3" t="s">
        <v>84</v>
      </c>
      <c r="N323" s="3"/>
      <c r="O323" s="3"/>
      <c r="P323" s="3" t="s">
        <v>3395</v>
      </c>
      <c r="Q323" s="3" t="s">
        <v>3396</v>
      </c>
      <c r="R323" s="3" t="s">
        <v>1128</v>
      </c>
      <c r="S323" s="4">
        <v>44096</v>
      </c>
      <c r="T323" s="4">
        <v>44097</v>
      </c>
      <c r="U323" s="4">
        <v>44098</v>
      </c>
      <c r="V323" s="4">
        <v>44100</v>
      </c>
      <c r="W323" s="4">
        <v>44103</v>
      </c>
      <c r="X323" s="4">
        <v>44112</v>
      </c>
      <c r="Y323" s="3" t="s">
        <v>2411</v>
      </c>
      <c r="Z323" s="3" t="s">
        <v>2411</v>
      </c>
      <c r="AA323" s="3" t="s">
        <v>2411</v>
      </c>
      <c r="AB323" s="3" t="s">
        <v>67</v>
      </c>
      <c r="AC323" s="3" t="s">
        <v>67</v>
      </c>
      <c r="AD323" s="3" t="s">
        <v>67</v>
      </c>
      <c r="AE323" s="3"/>
      <c r="AF323" s="3" t="s">
        <v>2179</v>
      </c>
      <c r="AG323" s="3" t="s">
        <v>2180</v>
      </c>
      <c r="AH323" s="3" t="s">
        <v>2179</v>
      </c>
      <c r="AI323" s="3" t="s">
        <v>73</v>
      </c>
      <c r="AJ323" s="3">
        <v>0</v>
      </c>
      <c r="AK323" s="3">
        <v>0</v>
      </c>
      <c r="AL323" s="3">
        <v>0</v>
      </c>
      <c r="AM323" s="3">
        <v>0</v>
      </c>
      <c r="AN323" s="3">
        <v>1</v>
      </c>
      <c r="AO323" s="3">
        <v>38.1</v>
      </c>
      <c r="AP323" s="3">
        <v>0.29099999999999998</v>
      </c>
      <c r="AQ323" s="3" t="s">
        <v>713</v>
      </c>
      <c r="AR323" s="3" t="s">
        <v>714</v>
      </c>
      <c r="AS323" s="3" t="s">
        <v>713</v>
      </c>
      <c r="AT323" s="4">
        <v>44124</v>
      </c>
      <c r="AU323" s="3" t="s">
        <v>3397</v>
      </c>
      <c r="AV323" s="3">
        <v>38</v>
      </c>
      <c r="AW323" s="3" t="s">
        <v>3398</v>
      </c>
    </row>
    <row r="324" spans="1:49" x14ac:dyDescent="0.55000000000000004">
      <c r="A324" s="3" t="str">
        <f>HYPERLINK("https://www.infodis.net/philips/net/Shipment/Details?InfodisNumber=4519251&amp;DomainCode=DAP", "4519251")</f>
        <v>4519251</v>
      </c>
      <c r="B324" s="3" t="s">
        <v>3399</v>
      </c>
      <c r="C324" s="3" t="s">
        <v>212</v>
      </c>
      <c r="D324" s="3" t="s">
        <v>213</v>
      </c>
      <c r="E324" s="3" t="s">
        <v>214</v>
      </c>
      <c r="F324" s="3" t="s">
        <v>2209</v>
      </c>
      <c r="G324" s="3" t="s">
        <v>216</v>
      </c>
      <c r="H324" s="3" t="s">
        <v>55</v>
      </c>
      <c r="I324" s="3" t="s">
        <v>2367</v>
      </c>
      <c r="J324" s="3" t="s">
        <v>2141</v>
      </c>
      <c r="K324" s="3" t="s">
        <v>2668</v>
      </c>
      <c r="L324" s="3" t="s">
        <v>83</v>
      </c>
      <c r="M324" s="3" t="s">
        <v>60</v>
      </c>
      <c r="N324" s="3"/>
      <c r="O324" s="3"/>
      <c r="P324" s="3" t="s">
        <v>2369</v>
      </c>
      <c r="Q324" s="3" t="s">
        <v>3400</v>
      </c>
      <c r="R324" s="3" t="s">
        <v>87</v>
      </c>
      <c r="S324" s="4">
        <v>44096</v>
      </c>
      <c r="T324" s="4">
        <v>44096</v>
      </c>
      <c r="U324" s="4">
        <v>44096</v>
      </c>
      <c r="V324" s="4">
        <v>44099</v>
      </c>
      <c r="W324" s="4">
        <v>44098</v>
      </c>
      <c r="X324" s="4">
        <v>44107</v>
      </c>
      <c r="Y324" s="3" t="s">
        <v>2411</v>
      </c>
      <c r="Z324" s="3" t="s">
        <v>2411</v>
      </c>
      <c r="AA324" s="3" t="s">
        <v>2411</v>
      </c>
      <c r="AB324" s="3" t="s">
        <v>67</v>
      </c>
      <c r="AC324" s="3" t="s">
        <v>67</v>
      </c>
      <c r="AD324" s="3" t="s">
        <v>67</v>
      </c>
      <c r="AE324" s="3"/>
      <c r="AF324" s="3" t="s">
        <v>2179</v>
      </c>
      <c r="AG324" s="3" t="s">
        <v>2180</v>
      </c>
      <c r="AH324" s="3" t="s">
        <v>2179</v>
      </c>
      <c r="AI324" s="3" t="s">
        <v>73</v>
      </c>
      <c r="AJ324" s="3">
        <v>0</v>
      </c>
      <c r="AK324" s="3">
        <v>0</v>
      </c>
      <c r="AL324" s="3">
        <v>0</v>
      </c>
      <c r="AM324" s="3">
        <v>0</v>
      </c>
      <c r="AN324" s="3">
        <v>10</v>
      </c>
      <c r="AO324" s="3">
        <v>1778</v>
      </c>
      <c r="AP324" s="3">
        <v>13.2</v>
      </c>
      <c r="AQ324" s="3" t="s">
        <v>713</v>
      </c>
      <c r="AR324" s="3" t="s">
        <v>714</v>
      </c>
      <c r="AS324" s="3" t="s">
        <v>713</v>
      </c>
      <c r="AT324" s="4">
        <v>44125</v>
      </c>
      <c r="AU324" s="3" t="s">
        <v>3385</v>
      </c>
      <c r="AV324" s="3">
        <v>37</v>
      </c>
      <c r="AW324" s="3" t="s">
        <v>968</v>
      </c>
    </row>
    <row r="325" spans="1:49" x14ac:dyDescent="0.55000000000000004">
      <c r="A325" s="3" t="str">
        <f>HYPERLINK("https://www.infodis.net/philips/net/Shipment/Details?InfodisNumber=1511915&amp;DomainCode=PHILIPSM1", "1511915")</f>
        <v>1511915</v>
      </c>
      <c r="B325" s="3" t="s">
        <v>3401</v>
      </c>
      <c r="C325" s="3" t="s">
        <v>3402</v>
      </c>
      <c r="D325" s="3" t="s">
        <v>3403</v>
      </c>
      <c r="E325" s="3" t="s">
        <v>3402</v>
      </c>
      <c r="F325" s="3" t="s">
        <v>3404</v>
      </c>
      <c r="G325" s="3" t="s">
        <v>3405</v>
      </c>
      <c r="H325" s="3" t="s">
        <v>180</v>
      </c>
      <c r="I325" s="3" t="s">
        <v>1432</v>
      </c>
      <c r="J325" s="3" t="s">
        <v>1432</v>
      </c>
      <c r="K325" s="3" t="s">
        <v>1430</v>
      </c>
      <c r="L325" s="3" t="s">
        <v>244</v>
      </c>
      <c r="M325" s="3" t="s">
        <v>60</v>
      </c>
      <c r="N325" s="3"/>
      <c r="O325" s="3"/>
      <c r="P325" s="3" t="s">
        <v>3406</v>
      </c>
      <c r="Q325" s="3" t="s">
        <v>3407</v>
      </c>
      <c r="R325" s="3" t="s">
        <v>1432</v>
      </c>
      <c r="S325" s="4">
        <v>44095</v>
      </c>
      <c r="T325" s="4">
        <v>44096</v>
      </c>
      <c r="U325" s="4">
        <v>44097</v>
      </c>
      <c r="V325" s="4">
        <v>44099</v>
      </c>
      <c r="W325" s="4">
        <v>44100</v>
      </c>
      <c r="X325" s="3"/>
      <c r="Y325" s="3" t="s">
        <v>2387</v>
      </c>
      <c r="Z325" s="3" t="s">
        <v>2387</v>
      </c>
      <c r="AA325" s="3" t="s">
        <v>2387</v>
      </c>
      <c r="AB325" s="3" t="s">
        <v>67</v>
      </c>
      <c r="AC325" s="3" t="s">
        <v>67</v>
      </c>
      <c r="AD325" s="3" t="s">
        <v>67</v>
      </c>
      <c r="AE325" s="3"/>
      <c r="AF325" s="3" t="s">
        <v>2179</v>
      </c>
      <c r="AG325" s="3" t="s">
        <v>2180</v>
      </c>
      <c r="AH325" s="3" t="s">
        <v>2179</v>
      </c>
      <c r="AI325" s="3" t="s">
        <v>605</v>
      </c>
      <c r="AJ325" s="3">
        <v>0</v>
      </c>
      <c r="AK325" s="3">
        <v>0</v>
      </c>
      <c r="AL325" s="3">
        <v>0</v>
      </c>
      <c r="AM325" s="3">
        <v>0</v>
      </c>
      <c r="AN325" s="3">
        <v>1</v>
      </c>
      <c r="AO325" s="3">
        <v>140</v>
      </c>
      <c r="AP325" s="3">
        <v>0.42499999999999999</v>
      </c>
      <c r="AQ325" s="3" t="s">
        <v>713</v>
      </c>
      <c r="AR325" s="3" t="s">
        <v>714</v>
      </c>
      <c r="AS325" s="3" t="s">
        <v>713</v>
      </c>
      <c r="AT325" s="4">
        <v>44098</v>
      </c>
      <c r="AU325" s="3" t="s">
        <v>3408</v>
      </c>
      <c r="AV325" s="3">
        <v>64</v>
      </c>
      <c r="AW325" s="3" t="s">
        <v>3409</v>
      </c>
    </row>
    <row r="326" spans="1:49" x14ac:dyDescent="0.55000000000000004">
      <c r="A326" s="3" t="str">
        <f>HYPERLINK("https://www.infodis.net/philips/net/Shipment/Details?InfodisNumber=4524507&amp;DomainCode=DAP", "4524507")</f>
        <v>4524507</v>
      </c>
      <c r="B326" s="3" t="s">
        <v>3410</v>
      </c>
      <c r="C326" s="3" t="s">
        <v>2344</v>
      </c>
      <c r="D326" s="3" t="s">
        <v>2345</v>
      </c>
      <c r="E326" s="3" t="s">
        <v>191</v>
      </c>
      <c r="F326" s="3" t="s">
        <v>191</v>
      </c>
      <c r="G326" s="3" t="s">
        <v>281</v>
      </c>
      <c r="H326" s="3" t="s">
        <v>79</v>
      </c>
      <c r="I326" s="3" t="s">
        <v>282</v>
      </c>
      <c r="J326" s="3" t="s">
        <v>194</v>
      </c>
      <c r="K326" s="3" t="s">
        <v>269</v>
      </c>
      <c r="L326" s="3" t="s">
        <v>180</v>
      </c>
      <c r="M326" s="3" t="s">
        <v>84</v>
      </c>
      <c r="N326" s="3"/>
      <c r="O326" s="3"/>
      <c r="P326" s="3" t="s">
        <v>286</v>
      </c>
      <c r="Q326" s="3"/>
      <c r="R326" s="3" t="s">
        <v>271</v>
      </c>
      <c r="S326" s="4">
        <v>44103</v>
      </c>
      <c r="T326" s="4">
        <v>44113</v>
      </c>
      <c r="U326" s="3"/>
      <c r="V326" s="4">
        <v>44116</v>
      </c>
      <c r="W326" s="3"/>
      <c r="X326" s="3"/>
      <c r="Y326" s="3" t="s">
        <v>66</v>
      </c>
      <c r="Z326" s="3" t="s">
        <v>2371</v>
      </c>
      <c r="AA326" s="3" t="s">
        <v>2371</v>
      </c>
      <c r="AB326" s="3" t="s">
        <v>68</v>
      </c>
      <c r="AC326" s="3" t="s">
        <v>67</v>
      </c>
      <c r="AD326" s="3" t="s">
        <v>67</v>
      </c>
      <c r="AE326" s="3"/>
      <c r="AF326" s="3" t="s">
        <v>2179</v>
      </c>
      <c r="AG326" s="3" t="s">
        <v>2180</v>
      </c>
      <c r="AH326" s="3" t="s">
        <v>2179</v>
      </c>
      <c r="AI326" s="3" t="s">
        <v>73</v>
      </c>
      <c r="AJ326" s="3">
        <v>0</v>
      </c>
      <c r="AK326" s="3">
        <v>0</v>
      </c>
      <c r="AL326" s="3">
        <v>0</v>
      </c>
      <c r="AM326" s="3">
        <v>0</v>
      </c>
      <c r="AN326" s="3">
        <v>9</v>
      </c>
      <c r="AO326" s="3">
        <v>1620</v>
      </c>
      <c r="AP326" s="3">
        <v>12.96</v>
      </c>
      <c r="AQ326" s="3" t="s">
        <v>713</v>
      </c>
      <c r="AR326" s="3" t="s">
        <v>714</v>
      </c>
      <c r="AS326" s="3" t="s">
        <v>713</v>
      </c>
      <c r="AT326" s="4">
        <v>44125</v>
      </c>
      <c r="AU326" s="3" t="s">
        <v>3411</v>
      </c>
      <c r="AV326" s="3">
        <v>37</v>
      </c>
      <c r="AW326" s="3" t="s">
        <v>763</v>
      </c>
    </row>
    <row r="327" spans="1:49" x14ac:dyDescent="0.55000000000000004">
      <c r="A327" s="3" t="str">
        <f>HYPERLINK("https://www.infodis.net/philips/net/Shipment/Details?InfodisNumber=4524493&amp;DomainCode=DAP", "4524493")</f>
        <v>4524493</v>
      </c>
      <c r="B327" s="3" t="s">
        <v>3412</v>
      </c>
      <c r="C327" s="3" t="s">
        <v>2067</v>
      </c>
      <c r="D327" s="3" t="s">
        <v>2068</v>
      </c>
      <c r="E327" s="3" t="s">
        <v>77</v>
      </c>
      <c r="F327" s="3" t="s">
        <v>77</v>
      </c>
      <c r="G327" s="3" t="s">
        <v>3413</v>
      </c>
      <c r="H327" s="3" t="s">
        <v>244</v>
      </c>
      <c r="I327" s="3" t="s">
        <v>3414</v>
      </c>
      <c r="J327" s="3" t="s">
        <v>2141</v>
      </c>
      <c r="K327" s="3" t="s">
        <v>82</v>
      </c>
      <c r="L327" s="3" t="s">
        <v>83</v>
      </c>
      <c r="M327" s="3" t="s">
        <v>84</v>
      </c>
      <c r="N327" s="3"/>
      <c r="O327" s="3"/>
      <c r="P327" s="3" t="s">
        <v>3415</v>
      </c>
      <c r="Q327" s="3"/>
      <c r="R327" s="3" t="s">
        <v>87</v>
      </c>
      <c r="S327" s="4">
        <v>44103</v>
      </c>
      <c r="T327" s="4">
        <v>44104</v>
      </c>
      <c r="U327" s="3"/>
      <c r="V327" s="4">
        <v>44107</v>
      </c>
      <c r="W327" s="3"/>
      <c r="X327" s="3"/>
      <c r="Y327" s="3" t="s">
        <v>2411</v>
      </c>
      <c r="Z327" s="3" t="s">
        <v>2411</v>
      </c>
      <c r="AA327" s="3" t="s">
        <v>2411</v>
      </c>
      <c r="AB327" s="3" t="s">
        <v>67</v>
      </c>
      <c r="AC327" s="3" t="s">
        <v>67</v>
      </c>
      <c r="AD327" s="3" t="s">
        <v>67</v>
      </c>
      <c r="AE327" s="3"/>
      <c r="AF327" s="3" t="s">
        <v>2179</v>
      </c>
      <c r="AG327" s="3" t="s">
        <v>2180</v>
      </c>
      <c r="AH327" s="3" t="s">
        <v>2179</v>
      </c>
      <c r="AI327" s="3" t="s">
        <v>73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274</v>
      </c>
      <c r="AP327" s="3">
        <v>0.53200000000000003</v>
      </c>
      <c r="AQ327" s="3" t="s">
        <v>713</v>
      </c>
      <c r="AR327" s="3" t="s">
        <v>714</v>
      </c>
      <c r="AS327" s="3" t="s">
        <v>713</v>
      </c>
      <c r="AT327" s="4">
        <v>44125</v>
      </c>
      <c r="AU327" s="3" t="s">
        <v>3382</v>
      </c>
      <c r="AV327" s="3">
        <v>37</v>
      </c>
      <c r="AW327" s="3" t="s">
        <v>1060</v>
      </c>
    </row>
    <row r="328" spans="1:49" x14ac:dyDescent="0.55000000000000004">
      <c r="A328" s="3" t="str">
        <f>HYPERLINK("https://www.infodis.net/philips/net/Shipment/Details?InfodisNumber=4516086&amp;DomainCode=DAP", "4516086")</f>
        <v>4516086</v>
      </c>
      <c r="B328" s="3" t="s">
        <v>3416</v>
      </c>
      <c r="C328" s="3" t="s">
        <v>212</v>
      </c>
      <c r="D328" s="3" t="s">
        <v>213</v>
      </c>
      <c r="E328" s="3" t="s">
        <v>214</v>
      </c>
      <c r="F328" s="3" t="s">
        <v>2209</v>
      </c>
      <c r="G328" s="3" t="s">
        <v>216</v>
      </c>
      <c r="H328" s="3" t="s">
        <v>55</v>
      </c>
      <c r="I328" s="3" t="s">
        <v>2367</v>
      </c>
      <c r="J328" s="3" t="s">
        <v>2141</v>
      </c>
      <c r="K328" s="3" t="s">
        <v>2668</v>
      </c>
      <c r="L328" s="3" t="s">
        <v>83</v>
      </c>
      <c r="M328" s="3" t="s">
        <v>60</v>
      </c>
      <c r="N328" s="3"/>
      <c r="O328" s="3"/>
      <c r="P328" s="3" t="s">
        <v>2369</v>
      </c>
      <c r="Q328" s="3" t="s">
        <v>3417</v>
      </c>
      <c r="R328" s="3" t="s">
        <v>87</v>
      </c>
      <c r="S328" s="4">
        <v>44091</v>
      </c>
      <c r="T328" s="4">
        <v>44092</v>
      </c>
      <c r="U328" s="4">
        <v>44092</v>
      </c>
      <c r="V328" s="4">
        <v>44102</v>
      </c>
      <c r="W328" s="4">
        <v>44098</v>
      </c>
      <c r="X328" s="4">
        <v>44105</v>
      </c>
      <c r="Y328" s="3" t="s">
        <v>2411</v>
      </c>
      <c r="Z328" s="3" t="s">
        <v>2411</v>
      </c>
      <c r="AA328" s="3" t="s">
        <v>2411</v>
      </c>
      <c r="AB328" s="3" t="s">
        <v>67</v>
      </c>
      <c r="AC328" s="3" t="s">
        <v>67</v>
      </c>
      <c r="AD328" s="3" t="s">
        <v>67</v>
      </c>
      <c r="AE328" s="3"/>
      <c r="AF328" s="3" t="s">
        <v>2179</v>
      </c>
      <c r="AG328" s="3" t="s">
        <v>2180</v>
      </c>
      <c r="AH328" s="3" t="s">
        <v>2179</v>
      </c>
      <c r="AI328" s="3" t="s">
        <v>73</v>
      </c>
      <c r="AJ328" s="3">
        <v>0</v>
      </c>
      <c r="AK328" s="3">
        <v>0</v>
      </c>
      <c r="AL328" s="3">
        <v>0</v>
      </c>
      <c r="AM328" s="3">
        <v>0</v>
      </c>
      <c r="AN328" s="3">
        <v>4</v>
      </c>
      <c r="AO328" s="3">
        <v>197</v>
      </c>
      <c r="AP328" s="3">
        <v>3.492</v>
      </c>
      <c r="AQ328" s="3" t="s">
        <v>713</v>
      </c>
      <c r="AR328" s="3" t="s">
        <v>714</v>
      </c>
      <c r="AS328" s="3" t="s">
        <v>713</v>
      </c>
      <c r="AT328" s="4">
        <v>44125</v>
      </c>
      <c r="AU328" s="3" t="s">
        <v>3385</v>
      </c>
      <c r="AV328" s="3">
        <v>37</v>
      </c>
      <c r="AW328" s="3" t="s">
        <v>968</v>
      </c>
    </row>
    <row r="329" spans="1:49" x14ac:dyDescent="0.55000000000000004">
      <c r="A329" s="3" t="str">
        <f>HYPERLINK("https://www.infodis.net/philips/net/Shipment/Details?InfodisNumber=4515696&amp;DomainCode=DAP", "4515696")</f>
        <v>4515696</v>
      </c>
      <c r="B329" s="3" t="s">
        <v>3418</v>
      </c>
      <c r="C329" s="3" t="s">
        <v>212</v>
      </c>
      <c r="D329" s="3" t="s">
        <v>213</v>
      </c>
      <c r="E329" s="3" t="s">
        <v>214</v>
      </c>
      <c r="F329" s="3" t="s">
        <v>2209</v>
      </c>
      <c r="G329" s="3" t="s">
        <v>216</v>
      </c>
      <c r="H329" s="3" t="s">
        <v>55</v>
      </c>
      <c r="I329" s="3" t="s">
        <v>2367</v>
      </c>
      <c r="J329" s="3" t="s">
        <v>2141</v>
      </c>
      <c r="K329" s="3" t="s">
        <v>2668</v>
      </c>
      <c r="L329" s="3" t="s">
        <v>83</v>
      </c>
      <c r="M329" s="3" t="s">
        <v>60</v>
      </c>
      <c r="N329" s="3"/>
      <c r="O329" s="3"/>
      <c r="P329" s="3" t="s">
        <v>2369</v>
      </c>
      <c r="Q329" s="3" t="s">
        <v>3419</v>
      </c>
      <c r="R329" s="3" t="s">
        <v>87</v>
      </c>
      <c r="S329" s="4">
        <v>44091</v>
      </c>
      <c r="T329" s="4">
        <v>44091</v>
      </c>
      <c r="U329" s="4">
        <v>44091</v>
      </c>
      <c r="V329" s="4">
        <v>44098</v>
      </c>
      <c r="W329" s="4">
        <v>44094</v>
      </c>
      <c r="X329" s="4">
        <v>44099</v>
      </c>
      <c r="Y329" s="3" t="s">
        <v>2411</v>
      </c>
      <c r="Z329" s="3" t="s">
        <v>2411</v>
      </c>
      <c r="AA329" s="3" t="s">
        <v>2411</v>
      </c>
      <c r="AB329" s="3" t="s">
        <v>67</v>
      </c>
      <c r="AC329" s="3" t="s">
        <v>67</v>
      </c>
      <c r="AD329" s="3" t="s">
        <v>67</v>
      </c>
      <c r="AE329" s="3"/>
      <c r="AF329" s="3" t="s">
        <v>2179</v>
      </c>
      <c r="AG329" s="3" t="s">
        <v>2180</v>
      </c>
      <c r="AH329" s="3" t="s">
        <v>2179</v>
      </c>
      <c r="AI329" s="3" t="s">
        <v>73</v>
      </c>
      <c r="AJ329" s="3">
        <v>0</v>
      </c>
      <c r="AK329" s="3">
        <v>0</v>
      </c>
      <c r="AL329" s="3">
        <v>0</v>
      </c>
      <c r="AM329" s="3">
        <v>0</v>
      </c>
      <c r="AN329" s="3">
        <v>6</v>
      </c>
      <c r="AO329" s="3">
        <v>888</v>
      </c>
      <c r="AP329" s="3">
        <v>10.584</v>
      </c>
      <c r="AQ329" s="3" t="s">
        <v>713</v>
      </c>
      <c r="AR329" s="3" t="s">
        <v>714</v>
      </c>
      <c r="AS329" s="3" t="s">
        <v>713</v>
      </c>
      <c r="AT329" s="4">
        <v>44125</v>
      </c>
      <c r="AU329" s="3" t="s">
        <v>3385</v>
      </c>
      <c r="AV329" s="3">
        <v>37</v>
      </c>
      <c r="AW329" s="3" t="s">
        <v>968</v>
      </c>
    </row>
    <row r="330" spans="1:49" x14ac:dyDescent="0.55000000000000004">
      <c r="A330" s="3" t="str">
        <f>HYPERLINK("https://www.infodis.net/philips/net/Shipment/Details?InfodisNumber=4514799&amp;DomainCode=DAP", "4514799")</f>
        <v>4514799</v>
      </c>
      <c r="B330" s="3" t="s">
        <v>3420</v>
      </c>
      <c r="C330" s="3" t="s">
        <v>212</v>
      </c>
      <c r="D330" s="3" t="s">
        <v>213</v>
      </c>
      <c r="E330" s="3" t="s">
        <v>214</v>
      </c>
      <c r="F330" s="3" t="s">
        <v>3421</v>
      </c>
      <c r="G330" s="3" t="s">
        <v>216</v>
      </c>
      <c r="H330" s="3" t="s">
        <v>55</v>
      </c>
      <c r="I330" s="3" t="s">
        <v>2367</v>
      </c>
      <c r="J330" s="3" t="s">
        <v>157</v>
      </c>
      <c r="K330" s="3" t="s">
        <v>3422</v>
      </c>
      <c r="L330" s="3" t="s">
        <v>159</v>
      </c>
      <c r="M330" s="3" t="s">
        <v>60</v>
      </c>
      <c r="N330" s="3"/>
      <c r="O330" s="3"/>
      <c r="P330" s="3" t="s">
        <v>2369</v>
      </c>
      <c r="Q330" s="3"/>
      <c r="R330" s="3" t="s">
        <v>3423</v>
      </c>
      <c r="S330" s="4">
        <v>44090</v>
      </c>
      <c r="T330" s="4">
        <v>44092</v>
      </c>
      <c r="U330" s="3"/>
      <c r="V330" s="4">
        <v>44095</v>
      </c>
      <c r="W330" s="3"/>
      <c r="X330" s="3"/>
      <c r="Y330" s="3" t="s">
        <v>2398</v>
      </c>
      <c r="Z330" s="3" t="s">
        <v>2398</v>
      </c>
      <c r="AA330" s="3" t="s">
        <v>2398</v>
      </c>
      <c r="AB330" s="3" t="s">
        <v>67</v>
      </c>
      <c r="AC330" s="3" t="s">
        <v>67</v>
      </c>
      <c r="AD330" s="3" t="s">
        <v>67</v>
      </c>
      <c r="AE330" s="3"/>
      <c r="AF330" s="3" t="s">
        <v>2179</v>
      </c>
      <c r="AG330" s="3" t="s">
        <v>2180</v>
      </c>
      <c r="AH330" s="3" t="s">
        <v>2179</v>
      </c>
      <c r="AI330" s="3" t="s">
        <v>73</v>
      </c>
      <c r="AJ330" s="3">
        <v>0</v>
      </c>
      <c r="AK330" s="3">
        <v>0</v>
      </c>
      <c r="AL330" s="3">
        <v>0</v>
      </c>
      <c r="AM330" s="3">
        <v>0</v>
      </c>
      <c r="AN330" s="3">
        <v>1</v>
      </c>
      <c r="AO330" s="3">
        <v>90</v>
      </c>
      <c r="AP330" s="3">
        <v>-1</v>
      </c>
      <c r="AQ330" s="3" t="s">
        <v>713</v>
      </c>
      <c r="AR330" s="3" t="s">
        <v>714</v>
      </c>
      <c r="AS330" s="3" t="s">
        <v>713</v>
      </c>
      <c r="AT330" s="4">
        <v>44131</v>
      </c>
      <c r="AU330" s="3" t="s">
        <v>3424</v>
      </c>
      <c r="AV330" s="3">
        <v>31</v>
      </c>
      <c r="AW330" s="3" t="s">
        <v>968</v>
      </c>
    </row>
    <row r="331" spans="1:49" x14ac:dyDescent="0.55000000000000004">
      <c r="A331" s="3" t="str">
        <f>HYPERLINK("https://www.infodis.net/philips/net/Shipment/Details?InfodisNumber=4500292&amp;DomainCode=DAP", "4500292")</f>
        <v>4500292</v>
      </c>
      <c r="B331" s="3" t="s">
        <v>3425</v>
      </c>
      <c r="C331" s="3" t="s">
        <v>2173</v>
      </c>
      <c r="D331" s="3" t="s">
        <v>2174</v>
      </c>
      <c r="E331" s="3" t="s">
        <v>2173</v>
      </c>
      <c r="F331" s="3" t="s">
        <v>77</v>
      </c>
      <c r="G331" s="3" t="s">
        <v>2175</v>
      </c>
      <c r="H331" s="3" t="s">
        <v>1051</v>
      </c>
      <c r="I331" s="3" t="s">
        <v>2176</v>
      </c>
      <c r="J331" s="3" t="s">
        <v>2141</v>
      </c>
      <c r="K331" s="3" t="s">
        <v>82</v>
      </c>
      <c r="L331" s="3" t="s">
        <v>83</v>
      </c>
      <c r="M331" s="3" t="s">
        <v>84</v>
      </c>
      <c r="N331" s="3"/>
      <c r="O331" s="3"/>
      <c r="P331" s="3" t="s">
        <v>2177</v>
      </c>
      <c r="Q331" s="3" t="s">
        <v>3426</v>
      </c>
      <c r="R331" s="3" t="s">
        <v>87</v>
      </c>
      <c r="S331" s="4">
        <v>44071</v>
      </c>
      <c r="T331" s="4">
        <v>44071</v>
      </c>
      <c r="U331" s="4">
        <v>44071</v>
      </c>
      <c r="V331" s="4">
        <v>44074</v>
      </c>
      <c r="W331" s="4">
        <v>44074</v>
      </c>
      <c r="X331" s="4">
        <v>44077</v>
      </c>
      <c r="Y331" s="3" t="s">
        <v>2398</v>
      </c>
      <c r="Z331" s="3" t="s">
        <v>2398</v>
      </c>
      <c r="AA331" s="3" t="s">
        <v>2398</v>
      </c>
      <c r="AB331" s="3" t="s">
        <v>67</v>
      </c>
      <c r="AC331" s="3" t="s">
        <v>67</v>
      </c>
      <c r="AD331" s="3" t="s">
        <v>67</v>
      </c>
      <c r="AE331" s="3"/>
      <c r="AF331" s="3" t="s">
        <v>2179</v>
      </c>
      <c r="AG331" s="3" t="s">
        <v>2180</v>
      </c>
      <c r="AH331" s="3" t="s">
        <v>2179</v>
      </c>
      <c r="AI331" s="3" t="s">
        <v>73</v>
      </c>
      <c r="AJ331" s="3">
        <v>0</v>
      </c>
      <c r="AK331" s="3">
        <v>0</v>
      </c>
      <c r="AL331" s="3">
        <v>0</v>
      </c>
      <c r="AM331" s="3">
        <v>0</v>
      </c>
      <c r="AN331" s="3">
        <v>1</v>
      </c>
      <c r="AO331" s="3">
        <v>244</v>
      </c>
      <c r="AP331" s="3">
        <v>0.35</v>
      </c>
      <c r="AQ331" s="3" t="s">
        <v>713</v>
      </c>
      <c r="AR331" s="3" t="s">
        <v>714</v>
      </c>
      <c r="AS331" s="3" t="s">
        <v>713</v>
      </c>
      <c r="AT331" s="4">
        <v>44084</v>
      </c>
      <c r="AU331" s="3" t="s">
        <v>3427</v>
      </c>
      <c r="AV331" s="3">
        <v>78</v>
      </c>
      <c r="AW331" s="3" t="s">
        <v>3428</v>
      </c>
    </row>
    <row r="332" spans="1:49" x14ac:dyDescent="0.55000000000000004">
      <c r="A332" s="3" t="str">
        <f>HYPERLINK("https://www.infodis.net/philips/net/Shipment/Details?InfodisNumber=4500252&amp;DomainCode=DAP", "4500252")</f>
        <v>4500252</v>
      </c>
      <c r="B332" s="3" t="s">
        <v>3429</v>
      </c>
      <c r="C332" s="3" t="s">
        <v>3430</v>
      </c>
      <c r="D332" s="3" t="s">
        <v>3431</v>
      </c>
      <c r="E332" s="3" t="s">
        <v>3430</v>
      </c>
      <c r="F332" s="3" t="s">
        <v>191</v>
      </c>
      <c r="G332" s="3" t="s">
        <v>192</v>
      </c>
      <c r="H332" s="3" t="s">
        <v>79</v>
      </c>
      <c r="I332" s="3" t="s">
        <v>587</v>
      </c>
      <c r="J332" s="3" t="s">
        <v>2341</v>
      </c>
      <c r="K332" s="3" t="s">
        <v>219</v>
      </c>
      <c r="L332" s="3" t="s">
        <v>180</v>
      </c>
      <c r="M332" s="3" t="s">
        <v>84</v>
      </c>
      <c r="N332" s="3"/>
      <c r="O332" s="3"/>
      <c r="P332" s="3" t="s">
        <v>3432</v>
      </c>
      <c r="Q332" s="3"/>
      <c r="R332" s="3" t="s">
        <v>223</v>
      </c>
      <c r="S332" s="4">
        <v>44071</v>
      </c>
      <c r="T332" s="4">
        <v>44076</v>
      </c>
      <c r="U332" s="3"/>
      <c r="V332" s="4">
        <v>44079</v>
      </c>
      <c r="W332" s="3"/>
      <c r="X332" s="3"/>
      <c r="Y332" s="3" t="s">
        <v>66</v>
      </c>
      <c r="Z332" s="3" t="s">
        <v>2476</v>
      </c>
      <c r="AA332" s="3" t="s">
        <v>2476</v>
      </c>
      <c r="AB332" s="3" t="s">
        <v>68</v>
      </c>
      <c r="AC332" s="3" t="s">
        <v>67</v>
      </c>
      <c r="AD332" s="3" t="s">
        <v>67</v>
      </c>
      <c r="AE332" s="3"/>
      <c r="AF332" s="3" t="s">
        <v>2179</v>
      </c>
      <c r="AG332" s="3" t="s">
        <v>2180</v>
      </c>
      <c r="AH332" s="3" t="s">
        <v>2179</v>
      </c>
      <c r="AI332" s="3" t="s">
        <v>73</v>
      </c>
      <c r="AJ332" s="3">
        <v>0</v>
      </c>
      <c r="AK332" s="3">
        <v>0</v>
      </c>
      <c r="AL332" s="3">
        <v>0</v>
      </c>
      <c r="AM332" s="3">
        <v>0</v>
      </c>
      <c r="AN332" s="3">
        <v>3</v>
      </c>
      <c r="AO332" s="3">
        <v>390</v>
      </c>
      <c r="AP332" s="3">
        <v>3.7679999999999998</v>
      </c>
      <c r="AQ332" s="3" t="s">
        <v>713</v>
      </c>
      <c r="AR332" s="3" t="s">
        <v>714</v>
      </c>
      <c r="AS332" s="3" t="s">
        <v>713</v>
      </c>
      <c r="AT332" s="4">
        <v>44084</v>
      </c>
      <c r="AU332" s="3" t="s">
        <v>3433</v>
      </c>
      <c r="AV332" s="3">
        <v>78</v>
      </c>
      <c r="AW332" s="3" t="s">
        <v>763</v>
      </c>
    </row>
    <row r="333" spans="1:49" x14ac:dyDescent="0.55000000000000004">
      <c r="A333" s="3" t="str">
        <f>HYPERLINK("https://www.infodis.net/philips/net/Shipment/Details?InfodisNumber=6752284&amp;DomainCode=PHILIPSR1", "6752284")</f>
        <v>6752284</v>
      </c>
      <c r="B333" s="3" t="s">
        <v>3434</v>
      </c>
      <c r="C333" s="3" t="s">
        <v>2426</v>
      </c>
      <c r="D333" s="3" t="s">
        <v>2427</v>
      </c>
      <c r="E333" s="3" t="s">
        <v>458</v>
      </c>
      <c r="F333" s="3" t="s">
        <v>609</v>
      </c>
      <c r="G333" s="3" t="s">
        <v>2429</v>
      </c>
      <c r="H333" s="3" t="s">
        <v>180</v>
      </c>
      <c r="I333" s="3" t="s">
        <v>652</v>
      </c>
      <c r="J333" s="3" t="s">
        <v>2367</v>
      </c>
      <c r="K333" s="3" t="s">
        <v>611</v>
      </c>
      <c r="L333" s="3" t="s">
        <v>55</v>
      </c>
      <c r="M333" s="3" t="s">
        <v>60</v>
      </c>
      <c r="N333" s="3"/>
      <c r="O333" s="3"/>
      <c r="P333" s="3" t="s">
        <v>613</v>
      </c>
      <c r="Q333" s="3" t="s">
        <v>3435</v>
      </c>
      <c r="R333" s="3" t="s">
        <v>615</v>
      </c>
      <c r="S333" s="4">
        <v>44071</v>
      </c>
      <c r="T333" s="4">
        <v>44071</v>
      </c>
      <c r="U333" s="4">
        <v>44071</v>
      </c>
      <c r="V333" s="4">
        <v>44074</v>
      </c>
      <c r="W333" s="4">
        <v>44073</v>
      </c>
      <c r="X333" s="4">
        <v>44077</v>
      </c>
      <c r="Y333" s="3" t="s">
        <v>2476</v>
      </c>
      <c r="Z333" s="3" t="s">
        <v>2476</v>
      </c>
      <c r="AA333" s="3" t="s">
        <v>2476</v>
      </c>
      <c r="AB333" s="3" t="s">
        <v>67</v>
      </c>
      <c r="AC333" s="3" t="s">
        <v>67</v>
      </c>
      <c r="AD333" s="3" t="s">
        <v>67</v>
      </c>
      <c r="AE333" s="3"/>
      <c r="AF333" s="3" t="s">
        <v>2179</v>
      </c>
      <c r="AG333" s="3" t="s">
        <v>2180</v>
      </c>
      <c r="AH333" s="3" t="s">
        <v>2179</v>
      </c>
      <c r="AI333" s="3" t="s">
        <v>252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25.85</v>
      </c>
      <c r="AP333" s="3">
        <v>0.26700000000000002</v>
      </c>
      <c r="AQ333" s="3" t="s">
        <v>713</v>
      </c>
      <c r="AR333" s="3" t="s">
        <v>714</v>
      </c>
      <c r="AS333" s="3" t="s">
        <v>713</v>
      </c>
      <c r="AT333" s="4">
        <v>44084</v>
      </c>
      <c r="AU333" s="3" t="s">
        <v>3436</v>
      </c>
      <c r="AV333" s="3">
        <v>78</v>
      </c>
      <c r="AW333" s="3" t="s">
        <v>3409</v>
      </c>
    </row>
    <row r="334" spans="1:49" x14ac:dyDescent="0.55000000000000004">
      <c r="A334" s="3" t="str">
        <f>HYPERLINK("https://www.infodis.net/philips/net/Shipment/Details?InfodisNumber=4501320&amp;DomainCode=DAP", "4501320")</f>
        <v>4501320</v>
      </c>
      <c r="B334" s="3" t="s">
        <v>3437</v>
      </c>
      <c r="C334" s="3" t="s">
        <v>2796</v>
      </c>
      <c r="D334" s="3" t="s">
        <v>2797</v>
      </c>
      <c r="E334" s="3" t="s">
        <v>2202</v>
      </c>
      <c r="F334" s="3" t="s">
        <v>2798</v>
      </c>
      <c r="G334" s="3" t="s">
        <v>2203</v>
      </c>
      <c r="H334" s="3" t="s">
        <v>2204</v>
      </c>
      <c r="I334" s="3" t="s">
        <v>2634</v>
      </c>
      <c r="J334" s="3" t="s">
        <v>2601</v>
      </c>
      <c r="K334" s="3" t="s">
        <v>192</v>
      </c>
      <c r="L334" s="3" t="s">
        <v>79</v>
      </c>
      <c r="M334" s="3" t="s">
        <v>60</v>
      </c>
      <c r="N334" s="3"/>
      <c r="O334" s="3"/>
      <c r="P334" s="3" t="s">
        <v>2205</v>
      </c>
      <c r="Q334" s="3"/>
      <c r="R334" s="3" t="s">
        <v>196</v>
      </c>
      <c r="S334" s="4">
        <v>44074</v>
      </c>
      <c r="T334" s="4">
        <v>44077</v>
      </c>
      <c r="U334" s="3"/>
      <c r="V334" s="4">
        <v>44080</v>
      </c>
      <c r="W334" s="4">
        <v>44081</v>
      </c>
      <c r="X334" s="4">
        <v>44085</v>
      </c>
      <c r="Y334" s="3" t="s">
        <v>2411</v>
      </c>
      <c r="Z334" s="3" t="s">
        <v>2411</v>
      </c>
      <c r="AA334" s="3" t="s">
        <v>2411</v>
      </c>
      <c r="AB334" s="3" t="s">
        <v>67</v>
      </c>
      <c r="AC334" s="3" t="s">
        <v>67</v>
      </c>
      <c r="AD334" s="3" t="s">
        <v>67</v>
      </c>
      <c r="AE334" s="3"/>
      <c r="AF334" s="3" t="s">
        <v>2179</v>
      </c>
      <c r="AG334" s="3" t="s">
        <v>2180</v>
      </c>
      <c r="AH334" s="3" t="s">
        <v>2179</v>
      </c>
      <c r="AI334" s="3" t="s">
        <v>73</v>
      </c>
      <c r="AJ334" s="3">
        <v>0</v>
      </c>
      <c r="AK334" s="3">
        <v>0</v>
      </c>
      <c r="AL334" s="3">
        <v>0</v>
      </c>
      <c r="AM334" s="3">
        <v>0</v>
      </c>
      <c r="AN334" s="3">
        <v>1</v>
      </c>
      <c r="AO334" s="3">
        <v>230</v>
      </c>
      <c r="AP334" s="3">
        <v>0.74400000000000011</v>
      </c>
      <c r="AQ334" s="3" t="s">
        <v>713</v>
      </c>
      <c r="AR334" s="3" t="s">
        <v>714</v>
      </c>
      <c r="AS334" s="3" t="s">
        <v>713</v>
      </c>
      <c r="AT334" s="4">
        <v>44084</v>
      </c>
      <c r="AU334" s="3" t="s">
        <v>3438</v>
      </c>
      <c r="AV334" s="3">
        <v>78</v>
      </c>
      <c r="AW334" s="3" t="s">
        <v>3439</v>
      </c>
    </row>
    <row r="335" spans="1:49" x14ac:dyDescent="0.55000000000000004">
      <c r="A335" s="3" t="str">
        <f>HYPERLINK("https://www.infodis.net/philips/net/Shipment/Details?InfodisNumber=4494800&amp;DomainCode=DAP", "4494800")</f>
        <v>4494800</v>
      </c>
      <c r="B335" s="3" t="s">
        <v>3440</v>
      </c>
      <c r="C335" s="3" t="s">
        <v>2637</v>
      </c>
      <c r="D335" s="3" t="s">
        <v>2638</v>
      </c>
      <c r="E335" s="3" t="s">
        <v>304</v>
      </c>
      <c r="F335" s="3" t="s">
        <v>2744</v>
      </c>
      <c r="G335" s="3" t="s">
        <v>284</v>
      </c>
      <c r="H335" s="3" t="s">
        <v>285</v>
      </c>
      <c r="I335" s="3" t="s">
        <v>2640</v>
      </c>
      <c r="J335" s="3" t="s">
        <v>2506</v>
      </c>
      <c r="K335" s="3" t="s">
        <v>2745</v>
      </c>
      <c r="L335" s="3" t="s">
        <v>772</v>
      </c>
      <c r="M335" s="3" t="s">
        <v>60</v>
      </c>
      <c r="N335" s="3"/>
      <c r="O335" s="3"/>
      <c r="P335" s="3" t="s">
        <v>287</v>
      </c>
      <c r="Q335" s="3"/>
      <c r="R335" s="3" t="s">
        <v>2747</v>
      </c>
      <c r="S335" s="4">
        <v>44062</v>
      </c>
      <c r="T335" s="4">
        <v>44063</v>
      </c>
      <c r="U335" s="4">
        <v>44063</v>
      </c>
      <c r="V335" s="4">
        <v>44068</v>
      </c>
      <c r="W335" s="4">
        <v>44068</v>
      </c>
      <c r="X335" s="4">
        <v>44083</v>
      </c>
      <c r="Y335" s="3" t="s">
        <v>2411</v>
      </c>
      <c r="Z335" s="3" t="s">
        <v>2411</v>
      </c>
      <c r="AA335" s="3" t="s">
        <v>2411</v>
      </c>
      <c r="AB335" s="3" t="s">
        <v>67</v>
      </c>
      <c r="AC335" s="3" t="s">
        <v>67</v>
      </c>
      <c r="AD335" s="3" t="s">
        <v>67</v>
      </c>
      <c r="AE335" s="3"/>
      <c r="AF335" s="3" t="s">
        <v>2399</v>
      </c>
      <c r="AG335" s="3" t="s">
        <v>2400</v>
      </c>
      <c r="AH335" s="3" t="s">
        <v>2399</v>
      </c>
      <c r="AI335" s="3" t="s">
        <v>73</v>
      </c>
      <c r="AJ335" s="3">
        <v>0</v>
      </c>
      <c r="AK335" s="3">
        <v>0</v>
      </c>
      <c r="AL335" s="3">
        <v>0</v>
      </c>
      <c r="AM335" s="3">
        <v>0</v>
      </c>
      <c r="AN335" s="3">
        <v>6</v>
      </c>
      <c r="AO335" s="3">
        <v>1916</v>
      </c>
      <c r="AP335" s="3">
        <v>12.672000000000001</v>
      </c>
      <c r="AQ335" s="3" t="s">
        <v>713</v>
      </c>
      <c r="AR335" s="3" t="s">
        <v>714</v>
      </c>
      <c r="AS335" s="3" t="s">
        <v>713</v>
      </c>
      <c r="AT335" s="4">
        <v>44069</v>
      </c>
      <c r="AU335" s="3" t="s">
        <v>3441</v>
      </c>
      <c r="AV335" s="3">
        <v>93</v>
      </c>
      <c r="AW335" s="3" t="s">
        <v>3442</v>
      </c>
    </row>
    <row r="336" spans="1:49" x14ac:dyDescent="0.55000000000000004">
      <c r="A336" s="3" t="str">
        <f>HYPERLINK("https://www.infodis.net/philips/net/Shipment/Details?InfodisNumber=6971509&amp;DomainCode=PHILIPSR1", "6971509")</f>
        <v>6971509</v>
      </c>
      <c r="B336" s="3" t="s">
        <v>3443</v>
      </c>
      <c r="C336" s="3" t="s">
        <v>2426</v>
      </c>
      <c r="D336" s="3" t="s">
        <v>2427</v>
      </c>
      <c r="E336" s="3" t="s">
        <v>458</v>
      </c>
      <c r="F336" s="3" t="s">
        <v>2513</v>
      </c>
      <c r="G336" s="3" t="s">
        <v>2429</v>
      </c>
      <c r="H336" s="3" t="s">
        <v>180</v>
      </c>
      <c r="I336" s="3" t="s">
        <v>652</v>
      </c>
      <c r="J336" s="3" t="s">
        <v>2396</v>
      </c>
      <c r="K336" s="3" t="s">
        <v>433</v>
      </c>
      <c r="L336" s="3" t="s">
        <v>79</v>
      </c>
      <c r="M336" s="3" t="s">
        <v>60</v>
      </c>
      <c r="N336" s="3"/>
      <c r="O336" s="3"/>
      <c r="P336" s="3" t="s">
        <v>613</v>
      </c>
      <c r="Q336" s="3" t="s">
        <v>3444</v>
      </c>
      <c r="R336" s="3" t="s">
        <v>2475</v>
      </c>
      <c r="S336" s="4">
        <v>44146</v>
      </c>
      <c r="T336" s="4">
        <v>44147</v>
      </c>
      <c r="U336" s="4">
        <v>44146</v>
      </c>
      <c r="V336" s="4">
        <v>44150</v>
      </c>
      <c r="W336" s="4">
        <v>44150</v>
      </c>
      <c r="X336" s="4">
        <v>44155</v>
      </c>
      <c r="Y336" s="3" t="s">
        <v>2476</v>
      </c>
      <c r="Z336" s="3" t="s">
        <v>2476</v>
      </c>
      <c r="AA336" s="3" t="s">
        <v>2476</v>
      </c>
      <c r="AB336" s="3" t="s">
        <v>67</v>
      </c>
      <c r="AC336" s="3" t="s">
        <v>67</v>
      </c>
      <c r="AD336" s="3" t="s">
        <v>67</v>
      </c>
      <c r="AE336" s="3"/>
      <c r="AF336" s="3" t="s">
        <v>2179</v>
      </c>
      <c r="AG336" s="3" t="s">
        <v>2180</v>
      </c>
      <c r="AH336" s="3" t="s">
        <v>2179</v>
      </c>
      <c r="AI336" s="3" t="s">
        <v>252</v>
      </c>
      <c r="AJ336" s="3">
        <v>0</v>
      </c>
      <c r="AK336" s="3">
        <v>0</v>
      </c>
      <c r="AL336" s="3">
        <v>0</v>
      </c>
      <c r="AM336" s="3">
        <v>0</v>
      </c>
      <c r="AN336" s="3">
        <v>13</v>
      </c>
      <c r="AO336" s="3">
        <v>3446.39</v>
      </c>
      <c r="AP336" s="3">
        <v>22.905000000000001</v>
      </c>
      <c r="AQ336" s="3" t="s">
        <v>713</v>
      </c>
      <c r="AR336" s="3" t="s">
        <v>714</v>
      </c>
      <c r="AS336" s="3" t="s">
        <v>713</v>
      </c>
      <c r="AT336" s="4">
        <v>44147</v>
      </c>
      <c r="AU336" s="3" t="s">
        <v>3445</v>
      </c>
      <c r="AV336" s="3">
        <v>15</v>
      </c>
      <c r="AW336" s="3" t="s">
        <v>3446</v>
      </c>
    </row>
    <row r="337" spans="1:49" x14ac:dyDescent="0.55000000000000004">
      <c r="A337" s="3" t="str">
        <f>HYPERLINK("https://www.infodis.net/philips/net/Shipment/Details?InfodisNumber=6321681&amp;DomainCode=PHILIPSR1", "6321681")</f>
        <v>6321681</v>
      </c>
      <c r="B337" s="3" t="s">
        <v>3447</v>
      </c>
      <c r="C337" s="3" t="s">
        <v>2839</v>
      </c>
      <c r="D337" s="3" t="s">
        <v>2840</v>
      </c>
      <c r="E337" s="3" t="s">
        <v>242</v>
      </c>
      <c r="F337" s="3" t="s">
        <v>915</v>
      </c>
      <c r="G337" s="3" t="s">
        <v>619</v>
      </c>
      <c r="H337" s="3" t="s">
        <v>79</v>
      </c>
      <c r="I337" s="3" t="s">
        <v>268</v>
      </c>
      <c r="J337" s="3" t="s">
        <v>2583</v>
      </c>
      <c r="K337" s="3" t="s">
        <v>918</v>
      </c>
      <c r="L337" s="3" t="s">
        <v>881</v>
      </c>
      <c r="M337" s="3" t="s">
        <v>60</v>
      </c>
      <c r="N337" s="3"/>
      <c r="O337" s="3" t="s">
        <v>3448</v>
      </c>
      <c r="P337" s="3" t="s">
        <v>623</v>
      </c>
      <c r="Q337" s="3"/>
      <c r="R337" s="3" t="s">
        <v>888</v>
      </c>
      <c r="S337" s="4">
        <v>43906</v>
      </c>
      <c r="T337" s="4">
        <v>43906</v>
      </c>
      <c r="U337" s="4">
        <v>43907</v>
      </c>
      <c r="V337" s="4">
        <v>43909</v>
      </c>
      <c r="W337" s="4">
        <v>43915</v>
      </c>
      <c r="X337" s="4">
        <v>43918</v>
      </c>
      <c r="Y337" s="3" t="s">
        <v>3061</v>
      </c>
      <c r="Z337" s="3" t="s">
        <v>3061</v>
      </c>
      <c r="AA337" s="3" t="s">
        <v>3061</v>
      </c>
      <c r="AB337" s="3" t="s">
        <v>67</v>
      </c>
      <c r="AC337" s="3" t="s">
        <v>67</v>
      </c>
      <c r="AD337" s="3" t="s">
        <v>67</v>
      </c>
      <c r="AE337" s="3"/>
      <c r="AF337" s="3" t="s">
        <v>2179</v>
      </c>
      <c r="AG337" s="3" t="s">
        <v>2180</v>
      </c>
      <c r="AH337" s="3" t="s">
        <v>2179</v>
      </c>
      <c r="AI337" s="3" t="s">
        <v>252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1317</v>
      </c>
      <c r="AP337" s="3">
        <v>22.568000000000001</v>
      </c>
      <c r="AQ337" s="3" t="s">
        <v>713</v>
      </c>
      <c r="AR337" s="3" t="s">
        <v>714</v>
      </c>
      <c r="AS337" s="3" t="s">
        <v>713</v>
      </c>
      <c r="AT337" s="4">
        <v>43937</v>
      </c>
      <c r="AU337" s="3" t="s">
        <v>3449</v>
      </c>
      <c r="AV337" s="3">
        <v>225</v>
      </c>
      <c r="AW337" s="3" t="s">
        <v>3450</v>
      </c>
    </row>
    <row r="338" spans="1:49" x14ac:dyDescent="0.55000000000000004">
      <c r="A338" s="3" t="str">
        <f>HYPERLINK("https://www.infodis.net/philips/net/Shipment/Details?InfodisNumber=6321682&amp;DomainCode=PHILIPSR1", "6321682")</f>
        <v>6321682</v>
      </c>
      <c r="B338" s="3" t="s">
        <v>3451</v>
      </c>
      <c r="C338" s="3" t="s">
        <v>2839</v>
      </c>
      <c r="D338" s="3" t="s">
        <v>2840</v>
      </c>
      <c r="E338" s="3" t="s">
        <v>242</v>
      </c>
      <c r="F338" s="3" t="s">
        <v>915</v>
      </c>
      <c r="G338" s="3" t="s">
        <v>619</v>
      </c>
      <c r="H338" s="3" t="s">
        <v>79</v>
      </c>
      <c r="I338" s="3" t="s">
        <v>268</v>
      </c>
      <c r="J338" s="3" t="s">
        <v>2583</v>
      </c>
      <c r="K338" s="3" t="s">
        <v>918</v>
      </c>
      <c r="L338" s="3" t="s">
        <v>881</v>
      </c>
      <c r="M338" s="3" t="s">
        <v>60</v>
      </c>
      <c r="N338" s="3"/>
      <c r="O338" s="3" t="s">
        <v>3452</v>
      </c>
      <c r="P338" s="3" t="s">
        <v>623</v>
      </c>
      <c r="Q338" s="3"/>
      <c r="R338" s="3" t="s">
        <v>888</v>
      </c>
      <c r="S338" s="4">
        <v>43906</v>
      </c>
      <c r="T338" s="4">
        <v>43906</v>
      </c>
      <c r="U338" s="4">
        <v>43907</v>
      </c>
      <c r="V338" s="4">
        <v>43915</v>
      </c>
      <c r="W338" s="4">
        <v>43915</v>
      </c>
      <c r="X338" s="4">
        <v>43918</v>
      </c>
      <c r="Y338" s="3" t="s">
        <v>3061</v>
      </c>
      <c r="Z338" s="3" t="s">
        <v>3061</v>
      </c>
      <c r="AA338" s="3" t="s">
        <v>3061</v>
      </c>
      <c r="AB338" s="3" t="s">
        <v>67</v>
      </c>
      <c r="AC338" s="3" t="s">
        <v>67</v>
      </c>
      <c r="AD338" s="3" t="s">
        <v>67</v>
      </c>
      <c r="AE338" s="3"/>
      <c r="AF338" s="3" t="s">
        <v>2179</v>
      </c>
      <c r="AG338" s="3" t="s">
        <v>2180</v>
      </c>
      <c r="AH338" s="3" t="s">
        <v>2179</v>
      </c>
      <c r="AI338" s="3" t="s">
        <v>252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1306</v>
      </c>
      <c r="AP338" s="3">
        <v>22.568000000000001</v>
      </c>
      <c r="AQ338" s="3" t="s">
        <v>713</v>
      </c>
      <c r="AR338" s="3" t="s">
        <v>714</v>
      </c>
      <c r="AS338" s="3" t="s">
        <v>713</v>
      </c>
      <c r="AT338" s="4">
        <v>43937</v>
      </c>
      <c r="AU338" s="3" t="s">
        <v>3449</v>
      </c>
      <c r="AV338" s="3">
        <v>225</v>
      </c>
      <c r="AW338" s="3" t="s">
        <v>3450</v>
      </c>
    </row>
    <row r="339" spans="1:49" x14ac:dyDescent="0.55000000000000004">
      <c r="A339" s="3" t="str">
        <f>HYPERLINK("https://www.infodis.net/philips/net/Shipment/Details?InfodisNumber=6321683&amp;DomainCode=PHILIPSR1", "6321683")</f>
        <v>6321683</v>
      </c>
      <c r="B339" s="3" t="s">
        <v>3453</v>
      </c>
      <c r="C339" s="3" t="s">
        <v>2839</v>
      </c>
      <c r="D339" s="3" t="s">
        <v>2840</v>
      </c>
      <c r="E339" s="3" t="s">
        <v>242</v>
      </c>
      <c r="F339" s="3" t="s">
        <v>915</v>
      </c>
      <c r="G339" s="3" t="s">
        <v>619</v>
      </c>
      <c r="H339" s="3" t="s">
        <v>79</v>
      </c>
      <c r="I339" s="3" t="s">
        <v>268</v>
      </c>
      <c r="J339" s="3" t="s">
        <v>2583</v>
      </c>
      <c r="K339" s="3" t="s">
        <v>918</v>
      </c>
      <c r="L339" s="3" t="s">
        <v>881</v>
      </c>
      <c r="M339" s="3" t="s">
        <v>60</v>
      </c>
      <c r="N339" s="3"/>
      <c r="O339" s="3" t="s">
        <v>3454</v>
      </c>
      <c r="P339" s="3" t="s">
        <v>623</v>
      </c>
      <c r="Q339" s="3" t="s">
        <v>3455</v>
      </c>
      <c r="R339" s="3" t="s">
        <v>888</v>
      </c>
      <c r="S339" s="4">
        <v>43906</v>
      </c>
      <c r="T339" s="4">
        <v>43906</v>
      </c>
      <c r="U339" s="4">
        <v>43907</v>
      </c>
      <c r="V339" s="4">
        <v>43931</v>
      </c>
      <c r="W339" s="4">
        <v>43915</v>
      </c>
      <c r="X339" s="4">
        <v>43918</v>
      </c>
      <c r="Y339" s="3" t="s">
        <v>3061</v>
      </c>
      <c r="Z339" s="3" t="s">
        <v>3061</v>
      </c>
      <c r="AA339" s="3" t="s">
        <v>3061</v>
      </c>
      <c r="AB339" s="3" t="s">
        <v>67</v>
      </c>
      <c r="AC339" s="3" t="s">
        <v>67</v>
      </c>
      <c r="AD339" s="3" t="s">
        <v>67</v>
      </c>
      <c r="AE339" s="3"/>
      <c r="AF339" s="3" t="s">
        <v>2179</v>
      </c>
      <c r="AG339" s="3" t="s">
        <v>2180</v>
      </c>
      <c r="AH339" s="3" t="s">
        <v>2179</v>
      </c>
      <c r="AI339" s="3" t="s">
        <v>252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1286</v>
      </c>
      <c r="AP339" s="3">
        <v>22.065999999999999</v>
      </c>
      <c r="AQ339" s="3" t="s">
        <v>713</v>
      </c>
      <c r="AR339" s="3" t="s">
        <v>714</v>
      </c>
      <c r="AS339" s="3" t="s">
        <v>713</v>
      </c>
      <c r="AT339" s="4">
        <v>43937</v>
      </c>
      <c r="AU339" s="3" t="s">
        <v>3449</v>
      </c>
      <c r="AV339" s="3">
        <v>225</v>
      </c>
      <c r="AW339" s="3" t="s">
        <v>3450</v>
      </c>
    </row>
    <row r="340" spans="1:49" x14ac:dyDescent="0.55000000000000004">
      <c r="A340" s="3" t="str">
        <f>HYPERLINK("https://www.infodis.net/philips/net/Shipment/Details?InfodisNumber=6334720&amp;DomainCode=PHILIPSR1", "6334720")</f>
        <v>6334720</v>
      </c>
      <c r="B340" s="3" t="s">
        <v>3456</v>
      </c>
      <c r="C340" s="3" t="s">
        <v>2839</v>
      </c>
      <c r="D340" s="3" t="s">
        <v>2840</v>
      </c>
      <c r="E340" s="3" t="s">
        <v>242</v>
      </c>
      <c r="F340" s="3" t="s">
        <v>915</v>
      </c>
      <c r="G340" s="3" t="s">
        <v>619</v>
      </c>
      <c r="H340" s="3" t="s">
        <v>79</v>
      </c>
      <c r="I340" s="3" t="s">
        <v>268</v>
      </c>
      <c r="J340" s="3" t="s">
        <v>2583</v>
      </c>
      <c r="K340" s="3" t="s">
        <v>918</v>
      </c>
      <c r="L340" s="3" t="s">
        <v>881</v>
      </c>
      <c r="M340" s="3" t="s">
        <v>60</v>
      </c>
      <c r="N340" s="3"/>
      <c r="O340" s="3" t="s">
        <v>3457</v>
      </c>
      <c r="P340" s="3" t="s">
        <v>623</v>
      </c>
      <c r="Q340" s="3"/>
      <c r="R340" s="3" t="s">
        <v>888</v>
      </c>
      <c r="S340" s="4">
        <v>43909</v>
      </c>
      <c r="T340" s="4">
        <v>43909</v>
      </c>
      <c r="U340" s="4">
        <v>43910</v>
      </c>
      <c r="V340" s="4">
        <v>43912</v>
      </c>
      <c r="W340" s="4">
        <v>43915</v>
      </c>
      <c r="X340" s="4">
        <v>43918</v>
      </c>
      <c r="Y340" s="3" t="s">
        <v>3061</v>
      </c>
      <c r="Z340" s="3" t="s">
        <v>3061</v>
      </c>
      <c r="AA340" s="3" t="s">
        <v>3061</v>
      </c>
      <c r="AB340" s="3" t="s">
        <v>67</v>
      </c>
      <c r="AC340" s="3" t="s">
        <v>67</v>
      </c>
      <c r="AD340" s="3" t="s">
        <v>67</v>
      </c>
      <c r="AE340" s="3"/>
      <c r="AF340" s="3" t="s">
        <v>2179</v>
      </c>
      <c r="AG340" s="3" t="s">
        <v>2180</v>
      </c>
      <c r="AH340" s="3" t="s">
        <v>2179</v>
      </c>
      <c r="AI340" s="3" t="s">
        <v>252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678</v>
      </c>
      <c r="AP340" s="3">
        <v>12.452</v>
      </c>
      <c r="AQ340" s="3" t="s">
        <v>713</v>
      </c>
      <c r="AR340" s="3" t="s">
        <v>714</v>
      </c>
      <c r="AS340" s="3" t="s">
        <v>713</v>
      </c>
      <c r="AT340" s="4">
        <v>43937</v>
      </c>
      <c r="AU340" s="3" t="s">
        <v>3449</v>
      </c>
      <c r="AV340" s="3">
        <v>225</v>
      </c>
      <c r="AW340" s="3" t="s">
        <v>3450</v>
      </c>
    </row>
    <row r="341" spans="1:49" x14ac:dyDescent="0.55000000000000004">
      <c r="A341" s="3" t="str">
        <f>HYPERLINK("https://www.infodis.net/philips/net/Shipment/Details?InfodisNumber=1235769&amp;DomainCode=PHILIPSM1", "1235769")</f>
        <v>1235769</v>
      </c>
      <c r="B341" s="3" t="s">
        <v>3458</v>
      </c>
      <c r="C341" s="3" t="s">
        <v>2491</v>
      </c>
      <c r="D341" s="3" t="s">
        <v>2492</v>
      </c>
      <c r="E341" s="3" t="s">
        <v>2491</v>
      </c>
      <c r="F341" s="3" t="s">
        <v>3459</v>
      </c>
      <c r="G341" s="3" t="s">
        <v>1431</v>
      </c>
      <c r="H341" s="3" t="s">
        <v>180</v>
      </c>
      <c r="I341" s="3" t="s">
        <v>2494</v>
      </c>
      <c r="J341" s="3" t="s">
        <v>3460</v>
      </c>
      <c r="K341" s="3" t="s">
        <v>3461</v>
      </c>
      <c r="L341" s="3" t="s">
        <v>3462</v>
      </c>
      <c r="M341" s="3" t="s">
        <v>60</v>
      </c>
      <c r="N341" s="3"/>
      <c r="O341" s="3"/>
      <c r="P341" s="3" t="s">
        <v>1434</v>
      </c>
      <c r="Q341" s="3" t="s">
        <v>3463</v>
      </c>
      <c r="R341" s="3" t="s">
        <v>2922</v>
      </c>
      <c r="S341" s="4">
        <v>43832</v>
      </c>
      <c r="T341" s="4">
        <v>43863</v>
      </c>
      <c r="U341" s="4">
        <v>43863</v>
      </c>
      <c r="V341" s="4">
        <v>43866</v>
      </c>
      <c r="W341" s="4">
        <v>43842</v>
      </c>
      <c r="X341" s="4">
        <v>43844</v>
      </c>
      <c r="Y341" s="3" t="s">
        <v>2387</v>
      </c>
      <c r="Z341" s="3" t="s">
        <v>2387</v>
      </c>
      <c r="AA341" s="3" t="s">
        <v>2387</v>
      </c>
      <c r="AB341" s="3" t="s">
        <v>67</v>
      </c>
      <c r="AC341" s="3" t="s">
        <v>67</v>
      </c>
      <c r="AD341" s="3" t="s">
        <v>67</v>
      </c>
      <c r="AE341" s="3"/>
      <c r="AF341" s="3" t="s">
        <v>2179</v>
      </c>
      <c r="AG341" s="3" t="s">
        <v>2180</v>
      </c>
      <c r="AH341" s="3" t="s">
        <v>2179</v>
      </c>
      <c r="AI341" s="3" t="s">
        <v>605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145.6</v>
      </c>
      <c r="AP341" s="3">
        <v>1.226</v>
      </c>
      <c r="AQ341" s="3" t="s">
        <v>713</v>
      </c>
      <c r="AR341" s="3" t="s">
        <v>714</v>
      </c>
      <c r="AS341" s="3" t="s">
        <v>713</v>
      </c>
      <c r="AT341" s="4">
        <v>43906</v>
      </c>
      <c r="AU341" s="3" t="s">
        <v>3464</v>
      </c>
      <c r="AV341" s="3">
        <v>256</v>
      </c>
      <c r="AW341" s="3" t="s">
        <v>3465</v>
      </c>
    </row>
    <row r="342" spans="1:49" x14ac:dyDescent="0.55000000000000004">
      <c r="A342" s="3" t="str">
        <f>HYPERLINK("https://www.infodis.net/philips/net/Shipment/Details?InfodisNumber=1277914&amp;DomainCode=PHILIPSM1", "1277914")</f>
        <v>1277914</v>
      </c>
      <c r="B342" s="3" t="s">
        <v>3466</v>
      </c>
      <c r="C342" s="3" t="s">
        <v>2491</v>
      </c>
      <c r="D342" s="3" t="s">
        <v>2492</v>
      </c>
      <c r="E342" s="3" t="s">
        <v>2491</v>
      </c>
      <c r="F342" s="3" t="s">
        <v>3467</v>
      </c>
      <c r="G342" s="3" t="s">
        <v>1431</v>
      </c>
      <c r="H342" s="3" t="s">
        <v>180</v>
      </c>
      <c r="I342" s="3" t="s">
        <v>2494</v>
      </c>
      <c r="J342" s="3" t="s">
        <v>3468</v>
      </c>
      <c r="K342" s="3" t="s">
        <v>3469</v>
      </c>
      <c r="L342" s="3" t="s">
        <v>3470</v>
      </c>
      <c r="M342" s="3" t="s">
        <v>60</v>
      </c>
      <c r="N342" s="3"/>
      <c r="O342" s="3"/>
      <c r="P342" s="3" t="s">
        <v>1434</v>
      </c>
      <c r="Q342" s="3" t="s">
        <v>3471</v>
      </c>
      <c r="R342" s="3" t="s">
        <v>2922</v>
      </c>
      <c r="S342" s="4">
        <v>43871</v>
      </c>
      <c r="T342" s="4">
        <v>43871</v>
      </c>
      <c r="U342" s="4">
        <v>43871</v>
      </c>
      <c r="V342" s="4">
        <v>43874</v>
      </c>
      <c r="W342" s="4">
        <v>43878</v>
      </c>
      <c r="X342" s="3"/>
      <c r="Y342" s="3" t="s">
        <v>2387</v>
      </c>
      <c r="Z342" s="3" t="s">
        <v>2387</v>
      </c>
      <c r="AA342" s="3" t="s">
        <v>603</v>
      </c>
      <c r="AB342" s="3" t="s">
        <v>67</v>
      </c>
      <c r="AC342" s="3" t="s">
        <v>67</v>
      </c>
      <c r="AD342" s="3" t="s">
        <v>68</v>
      </c>
      <c r="AE342" s="3"/>
      <c r="AF342" s="3" t="s">
        <v>2179</v>
      </c>
      <c r="AG342" s="3" t="s">
        <v>2180</v>
      </c>
      <c r="AH342" s="3" t="s">
        <v>2179</v>
      </c>
      <c r="AI342" s="3" t="s">
        <v>605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3.6</v>
      </c>
      <c r="AP342" s="3">
        <v>4.4999999999999998E-2</v>
      </c>
      <c r="AQ342" s="3" t="s">
        <v>713</v>
      </c>
      <c r="AR342" s="3" t="s">
        <v>714</v>
      </c>
      <c r="AS342" s="3" t="s">
        <v>713</v>
      </c>
      <c r="AT342" s="4">
        <v>43906</v>
      </c>
      <c r="AU342" s="3" t="s">
        <v>3464</v>
      </c>
      <c r="AV342" s="3">
        <v>256</v>
      </c>
      <c r="AW342" s="3" t="s">
        <v>3465</v>
      </c>
    </row>
    <row r="343" spans="1:49" x14ac:dyDescent="0.55000000000000004">
      <c r="A343" s="3" t="str">
        <f>HYPERLINK("https://www.infodis.net/philips/net/Shipment/Details?InfodisNumber=6803710&amp;DomainCode=PHILIPSR1", "6803710")</f>
        <v>6803710</v>
      </c>
      <c r="B343" s="3" t="s">
        <v>3472</v>
      </c>
      <c r="C343" s="3" t="s">
        <v>2580</v>
      </c>
      <c r="D343" s="3" t="s">
        <v>2581</v>
      </c>
      <c r="E343" s="3" t="s">
        <v>1187</v>
      </c>
      <c r="F343" s="3" t="s">
        <v>1817</v>
      </c>
      <c r="G343" s="3" t="s">
        <v>3473</v>
      </c>
      <c r="H343" s="3" t="s">
        <v>881</v>
      </c>
      <c r="I343" s="3" t="s">
        <v>2583</v>
      </c>
      <c r="J343" s="3" t="s">
        <v>2405</v>
      </c>
      <c r="K343" s="3" t="s">
        <v>1820</v>
      </c>
      <c r="L343" s="3" t="s">
        <v>172</v>
      </c>
      <c r="M343" s="3" t="s">
        <v>60</v>
      </c>
      <c r="N343" s="3"/>
      <c r="O343" s="3"/>
      <c r="P343" s="3" t="s">
        <v>3474</v>
      </c>
      <c r="Q343" s="3"/>
      <c r="R343" s="3" t="s">
        <v>1822</v>
      </c>
      <c r="S343" s="4">
        <v>44091</v>
      </c>
      <c r="T343" s="4">
        <v>44092</v>
      </c>
      <c r="U343" s="3"/>
      <c r="V343" s="4">
        <v>44095</v>
      </c>
      <c r="W343" s="3"/>
      <c r="X343" s="3"/>
      <c r="Y343" s="3" t="s">
        <v>1753</v>
      </c>
      <c r="Z343" s="3" t="s">
        <v>1753</v>
      </c>
      <c r="AA343" s="3" t="s">
        <v>1753</v>
      </c>
      <c r="AB343" s="3" t="s">
        <v>67</v>
      </c>
      <c r="AC343" s="3" t="s">
        <v>67</v>
      </c>
      <c r="AD343" s="3" t="s">
        <v>67</v>
      </c>
      <c r="AE343" s="3"/>
      <c r="AF343" s="3" t="s">
        <v>2179</v>
      </c>
      <c r="AG343" s="3" t="s">
        <v>2180</v>
      </c>
      <c r="AH343" s="3" t="s">
        <v>2179</v>
      </c>
      <c r="AI343" s="3" t="s">
        <v>252</v>
      </c>
      <c r="AJ343" s="3">
        <v>0</v>
      </c>
      <c r="AK343" s="3">
        <v>0</v>
      </c>
      <c r="AL343" s="3">
        <v>0</v>
      </c>
      <c r="AM343" s="3">
        <v>0</v>
      </c>
      <c r="AN343" s="3">
        <v>9</v>
      </c>
      <c r="AO343" s="3">
        <v>686</v>
      </c>
      <c r="AP343" s="3">
        <v>11.577999999999999</v>
      </c>
      <c r="AQ343" s="3" t="s">
        <v>713</v>
      </c>
      <c r="AR343" s="3" t="s">
        <v>714</v>
      </c>
      <c r="AS343" s="3" t="s">
        <v>713</v>
      </c>
      <c r="AT343" s="4">
        <v>44125</v>
      </c>
      <c r="AU343" s="3" t="s">
        <v>3475</v>
      </c>
      <c r="AV343" s="3">
        <v>37</v>
      </c>
      <c r="AW343" s="3" t="s">
        <v>1057</v>
      </c>
    </row>
    <row r="344" spans="1:49" x14ac:dyDescent="0.55000000000000004">
      <c r="A344" s="3" t="str">
        <f>HYPERLINK("https://www.infodis.net/philips/net/Shipment/Details?InfodisNumber=1277915&amp;DomainCode=PHILIPSM1", "1277915")</f>
        <v>1277915</v>
      </c>
      <c r="B344" s="3" t="s">
        <v>3476</v>
      </c>
      <c r="C344" s="3" t="s">
        <v>2491</v>
      </c>
      <c r="D344" s="3" t="s">
        <v>2492</v>
      </c>
      <c r="E344" s="3" t="s">
        <v>2491</v>
      </c>
      <c r="F344" s="3" t="s">
        <v>3467</v>
      </c>
      <c r="G344" s="3" t="s">
        <v>1431</v>
      </c>
      <c r="H344" s="3" t="s">
        <v>180</v>
      </c>
      <c r="I344" s="3" t="s">
        <v>2494</v>
      </c>
      <c r="J344" s="3" t="s">
        <v>3468</v>
      </c>
      <c r="K344" s="3" t="s">
        <v>3469</v>
      </c>
      <c r="L344" s="3" t="s">
        <v>3470</v>
      </c>
      <c r="M344" s="3" t="s">
        <v>60</v>
      </c>
      <c r="N344" s="3"/>
      <c r="O344" s="3"/>
      <c r="P344" s="3" t="s">
        <v>1434</v>
      </c>
      <c r="Q344" s="3" t="s">
        <v>3477</v>
      </c>
      <c r="R344" s="3" t="s">
        <v>2922</v>
      </c>
      <c r="S344" s="4">
        <v>43871</v>
      </c>
      <c r="T344" s="4">
        <v>43871</v>
      </c>
      <c r="U344" s="4">
        <v>43871</v>
      </c>
      <c r="V344" s="4">
        <v>43874</v>
      </c>
      <c r="W344" s="4">
        <v>43878</v>
      </c>
      <c r="X344" s="3"/>
      <c r="Y344" s="3" t="s">
        <v>2387</v>
      </c>
      <c r="Z344" s="3" t="s">
        <v>2387</v>
      </c>
      <c r="AA344" s="3" t="s">
        <v>603</v>
      </c>
      <c r="AB344" s="3" t="s">
        <v>67</v>
      </c>
      <c r="AC344" s="3" t="s">
        <v>67</v>
      </c>
      <c r="AD344" s="3" t="s">
        <v>68</v>
      </c>
      <c r="AE344" s="3"/>
      <c r="AF344" s="3" t="s">
        <v>2179</v>
      </c>
      <c r="AG344" s="3" t="s">
        <v>2180</v>
      </c>
      <c r="AH344" s="3" t="s">
        <v>2179</v>
      </c>
      <c r="AI344" s="3" t="s">
        <v>605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0.9</v>
      </c>
      <c r="AP344" s="3">
        <v>2.9000000000000001E-2</v>
      </c>
      <c r="AQ344" s="3" t="s">
        <v>713</v>
      </c>
      <c r="AR344" s="3" t="s">
        <v>714</v>
      </c>
      <c r="AS344" s="3" t="s">
        <v>713</v>
      </c>
      <c r="AT344" s="4">
        <v>43906</v>
      </c>
      <c r="AU344" s="3" t="s">
        <v>3464</v>
      </c>
      <c r="AV344" s="3">
        <v>256</v>
      </c>
      <c r="AW344" s="3" t="s">
        <v>3465</v>
      </c>
    </row>
    <row r="345" spans="1:49" x14ac:dyDescent="0.55000000000000004">
      <c r="A345" s="3" t="str">
        <f>HYPERLINK("https://www.infodis.net/philips/net/Shipment/Details?InfodisNumber=4473914&amp;DomainCode=DAP", "4473914")</f>
        <v>4473914</v>
      </c>
      <c r="B345" s="3" t="s">
        <v>3478</v>
      </c>
      <c r="C345" s="3" t="s">
        <v>3479</v>
      </c>
      <c r="D345" s="3" t="s">
        <v>3480</v>
      </c>
      <c r="E345" s="3" t="s">
        <v>3479</v>
      </c>
      <c r="F345" s="3" t="s">
        <v>167</v>
      </c>
      <c r="G345" s="3" t="s">
        <v>3481</v>
      </c>
      <c r="H345" s="3" t="s">
        <v>244</v>
      </c>
      <c r="I345" s="3" t="s">
        <v>706</v>
      </c>
      <c r="J345" s="3" t="s">
        <v>2405</v>
      </c>
      <c r="K345" s="3" t="s">
        <v>1125</v>
      </c>
      <c r="L345" s="3" t="s">
        <v>172</v>
      </c>
      <c r="M345" s="3" t="s">
        <v>84</v>
      </c>
      <c r="N345" s="3"/>
      <c r="O345" s="3"/>
      <c r="P345" s="3" t="s">
        <v>3482</v>
      </c>
      <c r="Q345" s="3" t="s">
        <v>3483</v>
      </c>
      <c r="R345" s="3" t="s">
        <v>1128</v>
      </c>
      <c r="S345" s="4">
        <v>44027</v>
      </c>
      <c r="T345" s="4">
        <v>44028</v>
      </c>
      <c r="U345" s="4">
        <v>44028</v>
      </c>
      <c r="V345" s="4">
        <v>44031</v>
      </c>
      <c r="W345" s="4">
        <v>44029</v>
      </c>
      <c r="X345" s="4">
        <v>44045</v>
      </c>
      <c r="Y345" s="3" t="s">
        <v>2411</v>
      </c>
      <c r="Z345" s="3" t="s">
        <v>2411</v>
      </c>
      <c r="AA345" s="3" t="s">
        <v>2411</v>
      </c>
      <c r="AB345" s="3" t="s">
        <v>67</v>
      </c>
      <c r="AC345" s="3" t="s">
        <v>67</v>
      </c>
      <c r="AD345" s="3" t="s">
        <v>67</v>
      </c>
      <c r="AE345" s="3"/>
      <c r="AF345" s="3" t="s">
        <v>2179</v>
      </c>
      <c r="AG345" s="3" t="s">
        <v>2180</v>
      </c>
      <c r="AH345" s="3" t="s">
        <v>2179</v>
      </c>
      <c r="AI345" s="3" t="s">
        <v>73</v>
      </c>
      <c r="AJ345" s="3">
        <v>0</v>
      </c>
      <c r="AK345" s="3">
        <v>0</v>
      </c>
      <c r="AL345" s="3">
        <v>0</v>
      </c>
      <c r="AM345" s="3">
        <v>0</v>
      </c>
      <c r="AN345" s="3">
        <v>1</v>
      </c>
      <c r="AO345" s="3">
        <v>120</v>
      </c>
      <c r="AP345" s="3">
        <v>1.306</v>
      </c>
      <c r="AQ345" s="3" t="s">
        <v>713</v>
      </c>
      <c r="AR345" s="3" t="s">
        <v>714</v>
      </c>
      <c r="AS345" s="3" t="s">
        <v>713</v>
      </c>
      <c r="AT345" s="4">
        <v>44103</v>
      </c>
      <c r="AU345" s="3" t="s">
        <v>3484</v>
      </c>
      <c r="AV345" s="3">
        <v>59</v>
      </c>
      <c r="AW345" s="3" t="s">
        <v>3485</v>
      </c>
    </row>
    <row r="346" spans="1:49" x14ac:dyDescent="0.55000000000000004">
      <c r="A346" s="3" t="str">
        <f>HYPERLINK("https://www.infodis.net/philips/net/Shipment/Details?InfodisNumber=6642127&amp;DomainCode=PHILIPSR1", "6642127")</f>
        <v>6642127</v>
      </c>
      <c r="B346" s="3" t="s">
        <v>3486</v>
      </c>
      <c r="C346" s="3" t="s">
        <v>2426</v>
      </c>
      <c r="D346" s="3" t="s">
        <v>2427</v>
      </c>
      <c r="E346" s="3" t="s">
        <v>458</v>
      </c>
      <c r="F346" s="3" t="s">
        <v>3487</v>
      </c>
      <c r="G346" s="3" t="s">
        <v>2429</v>
      </c>
      <c r="H346" s="3" t="s">
        <v>180</v>
      </c>
      <c r="I346" s="3" t="s">
        <v>652</v>
      </c>
      <c r="J346" s="3" t="s">
        <v>3488</v>
      </c>
      <c r="K346" s="3" t="s">
        <v>3489</v>
      </c>
      <c r="L346" s="3" t="s">
        <v>3490</v>
      </c>
      <c r="M346" s="3" t="s">
        <v>60</v>
      </c>
      <c r="N346" s="3"/>
      <c r="O346" s="3"/>
      <c r="P346" s="3" t="s">
        <v>613</v>
      </c>
      <c r="Q346" s="3" t="s">
        <v>3491</v>
      </c>
      <c r="R346" s="3" t="s">
        <v>3492</v>
      </c>
      <c r="S346" s="4">
        <v>44028</v>
      </c>
      <c r="T346" s="4">
        <v>44028</v>
      </c>
      <c r="U346" s="4">
        <v>44028</v>
      </c>
      <c r="V346" s="4">
        <v>44031</v>
      </c>
      <c r="W346" s="4">
        <v>44031</v>
      </c>
      <c r="X346" s="4">
        <v>44035</v>
      </c>
      <c r="Y346" s="3" t="s">
        <v>2476</v>
      </c>
      <c r="Z346" s="3" t="s">
        <v>2476</v>
      </c>
      <c r="AA346" s="3" t="s">
        <v>2476</v>
      </c>
      <c r="AB346" s="3" t="s">
        <v>67</v>
      </c>
      <c r="AC346" s="3" t="s">
        <v>67</v>
      </c>
      <c r="AD346" s="3" t="s">
        <v>67</v>
      </c>
      <c r="AE346" s="3"/>
      <c r="AF346" s="3" t="s">
        <v>2179</v>
      </c>
      <c r="AG346" s="3" t="s">
        <v>2180</v>
      </c>
      <c r="AH346" s="3" t="s">
        <v>2179</v>
      </c>
      <c r="AI346" s="3" t="s">
        <v>252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426.83</v>
      </c>
      <c r="AP346" s="3">
        <v>3.54</v>
      </c>
      <c r="AQ346" s="3" t="s">
        <v>713</v>
      </c>
      <c r="AR346" s="3" t="s">
        <v>714</v>
      </c>
      <c r="AS346" s="3" t="s">
        <v>713</v>
      </c>
      <c r="AT346" s="4">
        <v>44050</v>
      </c>
      <c r="AU346" s="3" t="s">
        <v>3493</v>
      </c>
      <c r="AV346" s="3">
        <v>112</v>
      </c>
      <c r="AW346" s="3" t="s">
        <v>3494</v>
      </c>
    </row>
    <row r="347" spans="1:49" x14ac:dyDescent="0.55000000000000004">
      <c r="A347" s="3" t="str">
        <f>HYPERLINK("https://www.infodis.net/philips/net/Shipment/Details?InfodisNumber=4475688&amp;DomainCode=DAP", "4475688")</f>
        <v>4475688</v>
      </c>
      <c r="B347" s="3" t="s">
        <v>3495</v>
      </c>
      <c r="C347" s="3" t="s">
        <v>2637</v>
      </c>
      <c r="D347" s="3" t="s">
        <v>2638</v>
      </c>
      <c r="E347" s="3" t="s">
        <v>304</v>
      </c>
      <c r="F347" s="3" t="s">
        <v>3496</v>
      </c>
      <c r="G347" s="3" t="s">
        <v>284</v>
      </c>
      <c r="H347" s="3" t="s">
        <v>285</v>
      </c>
      <c r="I347" s="3" t="s">
        <v>2640</v>
      </c>
      <c r="J347" s="3" t="s">
        <v>157</v>
      </c>
      <c r="K347" s="3" t="s">
        <v>369</v>
      </c>
      <c r="L347" s="3" t="s">
        <v>159</v>
      </c>
      <c r="M347" s="3" t="s">
        <v>60</v>
      </c>
      <c r="N347" s="3"/>
      <c r="O347" s="3"/>
      <c r="P347" s="3" t="s">
        <v>287</v>
      </c>
      <c r="Q347" s="3" t="s">
        <v>3497</v>
      </c>
      <c r="R347" s="3" t="s">
        <v>370</v>
      </c>
      <c r="S347" s="4">
        <v>44029</v>
      </c>
      <c r="T347" s="4">
        <v>44033</v>
      </c>
      <c r="U347" s="4">
        <v>44032</v>
      </c>
      <c r="V347" s="4">
        <v>44046</v>
      </c>
      <c r="W347" s="4">
        <v>44033</v>
      </c>
      <c r="X347" s="4">
        <v>44047</v>
      </c>
      <c r="Y347" s="3" t="s">
        <v>2411</v>
      </c>
      <c r="Z347" s="3" t="s">
        <v>2411</v>
      </c>
      <c r="AA347" s="3" t="s">
        <v>2411</v>
      </c>
      <c r="AB347" s="3" t="s">
        <v>67</v>
      </c>
      <c r="AC347" s="3" t="s">
        <v>67</v>
      </c>
      <c r="AD347" s="3" t="s">
        <v>67</v>
      </c>
      <c r="AE347" s="3"/>
      <c r="AF347" s="3" t="s">
        <v>2179</v>
      </c>
      <c r="AG347" s="3" t="s">
        <v>2180</v>
      </c>
      <c r="AH347" s="3" t="s">
        <v>2179</v>
      </c>
      <c r="AI347" s="3" t="s">
        <v>73</v>
      </c>
      <c r="AJ347" s="3">
        <v>0</v>
      </c>
      <c r="AK347" s="3">
        <v>0</v>
      </c>
      <c r="AL347" s="3">
        <v>0</v>
      </c>
      <c r="AM347" s="3">
        <v>0</v>
      </c>
      <c r="AN347" s="3">
        <v>6</v>
      </c>
      <c r="AO347" s="3">
        <v>2010</v>
      </c>
      <c r="AP347" s="3">
        <v>13.824</v>
      </c>
      <c r="AQ347" s="3" t="s">
        <v>713</v>
      </c>
      <c r="AR347" s="3" t="s">
        <v>714</v>
      </c>
      <c r="AS347" s="3" t="s">
        <v>713</v>
      </c>
      <c r="AT347" s="4">
        <v>44069</v>
      </c>
      <c r="AU347" s="3" t="s">
        <v>3498</v>
      </c>
      <c r="AV347" s="3">
        <v>93</v>
      </c>
      <c r="AW347" s="3" t="s">
        <v>3499</v>
      </c>
    </row>
    <row r="348" spans="1:49" x14ac:dyDescent="0.55000000000000004">
      <c r="A348" s="3" t="str">
        <f>HYPERLINK("https://www.infodis.net/philips/net/Shipment/Details?InfodisNumber=4489859&amp;DomainCode=DAP", "4489859")</f>
        <v>4489859</v>
      </c>
      <c r="B348" s="3" t="s">
        <v>3500</v>
      </c>
      <c r="C348" s="3" t="s">
        <v>3501</v>
      </c>
      <c r="D348" s="3" t="s">
        <v>3502</v>
      </c>
      <c r="E348" s="3" t="s">
        <v>3501</v>
      </c>
      <c r="F348" s="3" t="s">
        <v>3503</v>
      </c>
      <c r="G348" s="3" t="s">
        <v>3344</v>
      </c>
      <c r="H348" s="3" t="s">
        <v>55</v>
      </c>
      <c r="I348" s="3" t="s">
        <v>2367</v>
      </c>
      <c r="J348" s="3" t="s">
        <v>2757</v>
      </c>
      <c r="K348" s="3" t="s">
        <v>3504</v>
      </c>
      <c r="L348" s="3" t="s">
        <v>180</v>
      </c>
      <c r="M348" s="3" t="s">
        <v>84</v>
      </c>
      <c r="N348" s="3"/>
      <c r="O348" s="3"/>
      <c r="P348" s="3" t="s">
        <v>3505</v>
      </c>
      <c r="Q348" s="3" t="s">
        <v>3506</v>
      </c>
      <c r="R348" s="3" t="s">
        <v>3507</v>
      </c>
      <c r="S348" s="4">
        <v>44054</v>
      </c>
      <c r="T348" s="4">
        <v>44054</v>
      </c>
      <c r="U348" s="4">
        <v>44062</v>
      </c>
      <c r="V348" s="4">
        <v>44057</v>
      </c>
      <c r="W348" s="4">
        <v>44070</v>
      </c>
      <c r="X348" s="4">
        <v>44077</v>
      </c>
      <c r="Y348" s="3" t="s">
        <v>2398</v>
      </c>
      <c r="Z348" s="3" t="s">
        <v>2398</v>
      </c>
      <c r="AA348" s="3" t="s">
        <v>2398</v>
      </c>
      <c r="AB348" s="3" t="s">
        <v>67</v>
      </c>
      <c r="AC348" s="3" t="s">
        <v>67</v>
      </c>
      <c r="AD348" s="3" t="s">
        <v>67</v>
      </c>
      <c r="AE348" s="3"/>
      <c r="AF348" s="3" t="s">
        <v>2179</v>
      </c>
      <c r="AG348" s="3" t="s">
        <v>2180</v>
      </c>
      <c r="AH348" s="3" t="s">
        <v>2179</v>
      </c>
      <c r="AI348" s="3" t="s">
        <v>73</v>
      </c>
      <c r="AJ348" s="3">
        <v>0</v>
      </c>
      <c r="AK348" s="3">
        <v>0</v>
      </c>
      <c r="AL348" s="3">
        <v>0</v>
      </c>
      <c r="AM348" s="3">
        <v>0</v>
      </c>
      <c r="AN348" s="3">
        <v>2</v>
      </c>
      <c r="AO348" s="3">
        <v>197</v>
      </c>
      <c r="AP348" s="3">
        <v>2.88</v>
      </c>
      <c r="AQ348" s="3" t="s">
        <v>713</v>
      </c>
      <c r="AR348" s="3" t="s">
        <v>714</v>
      </c>
      <c r="AS348" s="3" t="s">
        <v>713</v>
      </c>
      <c r="AT348" s="4">
        <v>44103</v>
      </c>
      <c r="AU348" s="3" t="s">
        <v>3484</v>
      </c>
      <c r="AV348" s="3">
        <v>59</v>
      </c>
      <c r="AW348" s="3" t="s">
        <v>3485</v>
      </c>
    </row>
    <row r="349" spans="1:49" x14ac:dyDescent="0.55000000000000004">
      <c r="A349" s="3" t="str">
        <f>HYPERLINK("https://www.infodis.net/philips/net/Shipment/Details?InfodisNumber=4499310&amp;DomainCode=DAP", "4499310")</f>
        <v>4499310</v>
      </c>
      <c r="B349" s="3" t="s">
        <v>3508</v>
      </c>
      <c r="C349" s="3" t="s">
        <v>3509</v>
      </c>
      <c r="D349" s="3" t="s">
        <v>3510</v>
      </c>
      <c r="E349" s="3" t="s">
        <v>3509</v>
      </c>
      <c r="F349" s="3" t="s">
        <v>52</v>
      </c>
      <c r="G349" s="3" t="s">
        <v>3511</v>
      </c>
      <c r="H349" s="3" t="s">
        <v>180</v>
      </c>
      <c r="I349" s="3" t="s">
        <v>194</v>
      </c>
      <c r="J349" s="3" t="s">
        <v>2367</v>
      </c>
      <c r="K349" s="3" t="s">
        <v>1224</v>
      </c>
      <c r="L349" s="3" t="s">
        <v>55</v>
      </c>
      <c r="M349" s="3" t="s">
        <v>1489</v>
      </c>
      <c r="N349" s="3"/>
      <c r="O349" s="3"/>
      <c r="P349" s="3" t="s">
        <v>3512</v>
      </c>
      <c r="Q349" s="3"/>
      <c r="R349" s="3" t="s">
        <v>1227</v>
      </c>
      <c r="S349" s="4">
        <v>44070</v>
      </c>
      <c r="T349" s="4">
        <v>44070</v>
      </c>
      <c r="U349" s="4">
        <v>44069</v>
      </c>
      <c r="V349" s="4">
        <v>44073</v>
      </c>
      <c r="W349" s="4">
        <v>44071</v>
      </c>
      <c r="X349" s="4">
        <v>44077</v>
      </c>
      <c r="Y349" s="3" t="s">
        <v>2476</v>
      </c>
      <c r="Z349" s="3" t="s">
        <v>2476</v>
      </c>
      <c r="AA349" s="3" t="s">
        <v>2476</v>
      </c>
      <c r="AB349" s="3" t="s">
        <v>67</v>
      </c>
      <c r="AC349" s="3" t="s">
        <v>67</v>
      </c>
      <c r="AD349" s="3" t="s">
        <v>67</v>
      </c>
      <c r="AE349" s="3"/>
      <c r="AF349" s="3" t="s">
        <v>2179</v>
      </c>
      <c r="AG349" s="3" t="s">
        <v>2180</v>
      </c>
      <c r="AH349" s="3" t="s">
        <v>2179</v>
      </c>
      <c r="AI349" s="3" t="s">
        <v>73</v>
      </c>
      <c r="AJ349" s="3">
        <v>0</v>
      </c>
      <c r="AK349" s="3">
        <v>0</v>
      </c>
      <c r="AL349" s="3">
        <v>0</v>
      </c>
      <c r="AM349" s="3">
        <v>0</v>
      </c>
      <c r="AN349" s="3">
        <v>2</v>
      </c>
      <c r="AO349" s="3">
        <v>317.51</v>
      </c>
      <c r="AP349" s="3">
        <v>3.3980000000000001</v>
      </c>
      <c r="AQ349" s="3" t="s">
        <v>713</v>
      </c>
      <c r="AR349" s="3" t="s">
        <v>714</v>
      </c>
      <c r="AS349" s="3" t="s">
        <v>713</v>
      </c>
      <c r="AT349" s="4">
        <v>44070</v>
      </c>
      <c r="AU349" s="3" t="s">
        <v>3513</v>
      </c>
      <c r="AV349" s="3">
        <v>92</v>
      </c>
      <c r="AW349" s="3" t="s">
        <v>3398</v>
      </c>
    </row>
    <row r="350" spans="1:49" x14ac:dyDescent="0.55000000000000004">
      <c r="A350" s="3" t="str">
        <f>HYPERLINK("https://www.infodis.net/philips/net/Shipment/Details?InfodisNumber=4499328&amp;DomainCode=DAP", "4499328")</f>
        <v>4499328</v>
      </c>
      <c r="B350" s="3" t="s">
        <v>3514</v>
      </c>
      <c r="C350" s="3" t="s">
        <v>2067</v>
      </c>
      <c r="D350" s="3" t="s">
        <v>2068</v>
      </c>
      <c r="E350" s="3" t="s">
        <v>77</v>
      </c>
      <c r="F350" s="3" t="s">
        <v>77</v>
      </c>
      <c r="G350" s="3" t="s">
        <v>3413</v>
      </c>
      <c r="H350" s="3" t="s">
        <v>244</v>
      </c>
      <c r="I350" s="3" t="s">
        <v>3414</v>
      </c>
      <c r="J350" s="3" t="s">
        <v>2141</v>
      </c>
      <c r="K350" s="3" t="s">
        <v>82</v>
      </c>
      <c r="L350" s="3" t="s">
        <v>83</v>
      </c>
      <c r="M350" s="3" t="s">
        <v>84</v>
      </c>
      <c r="N350" s="3"/>
      <c r="O350" s="3"/>
      <c r="P350" s="3" t="s">
        <v>3415</v>
      </c>
      <c r="Q350" s="3" t="s">
        <v>3515</v>
      </c>
      <c r="R350" s="3" t="s">
        <v>87</v>
      </c>
      <c r="S350" s="4">
        <v>44070</v>
      </c>
      <c r="T350" s="4">
        <v>44071</v>
      </c>
      <c r="U350" s="4">
        <v>44097</v>
      </c>
      <c r="V350" s="4">
        <v>44074</v>
      </c>
      <c r="W350" s="4">
        <v>44102</v>
      </c>
      <c r="X350" s="4">
        <v>44109</v>
      </c>
      <c r="Y350" s="3" t="s">
        <v>2411</v>
      </c>
      <c r="Z350" s="3" t="s">
        <v>2411</v>
      </c>
      <c r="AA350" s="3" t="s">
        <v>2411</v>
      </c>
      <c r="AB350" s="3" t="s">
        <v>67</v>
      </c>
      <c r="AC350" s="3" t="s">
        <v>67</v>
      </c>
      <c r="AD350" s="3" t="s">
        <v>67</v>
      </c>
      <c r="AE350" s="3"/>
      <c r="AF350" s="3" t="s">
        <v>2179</v>
      </c>
      <c r="AG350" s="3" t="s">
        <v>2180</v>
      </c>
      <c r="AH350" s="3" t="s">
        <v>2179</v>
      </c>
      <c r="AI350" s="3" t="s">
        <v>73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173</v>
      </c>
      <c r="AP350" s="3">
        <v>1.1519999999999999</v>
      </c>
      <c r="AQ350" s="3" t="s">
        <v>713</v>
      </c>
      <c r="AR350" s="3" t="s">
        <v>714</v>
      </c>
      <c r="AS350" s="3" t="s">
        <v>713</v>
      </c>
      <c r="AT350" s="4">
        <v>44084</v>
      </c>
      <c r="AU350" s="3" t="s">
        <v>3427</v>
      </c>
      <c r="AV350" s="3">
        <v>78</v>
      </c>
      <c r="AW350" s="3" t="s">
        <v>3428</v>
      </c>
    </row>
    <row r="351" spans="1:49" x14ac:dyDescent="0.55000000000000004">
      <c r="A351" s="3" t="str">
        <f>HYPERLINK("https://www.infodis.net/philips/net/Shipment/Details?InfodisNumber=1316549&amp;DomainCode=PHILIPSM1", "1316549")</f>
        <v>1316549</v>
      </c>
      <c r="B351" s="3" t="s">
        <v>3516</v>
      </c>
      <c r="C351" s="3" t="s">
        <v>2080</v>
      </c>
      <c r="D351" s="3" t="s">
        <v>2081</v>
      </c>
      <c r="E351" s="3" t="s">
        <v>3517</v>
      </c>
      <c r="F351" s="3" t="s">
        <v>3518</v>
      </c>
      <c r="G351" s="3" t="s">
        <v>1430</v>
      </c>
      <c r="H351" s="3" t="s">
        <v>244</v>
      </c>
      <c r="I351" s="3" t="s">
        <v>2084</v>
      </c>
      <c r="J351" s="3" t="s">
        <v>1813</v>
      </c>
      <c r="K351" s="3" t="s">
        <v>667</v>
      </c>
      <c r="L351" s="3" t="s">
        <v>79</v>
      </c>
      <c r="M351" s="3" t="s">
        <v>60</v>
      </c>
      <c r="N351" s="3"/>
      <c r="O351" s="3"/>
      <c r="P351" s="3" t="s">
        <v>1432</v>
      </c>
      <c r="Q351" s="3" t="s">
        <v>3519</v>
      </c>
      <c r="R351" s="3" t="s">
        <v>1853</v>
      </c>
      <c r="S351" s="4">
        <v>43907</v>
      </c>
      <c r="T351" s="4">
        <v>43908</v>
      </c>
      <c r="U351" s="4">
        <v>43909</v>
      </c>
      <c r="V351" s="4">
        <v>43909</v>
      </c>
      <c r="W351" s="4">
        <v>43910</v>
      </c>
      <c r="X351" s="4">
        <v>43915</v>
      </c>
      <c r="Y351" s="3" t="s">
        <v>2387</v>
      </c>
      <c r="Z351" s="3" t="s">
        <v>2387</v>
      </c>
      <c r="AA351" s="3" t="s">
        <v>2387</v>
      </c>
      <c r="AB351" s="3" t="s">
        <v>67</v>
      </c>
      <c r="AC351" s="3" t="s">
        <v>67</v>
      </c>
      <c r="AD351" s="3" t="s">
        <v>67</v>
      </c>
      <c r="AE351" s="3"/>
      <c r="AF351" s="3" t="s">
        <v>2610</v>
      </c>
      <c r="AG351" s="3" t="s">
        <v>2611</v>
      </c>
      <c r="AH351" s="3" t="s">
        <v>2610</v>
      </c>
      <c r="AI351" s="3" t="s">
        <v>605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8.1999999999999993</v>
      </c>
      <c r="AP351" s="3">
        <v>2.5000000000000001E-2</v>
      </c>
      <c r="AQ351" s="3" t="s">
        <v>713</v>
      </c>
      <c r="AR351" s="3" t="s">
        <v>714</v>
      </c>
      <c r="AS351" s="3" t="s">
        <v>713</v>
      </c>
      <c r="AT351" s="4">
        <v>43909</v>
      </c>
      <c r="AU351" s="3" t="s">
        <v>3520</v>
      </c>
      <c r="AV351" s="3">
        <v>253</v>
      </c>
      <c r="AW351" s="3" t="s">
        <v>3521</v>
      </c>
    </row>
    <row r="352" spans="1:49" x14ac:dyDescent="0.55000000000000004">
      <c r="A352" s="3" t="str">
        <f>HYPERLINK("https://www.infodis.net/philips/net/Shipment/Details?InfodisNumber=4522471&amp;DomainCode=DAP", "4522471")</f>
        <v>4522471</v>
      </c>
      <c r="B352" s="3" t="s">
        <v>3522</v>
      </c>
      <c r="C352" s="3" t="s">
        <v>212</v>
      </c>
      <c r="D352" s="3" t="s">
        <v>213</v>
      </c>
      <c r="E352" s="3" t="s">
        <v>214</v>
      </c>
      <c r="F352" s="3" t="s">
        <v>2209</v>
      </c>
      <c r="G352" s="3" t="s">
        <v>216</v>
      </c>
      <c r="H352" s="3" t="s">
        <v>55</v>
      </c>
      <c r="I352" s="3" t="s">
        <v>2367</v>
      </c>
      <c r="J352" s="3" t="s">
        <v>2141</v>
      </c>
      <c r="K352" s="3" t="s">
        <v>2668</v>
      </c>
      <c r="L352" s="3" t="s">
        <v>83</v>
      </c>
      <c r="M352" s="3" t="s">
        <v>60</v>
      </c>
      <c r="N352" s="3"/>
      <c r="O352" s="3"/>
      <c r="P352" s="3" t="s">
        <v>2369</v>
      </c>
      <c r="Q352" s="3" t="s">
        <v>3523</v>
      </c>
      <c r="R352" s="3" t="s">
        <v>87</v>
      </c>
      <c r="S352" s="4">
        <v>44099</v>
      </c>
      <c r="T352" s="4">
        <v>44099</v>
      </c>
      <c r="U352" s="4">
        <v>44099</v>
      </c>
      <c r="V352" s="4">
        <v>44107</v>
      </c>
      <c r="W352" s="4">
        <v>44103</v>
      </c>
      <c r="X352" s="4">
        <v>44109</v>
      </c>
      <c r="Y352" s="3" t="s">
        <v>2411</v>
      </c>
      <c r="Z352" s="3" t="s">
        <v>2411</v>
      </c>
      <c r="AA352" s="3" t="s">
        <v>2411</v>
      </c>
      <c r="AB352" s="3" t="s">
        <v>67</v>
      </c>
      <c r="AC352" s="3" t="s">
        <v>67</v>
      </c>
      <c r="AD352" s="3" t="s">
        <v>67</v>
      </c>
      <c r="AE352" s="3"/>
      <c r="AF352" s="3" t="s">
        <v>2179</v>
      </c>
      <c r="AG352" s="3" t="s">
        <v>2180</v>
      </c>
      <c r="AH352" s="3" t="s">
        <v>2179</v>
      </c>
      <c r="AI352" s="3" t="s">
        <v>73</v>
      </c>
      <c r="AJ352" s="3">
        <v>0</v>
      </c>
      <c r="AK352" s="3">
        <v>0</v>
      </c>
      <c r="AL352" s="3">
        <v>0</v>
      </c>
      <c r="AM352" s="3">
        <v>0</v>
      </c>
      <c r="AN352" s="3">
        <v>6</v>
      </c>
      <c r="AO352" s="3">
        <v>908</v>
      </c>
      <c r="AP352" s="3">
        <v>8.1479999999999997</v>
      </c>
      <c r="AQ352" s="3" t="s">
        <v>713</v>
      </c>
      <c r="AR352" s="3" t="s">
        <v>714</v>
      </c>
      <c r="AS352" s="3" t="s">
        <v>713</v>
      </c>
      <c r="AT352" s="4">
        <v>44125</v>
      </c>
      <c r="AU352" s="3" t="s">
        <v>3385</v>
      </c>
      <c r="AV352" s="3">
        <v>37</v>
      </c>
      <c r="AW352" s="3" t="s">
        <v>968</v>
      </c>
    </row>
    <row r="353" spans="1:49" x14ac:dyDescent="0.55000000000000004">
      <c r="A353" s="3" t="str">
        <f>HYPERLINK("https://www.infodis.net/philips/net/Shipment/Details?InfodisNumber=4523868&amp;DomainCode=DAP", "4523868")</f>
        <v>4523868</v>
      </c>
      <c r="B353" s="3" t="s">
        <v>3524</v>
      </c>
      <c r="C353" s="3" t="s">
        <v>2173</v>
      </c>
      <c r="D353" s="3" t="s">
        <v>2174</v>
      </c>
      <c r="E353" s="3" t="s">
        <v>2173</v>
      </c>
      <c r="F353" s="3" t="s">
        <v>77</v>
      </c>
      <c r="G353" s="3" t="s">
        <v>2175</v>
      </c>
      <c r="H353" s="3" t="s">
        <v>1051</v>
      </c>
      <c r="I353" s="3" t="s">
        <v>2176</v>
      </c>
      <c r="J353" s="3" t="s">
        <v>2141</v>
      </c>
      <c r="K353" s="3" t="s">
        <v>82</v>
      </c>
      <c r="L353" s="3" t="s">
        <v>83</v>
      </c>
      <c r="M353" s="3" t="s">
        <v>84</v>
      </c>
      <c r="N353" s="3"/>
      <c r="O353" s="3"/>
      <c r="P353" s="3" t="s">
        <v>2177</v>
      </c>
      <c r="Q353" s="3"/>
      <c r="R353" s="3" t="s">
        <v>87</v>
      </c>
      <c r="S353" s="4">
        <v>44102</v>
      </c>
      <c r="T353" s="4">
        <v>44103</v>
      </c>
      <c r="U353" s="3"/>
      <c r="V353" s="4">
        <v>44106</v>
      </c>
      <c r="W353" s="3"/>
      <c r="X353" s="3"/>
      <c r="Y353" s="3" t="s">
        <v>2411</v>
      </c>
      <c r="Z353" s="3" t="s">
        <v>2411</v>
      </c>
      <c r="AA353" s="3" t="s">
        <v>2411</v>
      </c>
      <c r="AB353" s="3" t="s">
        <v>67</v>
      </c>
      <c r="AC353" s="3" t="s">
        <v>67</v>
      </c>
      <c r="AD353" s="3" t="s">
        <v>67</v>
      </c>
      <c r="AE353" s="3"/>
      <c r="AF353" s="3" t="s">
        <v>2179</v>
      </c>
      <c r="AG353" s="3" t="s">
        <v>2180</v>
      </c>
      <c r="AH353" s="3" t="s">
        <v>2179</v>
      </c>
      <c r="AI353" s="3" t="s">
        <v>73</v>
      </c>
      <c r="AJ353" s="3">
        <v>0</v>
      </c>
      <c r="AK353" s="3">
        <v>0</v>
      </c>
      <c r="AL353" s="3">
        <v>0</v>
      </c>
      <c r="AM353" s="3">
        <v>0</v>
      </c>
      <c r="AN353" s="3">
        <v>1</v>
      </c>
      <c r="AO353" s="3">
        <v>149</v>
      </c>
      <c r="AP353" s="3">
        <v>0.16800000000000001</v>
      </c>
      <c r="AQ353" s="3" t="s">
        <v>713</v>
      </c>
      <c r="AR353" s="3" t="s">
        <v>714</v>
      </c>
      <c r="AS353" s="3" t="s">
        <v>713</v>
      </c>
      <c r="AT353" s="4">
        <v>44125</v>
      </c>
      <c r="AU353" s="3" t="s">
        <v>3382</v>
      </c>
      <c r="AV353" s="3">
        <v>37</v>
      </c>
      <c r="AW353" s="3" t="s">
        <v>1060</v>
      </c>
    </row>
    <row r="354" spans="1:49" x14ac:dyDescent="0.55000000000000004">
      <c r="A354" s="3" t="str">
        <f>HYPERLINK("https://www.infodis.net/philips/net/Shipment/Details?InfodisNumber=4524446&amp;DomainCode=DAP", "4524446")</f>
        <v>4524446</v>
      </c>
      <c r="B354" s="3" t="s">
        <v>3525</v>
      </c>
      <c r="C354" s="3" t="s">
        <v>3392</v>
      </c>
      <c r="D354" s="3" t="s">
        <v>3393</v>
      </c>
      <c r="E354" s="3" t="s">
        <v>3392</v>
      </c>
      <c r="F354" s="3" t="s">
        <v>167</v>
      </c>
      <c r="G354" s="3" t="s">
        <v>3394</v>
      </c>
      <c r="H354" s="3" t="s">
        <v>180</v>
      </c>
      <c r="I354" s="3" t="s">
        <v>2057</v>
      </c>
      <c r="J354" s="3" t="s">
        <v>2405</v>
      </c>
      <c r="K354" s="3" t="s">
        <v>1125</v>
      </c>
      <c r="L354" s="3" t="s">
        <v>172</v>
      </c>
      <c r="M354" s="3" t="s">
        <v>84</v>
      </c>
      <c r="N354" s="3"/>
      <c r="O354" s="3"/>
      <c r="P354" s="3" t="s">
        <v>3395</v>
      </c>
      <c r="Q354" s="3"/>
      <c r="R354" s="3" t="s">
        <v>1128</v>
      </c>
      <c r="S354" s="4">
        <v>44102</v>
      </c>
      <c r="T354" s="4">
        <v>44103</v>
      </c>
      <c r="U354" s="4">
        <v>44102</v>
      </c>
      <c r="V354" s="4">
        <v>44106</v>
      </c>
      <c r="W354" s="4">
        <v>44104</v>
      </c>
      <c r="X354" s="4">
        <v>44112</v>
      </c>
      <c r="Y354" s="3" t="s">
        <v>2411</v>
      </c>
      <c r="Z354" s="3" t="s">
        <v>2411</v>
      </c>
      <c r="AA354" s="3" t="s">
        <v>2411</v>
      </c>
      <c r="AB354" s="3" t="s">
        <v>67</v>
      </c>
      <c r="AC354" s="3" t="s">
        <v>67</v>
      </c>
      <c r="AD354" s="3" t="s">
        <v>67</v>
      </c>
      <c r="AE354" s="3"/>
      <c r="AF354" s="3" t="s">
        <v>2179</v>
      </c>
      <c r="AG354" s="3" t="s">
        <v>2180</v>
      </c>
      <c r="AH354" s="3" t="s">
        <v>2179</v>
      </c>
      <c r="AI354" s="3" t="s">
        <v>73</v>
      </c>
      <c r="AJ354" s="3">
        <v>0</v>
      </c>
      <c r="AK354" s="3">
        <v>0</v>
      </c>
      <c r="AL354" s="3">
        <v>0</v>
      </c>
      <c r="AM354" s="3">
        <v>0</v>
      </c>
      <c r="AN354" s="3">
        <v>1</v>
      </c>
      <c r="AO354" s="3">
        <v>83.01</v>
      </c>
      <c r="AP354" s="3">
        <v>0.25600000000000001</v>
      </c>
      <c r="AQ354" s="3" t="s">
        <v>713</v>
      </c>
      <c r="AR354" s="3" t="s">
        <v>714</v>
      </c>
      <c r="AS354" s="3" t="s">
        <v>713</v>
      </c>
      <c r="AT354" s="4">
        <v>44124</v>
      </c>
      <c r="AU354" s="3" t="s">
        <v>3397</v>
      </c>
      <c r="AV354" s="3">
        <v>38</v>
      </c>
      <c r="AW354" s="3" t="s">
        <v>3398</v>
      </c>
    </row>
    <row r="355" spans="1:49" x14ac:dyDescent="0.55000000000000004">
      <c r="A355" s="3" t="str">
        <f>HYPERLINK("https://www.infodis.net/philips/net/Shipment/Details?InfodisNumber=6929821&amp;DomainCode=PHILIPSR1", "6929821")</f>
        <v>6929821</v>
      </c>
      <c r="B355" s="3" t="s">
        <v>3526</v>
      </c>
      <c r="C355" s="3" t="s">
        <v>2471</v>
      </c>
      <c r="D355" s="3" t="s">
        <v>2472</v>
      </c>
      <c r="E355" s="3" t="s">
        <v>458</v>
      </c>
      <c r="F355" s="3" t="s">
        <v>2473</v>
      </c>
      <c r="G355" s="3" t="s">
        <v>2429</v>
      </c>
      <c r="H355" s="3" t="s">
        <v>180</v>
      </c>
      <c r="I355" s="3" t="s">
        <v>652</v>
      </c>
      <c r="J355" s="3" t="s">
        <v>2396</v>
      </c>
      <c r="K355" s="3" t="s">
        <v>433</v>
      </c>
      <c r="L355" s="3" t="s">
        <v>79</v>
      </c>
      <c r="M355" s="3" t="s">
        <v>60</v>
      </c>
      <c r="N355" s="3"/>
      <c r="O355" s="3"/>
      <c r="P355" s="3" t="s">
        <v>613</v>
      </c>
      <c r="Q355" s="3" t="s">
        <v>3527</v>
      </c>
      <c r="R355" s="3" t="s">
        <v>2475</v>
      </c>
      <c r="S355" s="4">
        <v>44131</v>
      </c>
      <c r="T355" s="4">
        <v>44132</v>
      </c>
      <c r="U355" s="4">
        <v>44131</v>
      </c>
      <c r="V355" s="4">
        <v>44135</v>
      </c>
      <c r="W355" s="4">
        <v>44132</v>
      </c>
      <c r="X355" s="4">
        <v>44144</v>
      </c>
      <c r="Y355" s="3" t="s">
        <v>2476</v>
      </c>
      <c r="Z355" s="3" t="s">
        <v>2476</v>
      </c>
      <c r="AA355" s="3" t="s">
        <v>2476</v>
      </c>
      <c r="AB355" s="3" t="s">
        <v>67</v>
      </c>
      <c r="AC355" s="3" t="s">
        <v>67</v>
      </c>
      <c r="AD355" s="3" t="s">
        <v>67</v>
      </c>
      <c r="AE355" s="3"/>
      <c r="AF355" s="3" t="s">
        <v>2179</v>
      </c>
      <c r="AG355" s="3" t="s">
        <v>2180</v>
      </c>
      <c r="AH355" s="3" t="s">
        <v>2179</v>
      </c>
      <c r="AI355" s="3" t="s">
        <v>252</v>
      </c>
      <c r="AJ355" s="3">
        <v>0</v>
      </c>
      <c r="AK355" s="3">
        <v>0</v>
      </c>
      <c r="AL355" s="3">
        <v>0</v>
      </c>
      <c r="AM355" s="3">
        <v>0</v>
      </c>
      <c r="AN355" s="3">
        <v>2</v>
      </c>
      <c r="AO355" s="3">
        <v>133.36000000000001</v>
      </c>
      <c r="AP355" s="3">
        <v>1.804</v>
      </c>
      <c r="AQ355" s="3" t="s">
        <v>713</v>
      </c>
      <c r="AR355" s="3" t="s">
        <v>714</v>
      </c>
      <c r="AS355" s="3" t="s">
        <v>713</v>
      </c>
      <c r="AT355" s="4">
        <v>44147</v>
      </c>
      <c r="AU355" s="3" t="s">
        <v>3445</v>
      </c>
      <c r="AV355" s="3">
        <v>15</v>
      </c>
      <c r="AW355" s="3" t="s">
        <v>3446</v>
      </c>
    </row>
    <row r="356" spans="1:49" x14ac:dyDescent="0.55000000000000004">
      <c r="A356" s="3" t="str">
        <f>HYPERLINK("https://www.infodis.net/philips/net/Shipment/Details?InfodisNumber=6930356&amp;DomainCode=PHILIPSR1", "6930356")</f>
        <v>6930356</v>
      </c>
      <c r="B356" s="3" t="s">
        <v>3528</v>
      </c>
      <c r="C356" s="3" t="s">
        <v>2471</v>
      </c>
      <c r="D356" s="3" t="s">
        <v>2472</v>
      </c>
      <c r="E356" s="3" t="s">
        <v>458</v>
      </c>
      <c r="F356" s="3" t="s">
        <v>2473</v>
      </c>
      <c r="G356" s="3" t="s">
        <v>2429</v>
      </c>
      <c r="H356" s="3" t="s">
        <v>180</v>
      </c>
      <c r="I356" s="3" t="s">
        <v>652</v>
      </c>
      <c r="J356" s="3" t="s">
        <v>2396</v>
      </c>
      <c r="K356" s="3" t="s">
        <v>433</v>
      </c>
      <c r="L356" s="3" t="s">
        <v>79</v>
      </c>
      <c r="M356" s="3" t="s">
        <v>60</v>
      </c>
      <c r="N356" s="3"/>
      <c r="O356" s="3"/>
      <c r="P356" s="3" t="s">
        <v>613</v>
      </c>
      <c r="Q356" s="3" t="s">
        <v>3529</v>
      </c>
      <c r="R356" s="3" t="s">
        <v>2475</v>
      </c>
      <c r="S356" s="4">
        <v>44131</v>
      </c>
      <c r="T356" s="4">
        <v>44132</v>
      </c>
      <c r="U356" s="4">
        <v>44131</v>
      </c>
      <c r="V356" s="4">
        <v>44135</v>
      </c>
      <c r="W356" s="4">
        <v>44134</v>
      </c>
      <c r="X356" s="4">
        <v>44139</v>
      </c>
      <c r="Y356" s="3" t="s">
        <v>2476</v>
      </c>
      <c r="Z356" s="3" t="s">
        <v>2476</v>
      </c>
      <c r="AA356" s="3" t="s">
        <v>2476</v>
      </c>
      <c r="AB356" s="3" t="s">
        <v>67</v>
      </c>
      <c r="AC356" s="3" t="s">
        <v>67</v>
      </c>
      <c r="AD356" s="3" t="s">
        <v>67</v>
      </c>
      <c r="AE356" s="3"/>
      <c r="AF356" s="3" t="s">
        <v>2179</v>
      </c>
      <c r="AG356" s="3" t="s">
        <v>2180</v>
      </c>
      <c r="AH356" s="3" t="s">
        <v>2179</v>
      </c>
      <c r="AI356" s="3" t="s">
        <v>252</v>
      </c>
      <c r="AJ356" s="3">
        <v>0</v>
      </c>
      <c r="AK356" s="3">
        <v>0</v>
      </c>
      <c r="AL356" s="3">
        <v>0</v>
      </c>
      <c r="AM356" s="3">
        <v>0</v>
      </c>
      <c r="AN356" s="3">
        <v>6</v>
      </c>
      <c r="AO356" s="3">
        <v>624.14</v>
      </c>
      <c r="AP356" s="3">
        <v>10.257</v>
      </c>
      <c r="AQ356" s="3" t="s">
        <v>713</v>
      </c>
      <c r="AR356" s="3" t="s">
        <v>714</v>
      </c>
      <c r="AS356" s="3" t="s">
        <v>713</v>
      </c>
      <c r="AT356" s="4">
        <v>44147</v>
      </c>
      <c r="AU356" s="3" t="s">
        <v>3445</v>
      </c>
      <c r="AV356" s="3">
        <v>15</v>
      </c>
      <c r="AW356" s="3" t="s">
        <v>3446</v>
      </c>
    </row>
    <row r="357" spans="1:49" x14ac:dyDescent="0.55000000000000004">
      <c r="A357" s="3" t="str">
        <f>HYPERLINK("https://www.infodis.net/philips/net/Shipment/Details?InfodisNumber=6930638&amp;DomainCode=PHILIPSR1", "6930638")</f>
        <v>6930638</v>
      </c>
      <c r="B357" s="3" t="s">
        <v>3530</v>
      </c>
      <c r="C357" s="3" t="s">
        <v>2471</v>
      </c>
      <c r="D357" s="3" t="s">
        <v>2472</v>
      </c>
      <c r="E357" s="3" t="s">
        <v>458</v>
      </c>
      <c r="F357" s="3" t="s">
        <v>2473</v>
      </c>
      <c r="G357" s="3" t="s">
        <v>2429</v>
      </c>
      <c r="H357" s="3" t="s">
        <v>180</v>
      </c>
      <c r="I357" s="3" t="s">
        <v>652</v>
      </c>
      <c r="J357" s="3" t="s">
        <v>2396</v>
      </c>
      <c r="K357" s="3" t="s">
        <v>433</v>
      </c>
      <c r="L357" s="3" t="s">
        <v>79</v>
      </c>
      <c r="M357" s="3" t="s">
        <v>60</v>
      </c>
      <c r="N357" s="3"/>
      <c r="O357" s="3"/>
      <c r="P357" s="3" t="s">
        <v>613</v>
      </c>
      <c r="Q357" s="3" t="s">
        <v>3531</v>
      </c>
      <c r="R357" s="3" t="s">
        <v>2475</v>
      </c>
      <c r="S357" s="4">
        <v>44131</v>
      </c>
      <c r="T357" s="4">
        <v>44132</v>
      </c>
      <c r="U357" s="4">
        <v>44131</v>
      </c>
      <c r="V357" s="4">
        <v>44135</v>
      </c>
      <c r="W357" s="4">
        <v>44132</v>
      </c>
      <c r="X357" s="4">
        <v>44144</v>
      </c>
      <c r="Y357" s="3" t="s">
        <v>2476</v>
      </c>
      <c r="Z357" s="3" t="s">
        <v>2476</v>
      </c>
      <c r="AA357" s="3" t="s">
        <v>2476</v>
      </c>
      <c r="AB357" s="3" t="s">
        <v>67</v>
      </c>
      <c r="AC357" s="3" t="s">
        <v>67</v>
      </c>
      <c r="AD357" s="3" t="s">
        <v>67</v>
      </c>
      <c r="AE357" s="3"/>
      <c r="AF357" s="3" t="s">
        <v>2179</v>
      </c>
      <c r="AG357" s="3" t="s">
        <v>2180</v>
      </c>
      <c r="AH357" s="3" t="s">
        <v>2179</v>
      </c>
      <c r="AI357" s="3" t="s">
        <v>252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5.44</v>
      </c>
      <c r="AP357" s="3">
        <v>8.8000000000000009E-2</v>
      </c>
      <c r="AQ357" s="3" t="s">
        <v>713</v>
      </c>
      <c r="AR357" s="3" t="s">
        <v>714</v>
      </c>
      <c r="AS357" s="3" t="s">
        <v>713</v>
      </c>
      <c r="AT357" s="4">
        <v>44147</v>
      </c>
      <c r="AU357" s="3" t="s">
        <v>3445</v>
      </c>
      <c r="AV357" s="3">
        <v>15</v>
      </c>
      <c r="AW357" s="3" t="s">
        <v>3446</v>
      </c>
    </row>
    <row r="358" spans="1:49" x14ac:dyDescent="0.55000000000000004">
      <c r="A358" s="3" t="str">
        <f>HYPERLINK("https://www.infodis.net/philips/net/Shipment/Details?InfodisNumber=6930676&amp;DomainCode=PHILIPSR1", "6930676")</f>
        <v>6930676</v>
      </c>
      <c r="B358" s="3" t="s">
        <v>3532</v>
      </c>
      <c r="C358" s="3" t="s">
        <v>2471</v>
      </c>
      <c r="D358" s="3" t="s">
        <v>2472</v>
      </c>
      <c r="E358" s="3" t="s">
        <v>458</v>
      </c>
      <c r="F358" s="3" t="s">
        <v>2473</v>
      </c>
      <c r="G358" s="3" t="s">
        <v>2429</v>
      </c>
      <c r="H358" s="3" t="s">
        <v>180</v>
      </c>
      <c r="I358" s="3" t="s">
        <v>652</v>
      </c>
      <c r="J358" s="3" t="s">
        <v>2396</v>
      </c>
      <c r="K358" s="3" t="s">
        <v>433</v>
      </c>
      <c r="L358" s="3" t="s">
        <v>79</v>
      </c>
      <c r="M358" s="3" t="s">
        <v>60</v>
      </c>
      <c r="N358" s="3"/>
      <c r="O358" s="3"/>
      <c r="P358" s="3" t="s">
        <v>613</v>
      </c>
      <c r="Q358" s="3" t="s">
        <v>3533</v>
      </c>
      <c r="R358" s="3" t="s">
        <v>2475</v>
      </c>
      <c r="S358" s="4">
        <v>44131</v>
      </c>
      <c r="T358" s="4">
        <v>44132</v>
      </c>
      <c r="U358" s="4">
        <v>44131</v>
      </c>
      <c r="V358" s="4">
        <v>44135</v>
      </c>
      <c r="W358" s="4">
        <v>44132</v>
      </c>
      <c r="X358" s="4">
        <v>44141</v>
      </c>
      <c r="Y358" s="3" t="s">
        <v>2476</v>
      </c>
      <c r="Z358" s="3" t="s">
        <v>2476</v>
      </c>
      <c r="AA358" s="3" t="s">
        <v>2476</v>
      </c>
      <c r="AB358" s="3" t="s">
        <v>67</v>
      </c>
      <c r="AC358" s="3" t="s">
        <v>67</v>
      </c>
      <c r="AD358" s="3" t="s">
        <v>67</v>
      </c>
      <c r="AE358" s="3"/>
      <c r="AF358" s="3" t="s">
        <v>2179</v>
      </c>
      <c r="AG358" s="3" t="s">
        <v>2180</v>
      </c>
      <c r="AH358" s="3" t="s">
        <v>2179</v>
      </c>
      <c r="AI358" s="3" t="s">
        <v>252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8.16</v>
      </c>
      <c r="AP358" s="3">
        <v>8.900000000000001E-2</v>
      </c>
      <c r="AQ358" s="3" t="s">
        <v>713</v>
      </c>
      <c r="AR358" s="3" t="s">
        <v>714</v>
      </c>
      <c r="AS358" s="3" t="s">
        <v>713</v>
      </c>
      <c r="AT358" s="4">
        <v>44147</v>
      </c>
      <c r="AU358" s="3" t="s">
        <v>3445</v>
      </c>
      <c r="AV358" s="3">
        <v>15</v>
      </c>
      <c r="AW358" s="3" t="s">
        <v>3446</v>
      </c>
    </row>
    <row r="359" spans="1:49" x14ac:dyDescent="0.55000000000000004">
      <c r="A359" s="3" t="str">
        <f>HYPERLINK("https://www.infodis.net/philips/net/Shipment/Details?InfodisNumber=6932827&amp;DomainCode=PHILIPSR1", "6932827")</f>
        <v>6932827</v>
      </c>
      <c r="B359" s="3" t="s">
        <v>3534</v>
      </c>
      <c r="C359" s="3" t="s">
        <v>2471</v>
      </c>
      <c r="D359" s="3" t="s">
        <v>2472</v>
      </c>
      <c r="E359" s="3" t="s">
        <v>458</v>
      </c>
      <c r="F359" s="3" t="s">
        <v>2473</v>
      </c>
      <c r="G359" s="3" t="s">
        <v>2429</v>
      </c>
      <c r="H359" s="3" t="s">
        <v>180</v>
      </c>
      <c r="I359" s="3" t="s">
        <v>652</v>
      </c>
      <c r="J359" s="3" t="s">
        <v>2396</v>
      </c>
      <c r="K359" s="3" t="s">
        <v>433</v>
      </c>
      <c r="L359" s="3" t="s">
        <v>79</v>
      </c>
      <c r="M359" s="3" t="s">
        <v>60</v>
      </c>
      <c r="N359" s="3"/>
      <c r="O359" s="3"/>
      <c r="P359" s="3" t="s">
        <v>613</v>
      </c>
      <c r="Q359" s="3" t="s">
        <v>3535</v>
      </c>
      <c r="R359" s="3" t="s">
        <v>2475</v>
      </c>
      <c r="S359" s="4">
        <v>44132</v>
      </c>
      <c r="T359" s="4">
        <v>44133</v>
      </c>
      <c r="U359" s="4">
        <v>44132</v>
      </c>
      <c r="V359" s="4">
        <v>44136</v>
      </c>
      <c r="W359" s="4">
        <v>44134</v>
      </c>
      <c r="X359" s="4">
        <v>44138</v>
      </c>
      <c r="Y359" s="3" t="s">
        <v>2476</v>
      </c>
      <c r="Z359" s="3" t="s">
        <v>2476</v>
      </c>
      <c r="AA359" s="3" t="s">
        <v>2476</v>
      </c>
      <c r="AB359" s="3" t="s">
        <v>67</v>
      </c>
      <c r="AC359" s="3" t="s">
        <v>67</v>
      </c>
      <c r="AD359" s="3" t="s">
        <v>67</v>
      </c>
      <c r="AE359" s="3"/>
      <c r="AF359" s="3" t="s">
        <v>2179</v>
      </c>
      <c r="AG359" s="3" t="s">
        <v>2180</v>
      </c>
      <c r="AH359" s="3" t="s">
        <v>2179</v>
      </c>
      <c r="AI359" s="3" t="s">
        <v>252</v>
      </c>
      <c r="AJ359" s="3">
        <v>0</v>
      </c>
      <c r="AK359" s="3">
        <v>0</v>
      </c>
      <c r="AL359" s="3">
        <v>0</v>
      </c>
      <c r="AM359" s="3">
        <v>0</v>
      </c>
      <c r="AN359" s="3">
        <v>3</v>
      </c>
      <c r="AO359" s="3">
        <v>418.67</v>
      </c>
      <c r="AP359" s="3">
        <v>4.625</v>
      </c>
      <c r="AQ359" s="3" t="s">
        <v>713</v>
      </c>
      <c r="AR359" s="3" t="s">
        <v>714</v>
      </c>
      <c r="AS359" s="3" t="s">
        <v>713</v>
      </c>
      <c r="AT359" s="4">
        <v>44147</v>
      </c>
      <c r="AU359" s="3" t="s">
        <v>3445</v>
      </c>
      <c r="AV359" s="3">
        <v>15</v>
      </c>
      <c r="AW359" s="3" t="s">
        <v>3446</v>
      </c>
    </row>
    <row r="360" spans="1:49" x14ac:dyDescent="0.55000000000000004">
      <c r="A360" s="3" t="str">
        <f>HYPERLINK("https://www.infodis.net/philips/net/Shipment/Details?InfodisNumber=6947241&amp;DomainCode=PHILIPSR1", "6947241")</f>
        <v>6947241</v>
      </c>
      <c r="B360" s="3" t="s">
        <v>3536</v>
      </c>
      <c r="C360" s="3" t="s">
        <v>2471</v>
      </c>
      <c r="D360" s="3" t="s">
        <v>2472</v>
      </c>
      <c r="E360" s="3" t="s">
        <v>458</v>
      </c>
      <c r="F360" s="3" t="s">
        <v>2473</v>
      </c>
      <c r="G360" s="3" t="s">
        <v>2429</v>
      </c>
      <c r="H360" s="3" t="s">
        <v>180</v>
      </c>
      <c r="I360" s="3" t="s">
        <v>652</v>
      </c>
      <c r="J360" s="3" t="s">
        <v>2396</v>
      </c>
      <c r="K360" s="3" t="s">
        <v>433</v>
      </c>
      <c r="L360" s="3" t="s">
        <v>79</v>
      </c>
      <c r="M360" s="3" t="s">
        <v>60</v>
      </c>
      <c r="N360" s="3"/>
      <c r="O360" s="3"/>
      <c r="P360" s="3" t="s">
        <v>613</v>
      </c>
      <c r="Q360" s="3" t="s">
        <v>3537</v>
      </c>
      <c r="R360" s="3" t="s">
        <v>2475</v>
      </c>
      <c r="S360" s="4">
        <v>44138</v>
      </c>
      <c r="T360" s="4">
        <v>44139</v>
      </c>
      <c r="U360" s="4">
        <v>44138</v>
      </c>
      <c r="V360" s="4">
        <v>44142</v>
      </c>
      <c r="W360" s="4">
        <v>44139</v>
      </c>
      <c r="X360" s="3"/>
      <c r="Y360" s="3" t="s">
        <v>2476</v>
      </c>
      <c r="Z360" s="3" t="s">
        <v>2476</v>
      </c>
      <c r="AA360" s="3" t="s">
        <v>2476</v>
      </c>
      <c r="AB360" s="3" t="s">
        <v>67</v>
      </c>
      <c r="AC360" s="3" t="s">
        <v>67</v>
      </c>
      <c r="AD360" s="3" t="s">
        <v>67</v>
      </c>
      <c r="AE360" s="3"/>
      <c r="AF360" s="3" t="s">
        <v>2179</v>
      </c>
      <c r="AG360" s="3" t="s">
        <v>2180</v>
      </c>
      <c r="AH360" s="3" t="s">
        <v>2179</v>
      </c>
      <c r="AI360" s="3" t="s">
        <v>252</v>
      </c>
      <c r="AJ360" s="3">
        <v>0</v>
      </c>
      <c r="AK360" s="3">
        <v>0</v>
      </c>
      <c r="AL360" s="3">
        <v>0</v>
      </c>
      <c r="AM360" s="3">
        <v>0</v>
      </c>
      <c r="AN360" s="3">
        <v>5</v>
      </c>
      <c r="AO360" s="3">
        <v>607.36</v>
      </c>
      <c r="AP360" s="3">
        <v>9.282</v>
      </c>
      <c r="AQ360" s="3" t="s">
        <v>713</v>
      </c>
      <c r="AR360" s="3" t="s">
        <v>714</v>
      </c>
      <c r="AS360" s="3" t="s">
        <v>713</v>
      </c>
      <c r="AT360" s="4">
        <v>44147</v>
      </c>
      <c r="AU360" s="3" t="s">
        <v>3445</v>
      </c>
      <c r="AV360" s="3">
        <v>15</v>
      </c>
      <c r="AW360" s="3" t="s">
        <v>3446</v>
      </c>
    </row>
    <row r="361" spans="1:49" x14ac:dyDescent="0.55000000000000004">
      <c r="A361" s="3" t="str">
        <f>HYPERLINK("https://www.infodis.net/philips/net/Shipment/Details?InfodisNumber=6914295&amp;DomainCode=PHILIPSR1", "6914295")</f>
        <v>6914295</v>
      </c>
      <c r="B361" s="3" t="s">
        <v>3538</v>
      </c>
      <c r="C361" s="3" t="s">
        <v>2471</v>
      </c>
      <c r="D361" s="3" t="s">
        <v>2472</v>
      </c>
      <c r="E361" s="3" t="s">
        <v>458</v>
      </c>
      <c r="F361" s="3" t="s">
        <v>2473</v>
      </c>
      <c r="G361" s="3" t="s">
        <v>2429</v>
      </c>
      <c r="H361" s="3" t="s">
        <v>180</v>
      </c>
      <c r="I361" s="3" t="s">
        <v>652</v>
      </c>
      <c r="J361" s="3" t="s">
        <v>2396</v>
      </c>
      <c r="K361" s="3" t="s">
        <v>433</v>
      </c>
      <c r="L361" s="3" t="s">
        <v>79</v>
      </c>
      <c r="M361" s="3" t="s">
        <v>60</v>
      </c>
      <c r="N361" s="3"/>
      <c r="O361" s="3"/>
      <c r="P361" s="3" t="s">
        <v>613</v>
      </c>
      <c r="Q361" s="3" t="s">
        <v>3539</v>
      </c>
      <c r="R361" s="3" t="s">
        <v>2475</v>
      </c>
      <c r="S361" s="4">
        <v>44125</v>
      </c>
      <c r="T361" s="4">
        <v>44126</v>
      </c>
      <c r="U361" s="4">
        <v>44125</v>
      </c>
      <c r="V361" s="4">
        <v>44129</v>
      </c>
      <c r="W361" s="4">
        <v>44128</v>
      </c>
      <c r="X361" s="4">
        <v>44133</v>
      </c>
      <c r="Y361" s="3" t="s">
        <v>2476</v>
      </c>
      <c r="Z361" s="3" t="s">
        <v>2476</v>
      </c>
      <c r="AA361" s="3" t="s">
        <v>2476</v>
      </c>
      <c r="AB361" s="3" t="s">
        <v>67</v>
      </c>
      <c r="AC361" s="3" t="s">
        <v>67</v>
      </c>
      <c r="AD361" s="3" t="s">
        <v>67</v>
      </c>
      <c r="AE361" s="3"/>
      <c r="AF361" s="3" t="s">
        <v>2179</v>
      </c>
      <c r="AG361" s="3" t="s">
        <v>2180</v>
      </c>
      <c r="AH361" s="3" t="s">
        <v>2179</v>
      </c>
      <c r="AI361" s="3" t="s">
        <v>252</v>
      </c>
      <c r="AJ361" s="3">
        <v>0</v>
      </c>
      <c r="AK361" s="3">
        <v>0</v>
      </c>
      <c r="AL361" s="3">
        <v>0</v>
      </c>
      <c r="AM361" s="3">
        <v>0</v>
      </c>
      <c r="AN361" s="3">
        <v>3</v>
      </c>
      <c r="AO361" s="3">
        <v>416.4</v>
      </c>
      <c r="AP361" s="3">
        <v>4.8449999999999998</v>
      </c>
      <c r="AQ361" s="3" t="s">
        <v>713</v>
      </c>
      <c r="AR361" s="3" t="s">
        <v>714</v>
      </c>
      <c r="AS361" s="3" t="s">
        <v>713</v>
      </c>
      <c r="AT361" s="4">
        <v>44147</v>
      </c>
      <c r="AU361" s="3" t="s">
        <v>3445</v>
      </c>
      <c r="AV361" s="3">
        <v>15</v>
      </c>
      <c r="AW361" s="3" t="s">
        <v>3446</v>
      </c>
    </row>
    <row r="362" spans="1:49" x14ac:dyDescent="0.55000000000000004">
      <c r="A362" s="3" t="str">
        <f>HYPERLINK("https://www.infodis.net/philips/net/Shipment/Details?InfodisNumber=4549419&amp;DomainCode=DAP", "4549419")</f>
        <v>4549419</v>
      </c>
      <c r="B362" s="3" t="s">
        <v>3540</v>
      </c>
      <c r="C362" s="3" t="s">
        <v>585</v>
      </c>
      <c r="D362" s="3" t="s">
        <v>586</v>
      </c>
      <c r="E362" s="3" t="s">
        <v>393</v>
      </c>
      <c r="F362" s="3" t="s">
        <v>3541</v>
      </c>
      <c r="G362" s="3" t="s">
        <v>394</v>
      </c>
      <c r="H362" s="3" t="s">
        <v>79</v>
      </c>
      <c r="I362" s="3" t="s">
        <v>587</v>
      </c>
      <c r="J362" s="3" t="s">
        <v>786</v>
      </c>
      <c r="K362" s="3" t="s">
        <v>425</v>
      </c>
      <c r="L362" s="3" t="s">
        <v>307</v>
      </c>
      <c r="M362" s="3" t="s">
        <v>60</v>
      </c>
      <c r="N362" s="3"/>
      <c r="O362" s="3"/>
      <c r="P362" s="3" t="s">
        <v>398</v>
      </c>
      <c r="Q362" s="3" t="s">
        <v>3542</v>
      </c>
      <c r="R362" s="3" t="s">
        <v>429</v>
      </c>
      <c r="S362" s="4">
        <v>44139</v>
      </c>
      <c r="T362" s="4">
        <v>44141</v>
      </c>
      <c r="U362" s="4">
        <v>44141</v>
      </c>
      <c r="V362" s="4">
        <v>44144</v>
      </c>
      <c r="W362" s="4">
        <v>44144</v>
      </c>
      <c r="X362" s="4">
        <v>44147</v>
      </c>
      <c r="Y362" s="3" t="s">
        <v>3291</v>
      </c>
      <c r="Z362" s="3" t="s">
        <v>2051</v>
      </c>
      <c r="AA362" s="3" t="s">
        <v>2051</v>
      </c>
      <c r="AB362" s="3" t="s">
        <v>67</v>
      </c>
      <c r="AC362" s="3" t="s">
        <v>67</v>
      </c>
      <c r="AD362" s="3" t="s">
        <v>67</v>
      </c>
      <c r="AE362" s="3"/>
      <c r="AF362" s="3" t="s">
        <v>2179</v>
      </c>
      <c r="AG362" s="3" t="s">
        <v>2180</v>
      </c>
      <c r="AH362" s="3" t="s">
        <v>2179</v>
      </c>
      <c r="AI362" s="3" t="s">
        <v>73</v>
      </c>
      <c r="AJ362" s="3">
        <v>0</v>
      </c>
      <c r="AK362" s="3">
        <v>0</v>
      </c>
      <c r="AL362" s="3">
        <v>0</v>
      </c>
      <c r="AM362" s="3">
        <v>0</v>
      </c>
      <c r="AN362" s="3">
        <v>7</v>
      </c>
      <c r="AO362" s="3">
        <v>1228</v>
      </c>
      <c r="AP362" s="3">
        <v>6.4979999999999993</v>
      </c>
      <c r="AQ362" s="3" t="s">
        <v>713</v>
      </c>
      <c r="AR362" s="3" t="s">
        <v>714</v>
      </c>
      <c r="AS362" s="3" t="s">
        <v>713</v>
      </c>
      <c r="AT362" s="4">
        <v>44147</v>
      </c>
      <c r="AU362" s="3" t="s">
        <v>3543</v>
      </c>
      <c r="AV362" s="3">
        <v>15</v>
      </c>
      <c r="AW362" s="3" t="s">
        <v>3544</v>
      </c>
    </row>
    <row r="363" spans="1:49" x14ac:dyDescent="0.55000000000000004">
      <c r="A363" s="3" t="str">
        <f>HYPERLINK("https://www.infodis.net/philips/net/Shipment/Details?InfodisNumber=6959119&amp;DomainCode=PHILIPSR1", "6959119")</f>
        <v>6959119</v>
      </c>
      <c r="B363" s="3" t="s">
        <v>3545</v>
      </c>
      <c r="C363" s="3" t="s">
        <v>2426</v>
      </c>
      <c r="D363" s="3" t="s">
        <v>2427</v>
      </c>
      <c r="E363" s="3" t="s">
        <v>458</v>
      </c>
      <c r="F363" s="3" t="s">
        <v>2513</v>
      </c>
      <c r="G363" s="3" t="s">
        <v>2429</v>
      </c>
      <c r="H363" s="3" t="s">
        <v>180</v>
      </c>
      <c r="I363" s="3" t="s">
        <v>652</v>
      </c>
      <c r="J363" s="3" t="s">
        <v>2396</v>
      </c>
      <c r="K363" s="3" t="s">
        <v>433</v>
      </c>
      <c r="L363" s="3" t="s">
        <v>79</v>
      </c>
      <c r="M363" s="3" t="s">
        <v>60</v>
      </c>
      <c r="N363" s="3"/>
      <c r="O363" s="3"/>
      <c r="P363" s="3" t="s">
        <v>613</v>
      </c>
      <c r="Q363" s="3"/>
      <c r="R363" s="3" t="s">
        <v>2475</v>
      </c>
      <c r="S363" s="4">
        <v>44141</v>
      </c>
      <c r="T363" s="4">
        <v>44144</v>
      </c>
      <c r="U363" s="4">
        <v>44141</v>
      </c>
      <c r="V363" s="4">
        <v>44147</v>
      </c>
      <c r="W363" s="4">
        <v>44144</v>
      </c>
      <c r="X363" s="4">
        <v>44151</v>
      </c>
      <c r="Y363" s="3" t="s">
        <v>2476</v>
      </c>
      <c r="Z363" s="3" t="s">
        <v>2476</v>
      </c>
      <c r="AA363" s="3" t="s">
        <v>2476</v>
      </c>
      <c r="AB363" s="3" t="s">
        <v>67</v>
      </c>
      <c r="AC363" s="3" t="s">
        <v>67</v>
      </c>
      <c r="AD363" s="3" t="s">
        <v>67</v>
      </c>
      <c r="AE363" s="3"/>
      <c r="AF363" s="3" t="s">
        <v>2179</v>
      </c>
      <c r="AG363" s="3" t="s">
        <v>2180</v>
      </c>
      <c r="AH363" s="3" t="s">
        <v>2179</v>
      </c>
      <c r="AI363" s="3" t="s">
        <v>252</v>
      </c>
      <c r="AJ363" s="3">
        <v>0</v>
      </c>
      <c r="AK363" s="3">
        <v>0</v>
      </c>
      <c r="AL363" s="3">
        <v>0</v>
      </c>
      <c r="AM363" s="3">
        <v>0</v>
      </c>
      <c r="AN363" s="3">
        <v>10</v>
      </c>
      <c r="AO363" s="3">
        <v>1564.44</v>
      </c>
      <c r="AP363" s="3">
        <v>21.395</v>
      </c>
      <c r="AQ363" s="3" t="s">
        <v>713</v>
      </c>
      <c r="AR363" s="3" t="s">
        <v>714</v>
      </c>
      <c r="AS363" s="3" t="s">
        <v>713</v>
      </c>
      <c r="AT363" s="4">
        <v>44147</v>
      </c>
      <c r="AU363" s="3" t="s">
        <v>3445</v>
      </c>
      <c r="AV363" s="3">
        <v>15</v>
      </c>
      <c r="AW363" s="3" t="s">
        <v>3446</v>
      </c>
    </row>
    <row r="364" spans="1:49" x14ac:dyDescent="0.55000000000000004">
      <c r="A364" s="3" t="str">
        <f>HYPERLINK("https://www.infodis.net/philips/net/Shipment/Details?InfodisNumber=6961203&amp;DomainCode=PHILIPSR1", "6961203")</f>
        <v>6961203</v>
      </c>
      <c r="B364" s="3" t="s">
        <v>3546</v>
      </c>
      <c r="C364" s="3" t="s">
        <v>2471</v>
      </c>
      <c r="D364" s="3" t="s">
        <v>2472</v>
      </c>
      <c r="E364" s="3" t="s">
        <v>458</v>
      </c>
      <c r="F364" s="3" t="s">
        <v>2473</v>
      </c>
      <c r="G364" s="3" t="s">
        <v>2429</v>
      </c>
      <c r="H364" s="3" t="s">
        <v>180</v>
      </c>
      <c r="I364" s="3" t="s">
        <v>652</v>
      </c>
      <c r="J364" s="3" t="s">
        <v>2396</v>
      </c>
      <c r="K364" s="3" t="s">
        <v>433</v>
      </c>
      <c r="L364" s="3" t="s">
        <v>79</v>
      </c>
      <c r="M364" s="3" t="s">
        <v>60</v>
      </c>
      <c r="N364" s="3"/>
      <c r="O364" s="3"/>
      <c r="P364" s="3" t="s">
        <v>613</v>
      </c>
      <c r="Q364" s="3"/>
      <c r="R364" s="3" t="s">
        <v>2475</v>
      </c>
      <c r="S364" s="4">
        <v>44141</v>
      </c>
      <c r="T364" s="4">
        <v>44141</v>
      </c>
      <c r="U364" s="4">
        <v>44141</v>
      </c>
      <c r="V364" s="4">
        <v>44144</v>
      </c>
      <c r="W364" s="4">
        <v>44144</v>
      </c>
      <c r="X364" s="4">
        <v>44152</v>
      </c>
      <c r="Y364" s="3" t="s">
        <v>2476</v>
      </c>
      <c r="Z364" s="3" t="s">
        <v>2476</v>
      </c>
      <c r="AA364" s="3" t="s">
        <v>2476</v>
      </c>
      <c r="AB364" s="3" t="s">
        <v>67</v>
      </c>
      <c r="AC364" s="3" t="s">
        <v>67</v>
      </c>
      <c r="AD364" s="3" t="s">
        <v>67</v>
      </c>
      <c r="AE364" s="3"/>
      <c r="AF364" s="3" t="s">
        <v>2179</v>
      </c>
      <c r="AG364" s="3" t="s">
        <v>2180</v>
      </c>
      <c r="AH364" s="3" t="s">
        <v>2179</v>
      </c>
      <c r="AI364" s="3" t="s">
        <v>252</v>
      </c>
      <c r="AJ364" s="3">
        <v>0</v>
      </c>
      <c r="AK364" s="3">
        <v>0</v>
      </c>
      <c r="AL364" s="3">
        <v>0</v>
      </c>
      <c r="AM364" s="3">
        <v>0</v>
      </c>
      <c r="AN364" s="3">
        <v>6</v>
      </c>
      <c r="AO364" s="3">
        <v>670.86</v>
      </c>
      <c r="AP364" s="3">
        <v>10.163</v>
      </c>
      <c r="AQ364" s="3" t="s">
        <v>713</v>
      </c>
      <c r="AR364" s="3" t="s">
        <v>714</v>
      </c>
      <c r="AS364" s="3" t="s">
        <v>713</v>
      </c>
      <c r="AT364" s="4">
        <v>44147</v>
      </c>
      <c r="AU364" s="3" t="s">
        <v>3445</v>
      </c>
      <c r="AV364" s="3">
        <v>15</v>
      </c>
      <c r="AW364" s="3" t="s">
        <v>3446</v>
      </c>
    </row>
    <row r="365" spans="1:49" x14ac:dyDescent="0.55000000000000004">
      <c r="A365" s="3" t="str">
        <f>HYPERLINK("https://www.infodis.net/philips/net/Shipment/Details?InfodisNumber=6963840&amp;DomainCode=PHILIPSR1", "6963840")</f>
        <v>6963840</v>
      </c>
      <c r="B365" s="3" t="s">
        <v>3547</v>
      </c>
      <c r="C365" s="3" t="s">
        <v>2426</v>
      </c>
      <c r="D365" s="3" t="s">
        <v>2427</v>
      </c>
      <c r="E365" s="3" t="s">
        <v>458</v>
      </c>
      <c r="F365" s="3" t="s">
        <v>2513</v>
      </c>
      <c r="G365" s="3" t="s">
        <v>2429</v>
      </c>
      <c r="H365" s="3" t="s">
        <v>180</v>
      </c>
      <c r="I365" s="3" t="s">
        <v>652</v>
      </c>
      <c r="J365" s="3" t="s">
        <v>2396</v>
      </c>
      <c r="K365" s="3" t="s">
        <v>433</v>
      </c>
      <c r="L365" s="3" t="s">
        <v>79</v>
      </c>
      <c r="M365" s="3" t="s">
        <v>60</v>
      </c>
      <c r="N365" s="3"/>
      <c r="O365" s="3"/>
      <c r="P365" s="3" t="s">
        <v>613</v>
      </c>
      <c r="Q365" s="3" t="s">
        <v>3548</v>
      </c>
      <c r="R365" s="3" t="s">
        <v>2475</v>
      </c>
      <c r="S365" s="4">
        <v>44144</v>
      </c>
      <c r="T365" s="4">
        <v>44145</v>
      </c>
      <c r="U365" s="4">
        <v>44144</v>
      </c>
      <c r="V365" s="4">
        <v>44148</v>
      </c>
      <c r="W365" s="4">
        <v>44145</v>
      </c>
      <c r="X365" s="4">
        <v>44153</v>
      </c>
      <c r="Y365" s="3" t="s">
        <v>2476</v>
      </c>
      <c r="Z365" s="3" t="s">
        <v>2476</v>
      </c>
      <c r="AA365" s="3" t="s">
        <v>2476</v>
      </c>
      <c r="AB365" s="3" t="s">
        <v>67</v>
      </c>
      <c r="AC365" s="3" t="s">
        <v>67</v>
      </c>
      <c r="AD365" s="3" t="s">
        <v>67</v>
      </c>
      <c r="AE365" s="3"/>
      <c r="AF365" s="3" t="s">
        <v>2179</v>
      </c>
      <c r="AG365" s="3" t="s">
        <v>2180</v>
      </c>
      <c r="AH365" s="3" t="s">
        <v>2179</v>
      </c>
      <c r="AI365" s="3" t="s">
        <v>252</v>
      </c>
      <c r="AJ365" s="3">
        <v>0</v>
      </c>
      <c r="AK365" s="3">
        <v>0</v>
      </c>
      <c r="AL365" s="3">
        <v>0</v>
      </c>
      <c r="AM365" s="3">
        <v>0</v>
      </c>
      <c r="AN365" s="3">
        <v>13</v>
      </c>
      <c r="AO365" s="3">
        <v>3672.28</v>
      </c>
      <c r="AP365" s="3">
        <v>24.132000000000001</v>
      </c>
      <c r="AQ365" s="3" t="s">
        <v>713</v>
      </c>
      <c r="AR365" s="3" t="s">
        <v>714</v>
      </c>
      <c r="AS365" s="3" t="s">
        <v>713</v>
      </c>
      <c r="AT365" s="4">
        <v>44147</v>
      </c>
      <c r="AU365" s="3" t="s">
        <v>3445</v>
      </c>
      <c r="AV365" s="3">
        <v>15</v>
      </c>
      <c r="AW365" s="3" t="s">
        <v>3446</v>
      </c>
    </row>
    <row r="366" spans="1:49" x14ac:dyDescent="0.55000000000000004">
      <c r="A366" s="3" t="str">
        <f>HYPERLINK("https://www.infodis.net/philips/net/Shipment/Details?InfodisNumber=6966739&amp;DomainCode=PHILIPSR1", "6966739")</f>
        <v>6966739</v>
      </c>
      <c r="B366" s="3" t="s">
        <v>3549</v>
      </c>
      <c r="C366" s="3" t="s">
        <v>2426</v>
      </c>
      <c r="D366" s="3" t="s">
        <v>2427</v>
      </c>
      <c r="E366" s="3" t="s">
        <v>458</v>
      </c>
      <c r="F366" s="3" t="s">
        <v>2513</v>
      </c>
      <c r="G366" s="3" t="s">
        <v>2429</v>
      </c>
      <c r="H366" s="3" t="s">
        <v>180</v>
      </c>
      <c r="I366" s="3" t="s">
        <v>652</v>
      </c>
      <c r="J366" s="3" t="s">
        <v>2396</v>
      </c>
      <c r="K366" s="3" t="s">
        <v>433</v>
      </c>
      <c r="L366" s="3" t="s">
        <v>79</v>
      </c>
      <c r="M366" s="3" t="s">
        <v>60</v>
      </c>
      <c r="N366" s="3"/>
      <c r="O366" s="3"/>
      <c r="P366" s="3" t="s">
        <v>613</v>
      </c>
      <c r="Q366" s="3" t="s">
        <v>3550</v>
      </c>
      <c r="R366" s="3" t="s">
        <v>2475</v>
      </c>
      <c r="S366" s="4">
        <v>44145</v>
      </c>
      <c r="T366" s="4">
        <v>44146</v>
      </c>
      <c r="U366" s="4">
        <v>44145</v>
      </c>
      <c r="V366" s="4">
        <v>44149</v>
      </c>
      <c r="W366" s="4">
        <v>44148</v>
      </c>
      <c r="X366" s="4">
        <v>44153</v>
      </c>
      <c r="Y366" s="3" t="s">
        <v>2476</v>
      </c>
      <c r="Z366" s="3" t="s">
        <v>2476</v>
      </c>
      <c r="AA366" s="3" t="s">
        <v>2476</v>
      </c>
      <c r="AB366" s="3" t="s">
        <v>67</v>
      </c>
      <c r="AC366" s="3" t="s">
        <v>67</v>
      </c>
      <c r="AD366" s="3" t="s">
        <v>67</v>
      </c>
      <c r="AE366" s="3"/>
      <c r="AF366" s="3" t="s">
        <v>2179</v>
      </c>
      <c r="AG366" s="3" t="s">
        <v>2180</v>
      </c>
      <c r="AH366" s="3" t="s">
        <v>2179</v>
      </c>
      <c r="AI366" s="3" t="s">
        <v>252</v>
      </c>
      <c r="AJ366" s="3">
        <v>0</v>
      </c>
      <c r="AK366" s="3">
        <v>0</v>
      </c>
      <c r="AL366" s="3">
        <v>0</v>
      </c>
      <c r="AM366" s="3">
        <v>0</v>
      </c>
      <c r="AN366" s="3">
        <v>8</v>
      </c>
      <c r="AO366" s="3">
        <v>1129.44</v>
      </c>
      <c r="AP366" s="3">
        <v>11.452999999999999</v>
      </c>
      <c r="AQ366" s="3" t="s">
        <v>713</v>
      </c>
      <c r="AR366" s="3" t="s">
        <v>714</v>
      </c>
      <c r="AS366" s="3" t="s">
        <v>713</v>
      </c>
      <c r="AT366" s="4">
        <v>44147</v>
      </c>
      <c r="AU366" s="3" t="s">
        <v>3445</v>
      </c>
      <c r="AV366" s="3">
        <v>15</v>
      </c>
      <c r="AW366" s="3" t="s">
        <v>3446</v>
      </c>
    </row>
    <row r="367" spans="1:49" x14ac:dyDescent="0.55000000000000004">
      <c r="A367" s="3" t="str">
        <f>HYPERLINK("https://www.infodis.net/philips/net/Shipment/Details?InfodisNumber=6968106&amp;DomainCode=PHILIPSR1", "6968106")</f>
        <v>6968106</v>
      </c>
      <c r="B367" s="3" t="s">
        <v>3551</v>
      </c>
      <c r="C367" s="3" t="s">
        <v>2471</v>
      </c>
      <c r="D367" s="3" t="s">
        <v>2472</v>
      </c>
      <c r="E367" s="3" t="s">
        <v>458</v>
      </c>
      <c r="F367" s="3" t="s">
        <v>2473</v>
      </c>
      <c r="G367" s="3" t="s">
        <v>2429</v>
      </c>
      <c r="H367" s="3" t="s">
        <v>180</v>
      </c>
      <c r="I367" s="3" t="s">
        <v>652</v>
      </c>
      <c r="J367" s="3" t="s">
        <v>2396</v>
      </c>
      <c r="K367" s="3" t="s">
        <v>433</v>
      </c>
      <c r="L367" s="3" t="s">
        <v>79</v>
      </c>
      <c r="M367" s="3" t="s">
        <v>60</v>
      </c>
      <c r="N367" s="3"/>
      <c r="O367" s="3"/>
      <c r="P367" s="3" t="s">
        <v>613</v>
      </c>
      <c r="Q367" s="3" t="s">
        <v>3552</v>
      </c>
      <c r="R367" s="3" t="s">
        <v>2475</v>
      </c>
      <c r="S367" s="4">
        <v>44145</v>
      </c>
      <c r="T367" s="4">
        <v>44146</v>
      </c>
      <c r="U367" s="4">
        <v>44145</v>
      </c>
      <c r="V367" s="4">
        <v>44149</v>
      </c>
      <c r="W367" s="4">
        <v>44146</v>
      </c>
      <c r="X367" s="3"/>
      <c r="Y367" s="3" t="s">
        <v>2476</v>
      </c>
      <c r="Z367" s="3" t="s">
        <v>2476</v>
      </c>
      <c r="AA367" s="3" t="s">
        <v>2476</v>
      </c>
      <c r="AB367" s="3" t="s">
        <v>67</v>
      </c>
      <c r="AC367" s="3" t="s">
        <v>67</v>
      </c>
      <c r="AD367" s="3" t="s">
        <v>67</v>
      </c>
      <c r="AE367" s="3"/>
      <c r="AF367" s="3" t="s">
        <v>2179</v>
      </c>
      <c r="AG367" s="3" t="s">
        <v>2180</v>
      </c>
      <c r="AH367" s="3" t="s">
        <v>2179</v>
      </c>
      <c r="AI367" s="3" t="s">
        <v>252</v>
      </c>
      <c r="AJ367" s="3">
        <v>0</v>
      </c>
      <c r="AK367" s="3">
        <v>0</v>
      </c>
      <c r="AL367" s="3">
        <v>0</v>
      </c>
      <c r="AM367" s="3">
        <v>0</v>
      </c>
      <c r="AN367" s="3">
        <v>1</v>
      </c>
      <c r="AO367" s="3">
        <v>92.53</v>
      </c>
      <c r="AP367" s="3">
        <v>1.1459999999999999</v>
      </c>
      <c r="AQ367" s="3" t="s">
        <v>713</v>
      </c>
      <c r="AR367" s="3" t="s">
        <v>714</v>
      </c>
      <c r="AS367" s="3" t="s">
        <v>713</v>
      </c>
      <c r="AT367" s="4">
        <v>44147</v>
      </c>
      <c r="AU367" s="3" t="s">
        <v>3445</v>
      </c>
      <c r="AV367" s="3">
        <v>15</v>
      </c>
      <c r="AW367" s="3" t="s">
        <v>3446</v>
      </c>
    </row>
    <row r="368" spans="1:49" x14ac:dyDescent="0.55000000000000004">
      <c r="A368" s="3" t="str">
        <f>HYPERLINK("https://www.infodis.net/philips/net/Shipment/Details?InfodisNumber=6971432&amp;DomainCode=PHILIPSR1", "6971432")</f>
        <v>6971432</v>
      </c>
      <c r="B368" s="3" t="s">
        <v>3553</v>
      </c>
      <c r="C368" s="3" t="s">
        <v>2426</v>
      </c>
      <c r="D368" s="3" t="s">
        <v>2427</v>
      </c>
      <c r="E368" s="3" t="s">
        <v>458</v>
      </c>
      <c r="F368" s="3" t="s">
        <v>2513</v>
      </c>
      <c r="G368" s="3" t="s">
        <v>2429</v>
      </c>
      <c r="H368" s="3" t="s">
        <v>180</v>
      </c>
      <c r="I368" s="3" t="s">
        <v>652</v>
      </c>
      <c r="J368" s="3" t="s">
        <v>2396</v>
      </c>
      <c r="K368" s="3" t="s">
        <v>433</v>
      </c>
      <c r="L368" s="3" t="s">
        <v>79</v>
      </c>
      <c r="M368" s="3" t="s">
        <v>60</v>
      </c>
      <c r="N368" s="3"/>
      <c r="O368" s="3"/>
      <c r="P368" s="3" t="s">
        <v>613</v>
      </c>
      <c r="Q368" s="3" t="s">
        <v>3554</v>
      </c>
      <c r="R368" s="3" t="s">
        <v>2475</v>
      </c>
      <c r="S368" s="4">
        <v>44146</v>
      </c>
      <c r="T368" s="4">
        <v>44147</v>
      </c>
      <c r="U368" s="4">
        <v>44146</v>
      </c>
      <c r="V368" s="4">
        <v>44150</v>
      </c>
      <c r="W368" s="4">
        <v>44150</v>
      </c>
      <c r="X368" s="3"/>
      <c r="Y368" s="3" t="s">
        <v>2476</v>
      </c>
      <c r="Z368" s="3" t="s">
        <v>2476</v>
      </c>
      <c r="AA368" s="3" t="s">
        <v>2476</v>
      </c>
      <c r="AB368" s="3" t="s">
        <v>67</v>
      </c>
      <c r="AC368" s="3" t="s">
        <v>67</v>
      </c>
      <c r="AD368" s="3" t="s">
        <v>67</v>
      </c>
      <c r="AE368" s="3"/>
      <c r="AF368" s="3" t="s">
        <v>2179</v>
      </c>
      <c r="AG368" s="3" t="s">
        <v>2180</v>
      </c>
      <c r="AH368" s="3" t="s">
        <v>2179</v>
      </c>
      <c r="AI368" s="3" t="s">
        <v>252</v>
      </c>
      <c r="AJ368" s="3">
        <v>0</v>
      </c>
      <c r="AK368" s="3">
        <v>0</v>
      </c>
      <c r="AL368" s="3">
        <v>0</v>
      </c>
      <c r="AM368" s="3">
        <v>0</v>
      </c>
      <c r="AN368" s="3">
        <v>6</v>
      </c>
      <c r="AO368" s="3">
        <v>1607.98</v>
      </c>
      <c r="AP368" s="3">
        <v>10.666</v>
      </c>
      <c r="AQ368" s="3" t="s">
        <v>713</v>
      </c>
      <c r="AR368" s="3" t="s">
        <v>714</v>
      </c>
      <c r="AS368" s="3" t="s">
        <v>713</v>
      </c>
      <c r="AT368" s="4">
        <v>44147</v>
      </c>
      <c r="AU368" s="3" t="s">
        <v>3445</v>
      </c>
      <c r="AV368" s="3">
        <v>15</v>
      </c>
      <c r="AW368" s="3" t="s">
        <v>3446</v>
      </c>
    </row>
    <row r="369" spans="1:49" x14ac:dyDescent="0.55000000000000004">
      <c r="A369" s="3" t="str">
        <f>HYPERLINK("https://www.infodis.net/philips/net/Shipment/Details?InfodisNumber=6951837&amp;DomainCode=PHILIPSR1", "6951837")</f>
        <v>6951837</v>
      </c>
      <c r="B369" s="3" t="s">
        <v>3555</v>
      </c>
      <c r="C369" s="3" t="s">
        <v>2471</v>
      </c>
      <c r="D369" s="3" t="s">
        <v>2472</v>
      </c>
      <c r="E369" s="3" t="s">
        <v>458</v>
      </c>
      <c r="F369" s="3" t="s">
        <v>2473</v>
      </c>
      <c r="G369" s="3" t="s">
        <v>2429</v>
      </c>
      <c r="H369" s="3" t="s">
        <v>180</v>
      </c>
      <c r="I369" s="3" t="s">
        <v>652</v>
      </c>
      <c r="J369" s="3" t="s">
        <v>2396</v>
      </c>
      <c r="K369" s="3" t="s">
        <v>433</v>
      </c>
      <c r="L369" s="3" t="s">
        <v>79</v>
      </c>
      <c r="M369" s="3" t="s">
        <v>60</v>
      </c>
      <c r="N369" s="3"/>
      <c r="O369" s="3"/>
      <c r="P369" s="3" t="s">
        <v>613</v>
      </c>
      <c r="Q369" s="3" t="s">
        <v>3556</v>
      </c>
      <c r="R369" s="3" t="s">
        <v>2475</v>
      </c>
      <c r="S369" s="4">
        <v>44139</v>
      </c>
      <c r="T369" s="4">
        <v>44140</v>
      </c>
      <c r="U369" s="4">
        <v>44139</v>
      </c>
      <c r="V369" s="4">
        <v>44143</v>
      </c>
      <c r="W369" s="4">
        <v>44144</v>
      </c>
      <c r="X369" s="4">
        <v>44152</v>
      </c>
      <c r="Y369" s="3" t="s">
        <v>2476</v>
      </c>
      <c r="Z369" s="3" t="s">
        <v>2476</v>
      </c>
      <c r="AA369" s="3" t="s">
        <v>2476</v>
      </c>
      <c r="AB369" s="3" t="s">
        <v>67</v>
      </c>
      <c r="AC369" s="3" t="s">
        <v>67</v>
      </c>
      <c r="AD369" s="3" t="s">
        <v>67</v>
      </c>
      <c r="AE369" s="3"/>
      <c r="AF369" s="3" t="s">
        <v>2179</v>
      </c>
      <c r="AG369" s="3" t="s">
        <v>2180</v>
      </c>
      <c r="AH369" s="3" t="s">
        <v>2179</v>
      </c>
      <c r="AI369" s="3" t="s">
        <v>252</v>
      </c>
      <c r="AJ369" s="3">
        <v>0</v>
      </c>
      <c r="AK369" s="3">
        <v>0</v>
      </c>
      <c r="AL369" s="3">
        <v>0</v>
      </c>
      <c r="AM369" s="3">
        <v>0</v>
      </c>
      <c r="AN369" s="3">
        <v>1</v>
      </c>
      <c r="AO369" s="3">
        <v>67.13</v>
      </c>
      <c r="AP369" s="3">
        <v>0.85299999999999998</v>
      </c>
      <c r="AQ369" s="3" t="s">
        <v>713</v>
      </c>
      <c r="AR369" s="3" t="s">
        <v>714</v>
      </c>
      <c r="AS369" s="3" t="s">
        <v>713</v>
      </c>
      <c r="AT369" s="4">
        <v>44147</v>
      </c>
      <c r="AU369" s="3" t="s">
        <v>3445</v>
      </c>
      <c r="AV369" s="3">
        <v>15</v>
      </c>
      <c r="AW369" s="3" t="s">
        <v>3446</v>
      </c>
    </row>
    <row r="370" spans="1:49" x14ac:dyDescent="0.55000000000000004">
      <c r="A370" s="3" t="str">
        <f>HYPERLINK("https://www.infodis.net/philips/net/Shipment/Details?InfodisNumber=4406942&amp;DomainCode=DAP", "4406942")</f>
        <v>4406942</v>
      </c>
      <c r="B370" s="3" t="s">
        <v>3557</v>
      </c>
      <c r="C370" s="3" t="s">
        <v>212</v>
      </c>
      <c r="D370" s="3" t="s">
        <v>213</v>
      </c>
      <c r="E370" s="3" t="s">
        <v>214</v>
      </c>
      <c r="F370" s="3" t="s">
        <v>3558</v>
      </c>
      <c r="G370" s="3" t="s">
        <v>216</v>
      </c>
      <c r="H370" s="3" t="s">
        <v>55</v>
      </c>
      <c r="I370" s="3" t="s">
        <v>2367</v>
      </c>
      <c r="J370" s="3" t="s">
        <v>2602</v>
      </c>
      <c r="K370" s="3" t="s">
        <v>3559</v>
      </c>
      <c r="L370" s="3" t="s">
        <v>125</v>
      </c>
      <c r="M370" s="3" t="s">
        <v>60</v>
      </c>
      <c r="N370" s="3"/>
      <c r="O370" s="3"/>
      <c r="P370" s="3" t="s">
        <v>2369</v>
      </c>
      <c r="Q370" s="3"/>
      <c r="R370" s="3" t="s">
        <v>3560</v>
      </c>
      <c r="S370" s="4">
        <v>43896</v>
      </c>
      <c r="T370" s="4">
        <v>43896</v>
      </c>
      <c r="U370" s="4">
        <v>43896</v>
      </c>
      <c r="V370" s="4">
        <v>43899</v>
      </c>
      <c r="W370" s="4">
        <v>43904</v>
      </c>
      <c r="X370" s="4">
        <v>43913</v>
      </c>
      <c r="Y370" s="3" t="s">
        <v>2411</v>
      </c>
      <c r="Z370" s="3" t="s">
        <v>2411</v>
      </c>
      <c r="AA370" s="3" t="s">
        <v>2411</v>
      </c>
      <c r="AB370" s="3" t="s">
        <v>67</v>
      </c>
      <c r="AC370" s="3" t="s">
        <v>67</v>
      </c>
      <c r="AD370" s="3" t="s">
        <v>67</v>
      </c>
      <c r="AE370" s="3"/>
      <c r="AF370" s="3" t="s">
        <v>2179</v>
      </c>
      <c r="AG370" s="3" t="s">
        <v>2180</v>
      </c>
      <c r="AH370" s="3" t="s">
        <v>2179</v>
      </c>
      <c r="AI370" s="3" t="s">
        <v>73</v>
      </c>
      <c r="AJ370" s="3">
        <v>0</v>
      </c>
      <c r="AK370" s="3">
        <v>0</v>
      </c>
      <c r="AL370" s="3">
        <v>0</v>
      </c>
      <c r="AM370" s="3">
        <v>0</v>
      </c>
      <c r="AN370" s="3">
        <v>1</v>
      </c>
      <c r="AO370" s="3">
        <v>147</v>
      </c>
      <c r="AP370" s="3">
        <v>1.8</v>
      </c>
      <c r="AQ370" s="3" t="s">
        <v>713</v>
      </c>
      <c r="AR370" s="3" t="s">
        <v>714</v>
      </c>
      <c r="AS370" s="3" t="s">
        <v>713</v>
      </c>
      <c r="AT370" s="4">
        <v>43906</v>
      </c>
      <c r="AU370" s="3" t="s">
        <v>3561</v>
      </c>
      <c r="AV370" s="3">
        <v>256</v>
      </c>
      <c r="AW370" s="3" t="s">
        <v>807</v>
      </c>
    </row>
    <row r="371" spans="1:49" x14ac:dyDescent="0.55000000000000004">
      <c r="A371" s="3" t="str">
        <f>HYPERLINK("https://www.infodis.net/philips/net/Shipment/Details?InfodisNumber=4539250&amp;DomainCode=DAP", "4539250")</f>
        <v>4539250</v>
      </c>
      <c r="B371" s="3" t="s">
        <v>3562</v>
      </c>
      <c r="C371" s="3" t="s">
        <v>3563</v>
      </c>
      <c r="D371" s="3" t="s">
        <v>3564</v>
      </c>
      <c r="E371" s="3" t="s">
        <v>3563</v>
      </c>
      <c r="F371" s="3" t="s">
        <v>77</v>
      </c>
      <c r="G371" s="3" t="s">
        <v>3565</v>
      </c>
      <c r="H371" s="3" t="s">
        <v>55</v>
      </c>
      <c r="I371" s="3" t="s">
        <v>2367</v>
      </c>
      <c r="J371" s="3" t="s">
        <v>2141</v>
      </c>
      <c r="K371" s="3" t="s">
        <v>3566</v>
      </c>
      <c r="L371" s="3" t="s">
        <v>83</v>
      </c>
      <c r="M371" s="3" t="s">
        <v>84</v>
      </c>
      <c r="N371" s="3"/>
      <c r="O371" s="3"/>
      <c r="P371" s="3" t="s">
        <v>3567</v>
      </c>
      <c r="Q371" s="3"/>
      <c r="R371" s="3" t="s">
        <v>3568</v>
      </c>
      <c r="S371" s="4">
        <v>44125</v>
      </c>
      <c r="T371" s="4">
        <v>44126</v>
      </c>
      <c r="U371" s="3"/>
      <c r="V371" s="4">
        <v>44127</v>
      </c>
      <c r="W371" s="3"/>
      <c r="X371" s="3"/>
      <c r="Y371" s="3" t="s">
        <v>2398</v>
      </c>
      <c r="Z371" s="3" t="s">
        <v>2398</v>
      </c>
      <c r="AA371" s="3" t="s">
        <v>2398</v>
      </c>
      <c r="AB371" s="3" t="s">
        <v>67</v>
      </c>
      <c r="AC371" s="3" t="s">
        <v>67</v>
      </c>
      <c r="AD371" s="3" t="s">
        <v>67</v>
      </c>
      <c r="AE371" s="3"/>
      <c r="AF371" s="3" t="s">
        <v>2610</v>
      </c>
      <c r="AG371" s="3" t="s">
        <v>2611</v>
      </c>
      <c r="AH371" s="3" t="s">
        <v>2610</v>
      </c>
      <c r="AI371" s="3" t="s">
        <v>73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108</v>
      </c>
      <c r="AP371" s="3">
        <v>0.24</v>
      </c>
      <c r="AQ371" s="3" t="s">
        <v>713</v>
      </c>
      <c r="AR371" s="3" t="s">
        <v>714</v>
      </c>
      <c r="AS371" s="3" t="s">
        <v>713</v>
      </c>
      <c r="AT371" s="4">
        <v>44131</v>
      </c>
      <c r="AU371" s="3" t="s">
        <v>3569</v>
      </c>
      <c r="AV371" s="3">
        <v>31</v>
      </c>
      <c r="AW371" s="3" t="s">
        <v>1060</v>
      </c>
    </row>
    <row r="372" spans="1:49" x14ac:dyDescent="0.55000000000000004">
      <c r="A372" s="3" t="str">
        <f>HYPERLINK("https://www.infodis.net/philips/net/Shipment/Details?InfodisNumber=4534533&amp;DomainCode=DAP", "4534533")</f>
        <v>4534533</v>
      </c>
      <c r="B372" s="3" t="s">
        <v>3570</v>
      </c>
      <c r="C372" s="3" t="s">
        <v>2344</v>
      </c>
      <c r="D372" s="3" t="s">
        <v>2345</v>
      </c>
      <c r="E372" s="3" t="s">
        <v>191</v>
      </c>
      <c r="F372" s="3" t="s">
        <v>191</v>
      </c>
      <c r="G372" s="3" t="s">
        <v>281</v>
      </c>
      <c r="H372" s="3" t="s">
        <v>79</v>
      </c>
      <c r="I372" s="3" t="s">
        <v>282</v>
      </c>
      <c r="J372" s="3" t="s">
        <v>194</v>
      </c>
      <c r="K372" s="3" t="s">
        <v>269</v>
      </c>
      <c r="L372" s="3" t="s">
        <v>180</v>
      </c>
      <c r="M372" s="3" t="s">
        <v>84</v>
      </c>
      <c r="N372" s="3"/>
      <c r="O372" s="3"/>
      <c r="P372" s="3" t="s">
        <v>286</v>
      </c>
      <c r="Q372" s="3"/>
      <c r="R372" s="3" t="s">
        <v>271</v>
      </c>
      <c r="S372" s="4">
        <v>44119</v>
      </c>
      <c r="T372" s="4">
        <v>44124</v>
      </c>
      <c r="U372" s="3"/>
      <c r="V372" s="4">
        <v>44127</v>
      </c>
      <c r="W372" s="3"/>
      <c r="X372" s="3"/>
      <c r="Y372" s="3" t="s">
        <v>66</v>
      </c>
      <c r="Z372" s="3" t="s">
        <v>2371</v>
      </c>
      <c r="AA372" s="3" t="s">
        <v>2371</v>
      </c>
      <c r="AB372" s="3" t="s">
        <v>68</v>
      </c>
      <c r="AC372" s="3" t="s">
        <v>67</v>
      </c>
      <c r="AD372" s="3" t="s">
        <v>67</v>
      </c>
      <c r="AE372" s="3"/>
      <c r="AF372" s="3" t="s">
        <v>2179</v>
      </c>
      <c r="AG372" s="3" t="s">
        <v>2180</v>
      </c>
      <c r="AH372" s="3" t="s">
        <v>2179</v>
      </c>
      <c r="AI372" s="3" t="s">
        <v>73</v>
      </c>
      <c r="AJ372" s="3">
        <v>0</v>
      </c>
      <c r="AK372" s="3">
        <v>0</v>
      </c>
      <c r="AL372" s="3">
        <v>0</v>
      </c>
      <c r="AM372" s="3">
        <v>0</v>
      </c>
      <c r="AN372" s="3">
        <v>13</v>
      </c>
      <c r="AO372" s="3">
        <v>2304</v>
      </c>
      <c r="AP372" s="3">
        <v>18.72</v>
      </c>
      <c r="AQ372" s="3" t="s">
        <v>713</v>
      </c>
      <c r="AR372" s="3" t="s">
        <v>714</v>
      </c>
      <c r="AS372" s="3" t="s">
        <v>713</v>
      </c>
      <c r="AT372" s="4">
        <v>44125</v>
      </c>
      <c r="AU372" s="3" t="s">
        <v>3411</v>
      </c>
      <c r="AV372" s="3">
        <v>37</v>
      </c>
      <c r="AW372" s="3" t="s">
        <v>763</v>
      </c>
    </row>
    <row r="373" spans="1:49" x14ac:dyDescent="0.55000000000000004">
      <c r="A373" s="3" t="str">
        <f>HYPERLINK("https://www.infodis.net/philips/net/Shipment/Details?InfodisNumber=4524445&amp;DomainCode=DAP", "4524445")</f>
        <v>4524445</v>
      </c>
      <c r="B373" s="3" t="s">
        <v>3571</v>
      </c>
      <c r="C373" s="3" t="s">
        <v>3392</v>
      </c>
      <c r="D373" s="3" t="s">
        <v>3393</v>
      </c>
      <c r="E373" s="3" t="s">
        <v>3392</v>
      </c>
      <c r="F373" s="3" t="s">
        <v>167</v>
      </c>
      <c r="G373" s="3" t="s">
        <v>3394</v>
      </c>
      <c r="H373" s="3" t="s">
        <v>180</v>
      </c>
      <c r="I373" s="3" t="s">
        <v>2057</v>
      </c>
      <c r="J373" s="3" t="s">
        <v>2405</v>
      </c>
      <c r="K373" s="3" t="s">
        <v>1125</v>
      </c>
      <c r="L373" s="3" t="s">
        <v>172</v>
      </c>
      <c r="M373" s="3" t="s">
        <v>84</v>
      </c>
      <c r="N373" s="3"/>
      <c r="O373" s="3"/>
      <c r="P373" s="3" t="s">
        <v>3395</v>
      </c>
      <c r="Q373" s="3"/>
      <c r="R373" s="3" t="s">
        <v>1128</v>
      </c>
      <c r="S373" s="4">
        <v>44102</v>
      </c>
      <c r="T373" s="4">
        <v>44103</v>
      </c>
      <c r="U373" s="4">
        <v>44106</v>
      </c>
      <c r="V373" s="4">
        <v>44106</v>
      </c>
      <c r="W373" s="4">
        <v>44107</v>
      </c>
      <c r="X373" s="4">
        <v>44115</v>
      </c>
      <c r="Y373" s="3" t="s">
        <v>2411</v>
      </c>
      <c r="Z373" s="3" t="s">
        <v>2411</v>
      </c>
      <c r="AA373" s="3" t="s">
        <v>2411</v>
      </c>
      <c r="AB373" s="3" t="s">
        <v>67</v>
      </c>
      <c r="AC373" s="3" t="s">
        <v>67</v>
      </c>
      <c r="AD373" s="3" t="s">
        <v>67</v>
      </c>
      <c r="AE373" s="3"/>
      <c r="AF373" s="3" t="s">
        <v>2179</v>
      </c>
      <c r="AG373" s="3" t="s">
        <v>2180</v>
      </c>
      <c r="AH373" s="3" t="s">
        <v>2179</v>
      </c>
      <c r="AI373" s="3" t="s">
        <v>73</v>
      </c>
      <c r="AJ373" s="3">
        <v>0</v>
      </c>
      <c r="AK373" s="3">
        <v>0</v>
      </c>
      <c r="AL373" s="3">
        <v>0</v>
      </c>
      <c r="AM373" s="3">
        <v>0</v>
      </c>
      <c r="AN373" s="3">
        <v>1</v>
      </c>
      <c r="AO373" s="3">
        <v>83.01</v>
      </c>
      <c r="AP373" s="3">
        <v>0.25600000000000001</v>
      </c>
      <c r="AQ373" s="3" t="s">
        <v>713</v>
      </c>
      <c r="AR373" s="3" t="s">
        <v>714</v>
      </c>
      <c r="AS373" s="3" t="s">
        <v>713</v>
      </c>
      <c r="AT373" s="4">
        <v>44124</v>
      </c>
      <c r="AU373" s="3" t="s">
        <v>3397</v>
      </c>
      <c r="AV373" s="3">
        <v>38</v>
      </c>
      <c r="AW373" s="3" t="s">
        <v>3398</v>
      </c>
    </row>
    <row r="374" spans="1:49" x14ac:dyDescent="0.55000000000000004">
      <c r="A374" s="3" t="str">
        <f>HYPERLINK("https://www.infodis.net/philips/net/Shipment/Details?InfodisNumber=4524456&amp;DomainCode=DAP", "4524456")</f>
        <v>4524456</v>
      </c>
      <c r="B374" s="3" t="s">
        <v>3572</v>
      </c>
      <c r="C374" s="3" t="s">
        <v>212</v>
      </c>
      <c r="D374" s="3" t="s">
        <v>213</v>
      </c>
      <c r="E374" s="3" t="s">
        <v>214</v>
      </c>
      <c r="F374" s="3" t="s">
        <v>2209</v>
      </c>
      <c r="G374" s="3" t="s">
        <v>216</v>
      </c>
      <c r="H374" s="3" t="s">
        <v>55</v>
      </c>
      <c r="I374" s="3" t="s">
        <v>2367</v>
      </c>
      <c r="J374" s="3" t="s">
        <v>2141</v>
      </c>
      <c r="K374" s="3" t="s">
        <v>2668</v>
      </c>
      <c r="L374" s="3" t="s">
        <v>83</v>
      </c>
      <c r="M374" s="3" t="s">
        <v>60</v>
      </c>
      <c r="N374" s="3"/>
      <c r="O374" s="3"/>
      <c r="P374" s="3" t="s">
        <v>2369</v>
      </c>
      <c r="Q374" s="3" t="s">
        <v>3573</v>
      </c>
      <c r="R374" s="3" t="s">
        <v>87</v>
      </c>
      <c r="S374" s="4">
        <v>44102</v>
      </c>
      <c r="T374" s="4">
        <v>44103</v>
      </c>
      <c r="U374" s="4">
        <v>44104</v>
      </c>
      <c r="V374" s="4">
        <v>44112</v>
      </c>
      <c r="W374" s="4">
        <v>44106</v>
      </c>
      <c r="X374" s="4">
        <v>44112</v>
      </c>
      <c r="Y374" s="3" t="s">
        <v>2411</v>
      </c>
      <c r="Z374" s="3" t="s">
        <v>2411</v>
      </c>
      <c r="AA374" s="3" t="s">
        <v>2411</v>
      </c>
      <c r="AB374" s="3" t="s">
        <v>67</v>
      </c>
      <c r="AC374" s="3" t="s">
        <v>67</v>
      </c>
      <c r="AD374" s="3" t="s">
        <v>67</v>
      </c>
      <c r="AE374" s="3"/>
      <c r="AF374" s="3" t="s">
        <v>2179</v>
      </c>
      <c r="AG374" s="3" t="s">
        <v>2180</v>
      </c>
      <c r="AH374" s="3" t="s">
        <v>2179</v>
      </c>
      <c r="AI374" s="3" t="s">
        <v>73</v>
      </c>
      <c r="AJ374" s="3">
        <v>0</v>
      </c>
      <c r="AK374" s="3">
        <v>0</v>
      </c>
      <c r="AL374" s="3">
        <v>0</v>
      </c>
      <c r="AM374" s="3">
        <v>0</v>
      </c>
      <c r="AN374" s="3">
        <v>4</v>
      </c>
      <c r="AO374" s="3">
        <v>189</v>
      </c>
      <c r="AP374" s="3">
        <v>3.5760000000000001</v>
      </c>
      <c r="AQ374" s="3" t="s">
        <v>713</v>
      </c>
      <c r="AR374" s="3" t="s">
        <v>714</v>
      </c>
      <c r="AS374" s="3" t="s">
        <v>713</v>
      </c>
      <c r="AT374" s="4">
        <v>44125</v>
      </c>
      <c r="AU374" s="3" t="s">
        <v>3385</v>
      </c>
      <c r="AV374" s="3">
        <v>37</v>
      </c>
      <c r="AW374" s="3" t="s">
        <v>968</v>
      </c>
    </row>
    <row r="375" spans="1:49" x14ac:dyDescent="0.55000000000000004">
      <c r="A375" s="3" t="str">
        <f>HYPERLINK("https://www.infodis.net/philips/net/Shipment/Details?InfodisNumber=4525000&amp;DomainCode=DAP", "4525000")</f>
        <v>4525000</v>
      </c>
      <c r="B375" s="3" t="s">
        <v>3574</v>
      </c>
      <c r="C375" s="3" t="s">
        <v>212</v>
      </c>
      <c r="D375" s="3" t="s">
        <v>213</v>
      </c>
      <c r="E375" s="3" t="s">
        <v>214</v>
      </c>
      <c r="F375" s="3" t="s">
        <v>2209</v>
      </c>
      <c r="G375" s="3" t="s">
        <v>216</v>
      </c>
      <c r="H375" s="3" t="s">
        <v>55</v>
      </c>
      <c r="I375" s="3" t="s">
        <v>2367</v>
      </c>
      <c r="J375" s="3" t="s">
        <v>2141</v>
      </c>
      <c r="K375" s="3" t="s">
        <v>2668</v>
      </c>
      <c r="L375" s="3" t="s">
        <v>83</v>
      </c>
      <c r="M375" s="3" t="s">
        <v>60</v>
      </c>
      <c r="N375" s="3"/>
      <c r="O375" s="3"/>
      <c r="P375" s="3" t="s">
        <v>2369</v>
      </c>
      <c r="Q375" s="3" t="s">
        <v>3575</v>
      </c>
      <c r="R375" s="3" t="s">
        <v>87</v>
      </c>
      <c r="S375" s="4">
        <v>44103</v>
      </c>
      <c r="T375" s="4">
        <v>44103</v>
      </c>
      <c r="U375" s="4">
        <v>44104</v>
      </c>
      <c r="V375" s="4">
        <v>44112</v>
      </c>
      <c r="W375" s="4">
        <v>44106</v>
      </c>
      <c r="X375" s="4">
        <v>44112</v>
      </c>
      <c r="Y375" s="3" t="s">
        <v>2411</v>
      </c>
      <c r="Z375" s="3" t="s">
        <v>2411</v>
      </c>
      <c r="AA375" s="3" t="s">
        <v>2411</v>
      </c>
      <c r="AB375" s="3" t="s">
        <v>67</v>
      </c>
      <c r="AC375" s="3" t="s">
        <v>67</v>
      </c>
      <c r="AD375" s="3" t="s">
        <v>67</v>
      </c>
      <c r="AE375" s="3"/>
      <c r="AF375" s="3" t="s">
        <v>2179</v>
      </c>
      <c r="AG375" s="3" t="s">
        <v>2180</v>
      </c>
      <c r="AH375" s="3" t="s">
        <v>2179</v>
      </c>
      <c r="AI375" s="3" t="s">
        <v>73</v>
      </c>
      <c r="AJ375" s="3">
        <v>0</v>
      </c>
      <c r="AK375" s="3">
        <v>0</v>
      </c>
      <c r="AL375" s="3">
        <v>0</v>
      </c>
      <c r="AM375" s="3">
        <v>0</v>
      </c>
      <c r="AN375" s="3">
        <v>1</v>
      </c>
      <c r="AO375" s="3">
        <v>122</v>
      </c>
      <c r="AP375" s="3">
        <v>0.42</v>
      </c>
      <c r="AQ375" s="3" t="s">
        <v>713</v>
      </c>
      <c r="AR375" s="3" t="s">
        <v>714</v>
      </c>
      <c r="AS375" s="3" t="s">
        <v>713</v>
      </c>
      <c r="AT375" s="4">
        <v>44125</v>
      </c>
      <c r="AU375" s="3" t="s">
        <v>3385</v>
      </c>
      <c r="AV375" s="3">
        <v>37</v>
      </c>
      <c r="AW375" s="3" t="s">
        <v>968</v>
      </c>
    </row>
    <row r="376" spans="1:49" x14ac:dyDescent="0.55000000000000004">
      <c r="A376" s="3" t="str">
        <f>HYPERLINK("https://www.infodis.net/philips/net/Shipment/Details?InfodisNumber=4525311&amp;DomainCode=DAP", "4525311")</f>
        <v>4525311</v>
      </c>
      <c r="B376" s="3" t="s">
        <v>3576</v>
      </c>
      <c r="C376" s="3" t="s">
        <v>2402</v>
      </c>
      <c r="D376" s="3" t="s">
        <v>2403</v>
      </c>
      <c r="E376" s="3" t="s">
        <v>2402</v>
      </c>
      <c r="F376" s="3" t="s">
        <v>167</v>
      </c>
      <c r="G376" s="3" t="s">
        <v>2404</v>
      </c>
      <c r="H376" s="3" t="s">
        <v>881</v>
      </c>
      <c r="I376" s="3" t="s">
        <v>2934</v>
      </c>
      <c r="J376" s="3" t="s">
        <v>2405</v>
      </c>
      <c r="K376" s="3" t="s">
        <v>1125</v>
      </c>
      <c r="L376" s="3" t="s">
        <v>172</v>
      </c>
      <c r="M376" s="3" t="s">
        <v>1489</v>
      </c>
      <c r="N376" s="3"/>
      <c r="O376" s="3"/>
      <c r="P376" s="3" t="s">
        <v>2406</v>
      </c>
      <c r="Q376" s="3"/>
      <c r="R376" s="3" t="s">
        <v>1128</v>
      </c>
      <c r="S376" s="4">
        <v>44103</v>
      </c>
      <c r="T376" s="4">
        <v>44105</v>
      </c>
      <c r="U376" s="3"/>
      <c r="V376" s="4">
        <v>44108</v>
      </c>
      <c r="W376" s="3"/>
      <c r="X376" s="3"/>
      <c r="Y376" s="3" t="s">
        <v>2398</v>
      </c>
      <c r="Z376" s="3" t="s">
        <v>2398</v>
      </c>
      <c r="AA376" s="3" t="s">
        <v>2398</v>
      </c>
      <c r="AB376" s="3" t="s">
        <v>67</v>
      </c>
      <c r="AC376" s="3" t="s">
        <v>67</v>
      </c>
      <c r="AD376" s="3" t="s">
        <v>67</v>
      </c>
      <c r="AE376" s="3"/>
      <c r="AF376" s="3" t="s">
        <v>2179</v>
      </c>
      <c r="AG376" s="3" t="s">
        <v>2180</v>
      </c>
      <c r="AH376" s="3" t="s">
        <v>2179</v>
      </c>
      <c r="AI376" s="3" t="s">
        <v>73</v>
      </c>
      <c r="AJ376" s="3">
        <v>0</v>
      </c>
      <c r="AK376" s="3">
        <v>0</v>
      </c>
      <c r="AL376" s="3">
        <v>0</v>
      </c>
      <c r="AM376" s="3">
        <v>0</v>
      </c>
      <c r="AN376" s="3">
        <v>9</v>
      </c>
      <c r="AO376" s="3">
        <v>165.5</v>
      </c>
      <c r="AP376" s="3">
        <v>-1</v>
      </c>
      <c r="AQ376" s="3" t="s">
        <v>713</v>
      </c>
      <c r="AR376" s="3" t="s">
        <v>714</v>
      </c>
      <c r="AS376" s="3" t="s">
        <v>713</v>
      </c>
      <c r="AT376" s="4">
        <v>44131</v>
      </c>
      <c r="AU376" s="3" t="s">
        <v>3577</v>
      </c>
      <c r="AV376" s="3">
        <v>31</v>
      </c>
      <c r="AW376" s="3" t="s">
        <v>3578</v>
      </c>
    </row>
    <row r="377" spans="1:49" x14ac:dyDescent="0.55000000000000004">
      <c r="A377" s="3" t="str">
        <f>HYPERLINK("https://www.infodis.net/philips/net/Shipment/Details?InfodisNumber=4525358&amp;DomainCode=DAP", "4525358")</f>
        <v>4525358</v>
      </c>
      <c r="B377" s="3" t="s">
        <v>3579</v>
      </c>
      <c r="C377" s="3" t="s">
        <v>212</v>
      </c>
      <c r="D377" s="3" t="s">
        <v>213</v>
      </c>
      <c r="E377" s="3" t="s">
        <v>214</v>
      </c>
      <c r="F377" s="3" t="s">
        <v>2209</v>
      </c>
      <c r="G377" s="3" t="s">
        <v>216</v>
      </c>
      <c r="H377" s="3" t="s">
        <v>55</v>
      </c>
      <c r="I377" s="3" t="s">
        <v>2367</v>
      </c>
      <c r="J377" s="3" t="s">
        <v>2141</v>
      </c>
      <c r="K377" s="3" t="s">
        <v>2668</v>
      </c>
      <c r="L377" s="3" t="s">
        <v>83</v>
      </c>
      <c r="M377" s="3" t="s">
        <v>60</v>
      </c>
      <c r="N377" s="3"/>
      <c r="O377" s="3"/>
      <c r="P377" s="3" t="s">
        <v>2369</v>
      </c>
      <c r="Q377" s="3" t="s">
        <v>3580</v>
      </c>
      <c r="R377" s="3" t="s">
        <v>87</v>
      </c>
      <c r="S377" s="4">
        <v>44103</v>
      </c>
      <c r="T377" s="4">
        <v>44104</v>
      </c>
      <c r="U377" s="4">
        <v>44104</v>
      </c>
      <c r="V377" s="4">
        <v>44112</v>
      </c>
      <c r="W377" s="4">
        <v>44106</v>
      </c>
      <c r="X377" s="4">
        <v>44111</v>
      </c>
      <c r="Y377" s="3" t="s">
        <v>2411</v>
      </c>
      <c r="Z377" s="3" t="s">
        <v>2411</v>
      </c>
      <c r="AA377" s="3" t="s">
        <v>2411</v>
      </c>
      <c r="AB377" s="3" t="s">
        <v>67</v>
      </c>
      <c r="AC377" s="3" t="s">
        <v>67</v>
      </c>
      <c r="AD377" s="3" t="s">
        <v>67</v>
      </c>
      <c r="AE377" s="3"/>
      <c r="AF377" s="3" t="s">
        <v>2179</v>
      </c>
      <c r="AG377" s="3" t="s">
        <v>2180</v>
      </c>
      <c r="AH377" s="3" t="s">
        <v>2179</v>
      </c>
      <c r="AI377" s="3" t="s">
        <v>73</v>
      </c>
      <c r="AJ377" s="3">
        <v>0</v>
      </c>
      <c r="AK377" s="3">
        <v>0</v>
      </c>
      <c r="AL377" s="3">
        <v>0</v>
      </c>
      <c r="AM377" s="3">
        <v>0</v>
      </c>
      <c r="AN377" s="3">
        <v>3</v>
      </c>
      <c r="AO377" s="3">
        <v>444</v>
      </c>
      <c r="AP377" s="3">
        <v>5.3279999999999994</v>
      </c>
      <c r="AQ377" s="3" t="s">
        <v>713</v>
      </c>
      <c r="AR377" s="3" t="s">
        <v>714</v>
      </c>
      <c r="AS377" s="3" t="s">
        <v>713</v>
      </c>
      <c r="AT377" s="4">
        <v>44125</v>
      </c>
      <c r="AU377" s="3" t="s">
        <v>3385</v>
      </c>
      <c r="AV377" s="3">
        <v>37</v>
      </c>
      <c r="AW377" s="3" t="s">
        <v>968</v>
      </c>
    </row>
    <row r="378" spans="1:49" x14ac:dyDescent="0.55000000000000004">
      <c r="A378" s="3" t="str">
        <f>HYPERLINK("https://www.infodis.net/philips/net/Shipment/Details?InfodisNumber=4525469&amp;DomainCode=DAP", "4525469")</f>
        <v>4525469</v>
      </c>
      <c r="B378" s="3" t="s">
        <v>3581</v>
      </c>
      <c r="C378" s="3" t="s">
        <v>3582</v>
      </c>
      <c r="D378" s="3" t="s">
        <v>3583</v>
      </c>
      <c r="E378" s="3" t="s">
        <v>3582</v>
      </c>
      <c r="F378" s="3" t="s">
        <v>52</v>
      </c>
      <c r="G378" s="3" t="s">
        <v>3584</v>
      </c>
      <c r="H378" s="3" t="s">
        <v>207</v>
      </c>
      <c r="I378" s="3" t="s">
        <v>3585</v>
      </c>
      <c r="J378" s="3" t="s">
        <v>2367</v>
      </c>
      <c r="K378" s="3" t="s">
        <v>54</v>
      </c>
      <c r="L378" s="3" t="s">
        <v>55</v>
      </c>
      <c r="M378" s="3" t="s">
        <v>1489</v>
      </c>
      <c r="N378" s="3"/>
      <c r="O378" s="3"/>
      <c r="P378" s="3" t="s">
        <v>3586</v>
      </c>
      <c r="Q378" s="3" t="s">
        <v>3587</v>
      </c>
      <c r="R378" s="3" t="s">
        <v>63</v>
      </c>
      <c r="S378" s="4">
        <v>44104</v>
      </c>
      <c r="T378" s="4">
        <v>44106</v>
      </c>
      <c r="U378" s="4">
        <v>44106</v>
      </c>
      <c r="V378" s="4">
        <v>44109</v>
      </c>
      <c r="W378" s="4">
        <v>44107</v>
      </c>
      <c r="X378" s="4">
        <v>44116</v>
      </c>
      <c r="Y378" s="3" t="s">
        <v>2476</v>
      </c>
      <c r="Z378" s="3" t="s">
        <v>2476</v>
      </c>
      <c r="AA378" s="3" t="s">
        <v>2476</v>
      </c>
      <c r="AB378" s="3" t="s">
        <v>67</v>
      </c>
      <c r="AC378" s="3" t="s">
        <v>67</v>
      </c>
      <c r="AD378" s="3" t="s">
        <v>67</v>
      </c>
      <c r="AE378" s="3"/>
      <c r="AF378" s="3" t="s">
        <v>2179</v>
      </c>
      <c r="AG378" s="3" t="s">
        <v>2180</v>
      </c>
      <c r="AH378" s="3" t="s">
        <v>2179</v>
      </c>
      <c r="AI378" s="3" t="s">
        <v>73</v>
      </c>
      <c r="AJ378" s="3">
        <v>0</v>
      </c>
      <c r="AK378" s="3">
        <v>0</v>
      </c>
      <c r="AL378" s="3">
        <v>0</v>
      </c>
      <c r="AM378" s="3">
        <v>0</v>
      </c>
      <c r="AN378" s="3">
        <v>5</v>
      </c>
      <c r="AO378" s="3">
        <v>208</v>
      </c>
      <c r="AP378" s="3">
        <v>1.1339999999999999</v>
      </c>
      <c r="AQ378" s="3" t="s">
        <v>713</v>
      </c>
      <c r="AR378" s="3" t="s">
        <v>714</v>
      </c>
      <c r="AS378" s="3" t="s">
        <v>713</v>
      </c>
      <c r="AT378" s="4">
        <v>44127</v>
      </c>
      <c r="AU378" s="3" t="s">
        <v>3588</v>
      </c>
      <c r="AV378" s="3">
        <v>35</v>
      </c>
      <c r="AW378" s="3" t="s">
        <v>3589</v>
      </c>
    </row>
    <row r="379" spans="1:49" x14ac:dyDescent="0.55000000000000004">
      <c r="A379" s="3" t="str">
        <f>HYPERLINK("https://www.infodis.net/philips/net/Shipment/Details?InfodisNumber=4544215&amp;DomainCode=DAP", "4544215")</f>
        <v>4544215</v>
      </c>
      <c r="B379" s="3" t="s">
        <v>3590</v>
      </c>
      <c r="C379" s="3" t="s">
        <v>585</v>
      </c>
      <c r="D379" s="3" t="s">
        <v>586</v>
      </c>
      <c r="E379" s="3" t="s">
        <v>393</v>
      </c>
      <c r="F379" s="3" t="s">
        <v>3541</v>
      </c>
      <c r="G379" s="3" t="s">
        <v>394</v>
      </c>
      <c r="H379" s="3" t="s">
        <v>79</v>
      </c>
      <c r="I379" s="3" t="s">
        <v>587</v>
      </c>
      <c r="J379" s="3" t="s">
        <v>786</v>
      </c>
      <c r="K379" s="3" t="s">
        <v>425</v>
      </c>
      <c r="L379" s="3" t="s">
        <v>307</v>
      </c>
      <c r="M379" s="3" t="s">
        <v>60</v>
      </c>
      <c r="N379" s="3"/>
      <c r="O379" s="3"/>
      <c r="P379" s="3" t="s">
        <v>398</v>
      </c>
      <c r="Q379" s="3" t="s">
        <v>3591</v>
      </c>
      <c r="R379" s="3" t="s">
        <v>429</v>
      </c>
      <c r="S379" s="4">
        <v>44132</v>
      </c>
      <c r="T379" s="4">
        <v>44138</v>
      </c>
      <c r="U379" s="3"/>
      <c r="V379" s="4">
        <v>44141</v>
      </c>
      <c r="W379" s="3"/>
      <c r="X379" s="3"/>
      <c r="Y379" s="3" t="s">
        <v>3291</v>
      </c>
      <c r="Z379" s="3" t="s">
        <v>2051</v>
      </c>
      <c r="AA379" s="3" t="s">
        <v>2051</v>
      </c>
      <c r="AB379" s="3" t="s">
        <v>67</v>
      </c>
      <c r="AC379" s="3" t="s">
        <v>67</v>
      </c>
      <c r="AD379" s="3" t="s">
        <v>67</v>
      </c>
      <c r="AE379" s="3"/>
      <c r="AF379" s="3" t="s">
        <v>2179</v>
      </c>
      <c r="AG379" s="3" t="s">
        <v>2180</v>
      </c>
      <c r="AH379" s="3" t="s">
        <v>2179</v>
      </c>
      <c r="AI379" s="3" t="s">
        <v>73</v>
      </c>
      <c r="AJ379" s="3">
        <v>0</v>
      </c>
      <c r="AK379" s="3">
        <v>0</v>
      </c>
      <c r="AL379" s="3">
        <v>0</v>
      </c>
      <c r="AM379" s="3">
        <v>0</v>
      </c>
      <c r="AN379" s="3">
        <v>7</v>
      </c>
      <c r="AO379" s="3">
        <v>995.84399999999994</v>
      </c>
      <c r="AP379" s="3">
        <v>4.6260000000000003</v>
      </c>
      <c r="AQ379" s="3" t="s">
        <v>713</v>
      </c>
      <c r="AR379" s="3" t="s">
        <v>714</v>
      </c>
      <c r="AS379" s="3" t="s">
        <v>713</v>
      </c>
      <c r="AT379" s="4">
        <v>44147</v>
      </c>
      <c r="AU379" s="3" t="s">
        <v>3543</v>
      </c>
      <c r="AV379" s="3">
        <v>15</v>
      </c>
      <c r="AW379" s="3" t="s">
        <v>3544</v>
      </c>
    </row>
    <row r="380" spans="1:49" x14ac:dyDescent="0.55000000000000004">
      <c r="A380" s="3" t="str">
        <f>HYPERLINK("https://www.infodis.net/philips/net/Shipment/Details?InfodisNumber=4526053&amp;DomainCode=DAP", "4526053")</f>
        <v>4526053</v>
      </c>
      <c r="B380" s="3" t="s">
        <v>3592</v>
      </c>
      <c r="C380" s="3" t="s">
        <v>212</v>
      </c>
      <c r="D380" s="3" t="s">
        <v>213</v>
      </c>
      <c r="E380" s="3" t="s">
        <v>214</v>
      </c>
      <c r="F380" s="3" t="s">
        <v>2209</v>
      </c>
      <c r="G380" s="3" t="s">
        <v>216</v>
      </c>
      <c r="H380" s="3" t="s">
        <v>55</v>
      </c>
      <c r="I380" s="3" t="s">
        <v>2367</v>
      </c>
      <c r="J380" s="3" t="s">
        <v>2141</v>
      </c>
      <c r="K380" s="3" t="s">
        <v>2668</v>
      </c>
      <c r="L380" s="3" t="s">
        <v>83</v>
      </c>
      <c r="M380" s="3" t="s">
        <v>60</v>
      </c>
      <c r="N380" s="3"/>
      <c r="O380" s="3"/>
      <c r="P380" s="3" t="s">
        <v>2369</v>
      </c>
      <c r="Q380" s="3" t="s">
        <v>3593</v>
      </c>
      <c r="R380" s="3" t="s">
        <v>87</v>
      </c>
      <c r="S380" s="4">
        <v>44104</v>
      </c>
      <c r="T380" s="4">
        <v>44104</v>
      </c>
      <c r="U380" s="4">
        <v>44104</v>
      </c>
      <c r="V380" s="4">
        <v>44112</v>
      </c>
      <c r="W380" s="4">
        <v>44106</v>
      </c>
      <c r="X380" s="4">
        <v>44112</v>
      </c>
      <c r="Y380" s="3" t="s">
        <v>2411</v>
      </c>
      <c r="Z380" s="3" t="s">
        <v>2411</v>
      </c>
      <c r="AA380" s="3" t="s">
        <v>2411</v>
      </c>
      <c r="AB380" s="3" t="s">
        <v>67</v>
      </c>
      <c r="AC380" s="3" t="s">
        <v>67</v>
      </c>
      <c r="AD380" s="3" t="s">
        <v>67</v>
      </c>
      <c r="AE380" s="3"/>
      <c r="AF380" s="3" t="s">
        <v>2179</v>
      </c>
      <c r="AG380" s="3" t="s">
        <v>2180</v>
      </c>
      <c r="AH380" s="3" t="s">
        <v>2179</v>
      </c>
      <c r="AI380" s="3" t="s">
        <v>73</v>
      </c>
      <c r="AJ380" s="3">
        <v>0</v>
      </c>
      <c r="AK380" s="3">
        <v>0</v>
      </c>
      <c r="AL380" s="3">
        <v>0</v>
      </c>
      <c r="AM380" s="3">
        <v>0</v>
      </c>
      <c r="AN380" s="3">
        <v>3</v>
      </c>
      <c r="AO380" s="3">
        <v>677</v>
      </c>
      <c r="AP380" s="3">
        <v>5.52</v>
      </c>
      <c r="AQ380" s="3" t="s">
        <v>713</v>
      </c>
      <c r="AR380" s="3" t="s">
        <v>714</v>
      </c>
      <c r="AS380" s="3" t="s">
        <v>713</v>
      </c>
      <c r="AT380" s="4">
        <v>44125</v>
      </c>
      <c r="AU380" s="3" t="s">
        <v>3385</v>
      </c>
      <c r="AV380" s="3">
        <v>37</v>
      </c>
      <c r="AW380" s="3" t="s">
        <v>968</v>
      </c>
    </row>
    <row r="381" spans="1:49" x14ac:dyDescent="0.55000000000000004">
      <c r="A381" s="3" t="str">
        <f>HYPERLINK("https://www.infodis.net/philips/net/Shipment/Details?InfodisNumber=4528930&amp;DomainCode=DAP", "4528930")</f>
        <v>4528930</v>
      </c>
      <c r="B381" s="3" t="s">
        <v>3594</v>
      </c>
      <c r="C381" s="3" t="s">
        <v>3582</v>
      </c>
      <c r="D381" s="3" t="s">
        <v>3583</v>
      </c>
      <c r="E381" s="3" t="s">
        <v>3582</v>
      </c>
      <c r="F381" s="3" t="s">
        <v>52</v>
      </c>
      <c r="G381" s="3" t="s">
        <v>3584</v>
      </c>
      <c r="H381" s="3" t="s">
        <v>207</v>
      </c>
      <c r="I381" s="3" t="s">
        <v>3585</v>
      </c>
      <c r="J381" s="3" t="s">
        <v>2367</v>
      </c>
      <c r="K381" s="3" t="s">
        <v>54</v>
      </c>
      <c r="L381" s="3" t="s">
        <v>55</v>
      </c>
      <c r="M381" s="3" t="s">
        <v>1489</v>
      </c>
      <c r="N381" s="3"/>
      <c r="O381" s="3"/>
      <c r="P381" s="3" t="s">
        <v>3586</v>
      </c>
      <c r="Q381" s="3" t="s">
        <v>3595</v>
      </c>
      <c r="R381" s="3" t="s">
        <v>63</v>
      </c>
      <c r="S381" s="4">
        <v>44110</v>
      </c>
      <c r="T381" s="4">
        <v>44113</v>
      </c>
      <c r="U381" s="4">
        <v>44116</v>
      </c>
      <c r="V381" s="4">
        <v>44116</v>
      </c>
      <c r="W381" s="4">
        <v>44117</v>
      </c>
      <c r="X381" s="4">
        <v>44124</v>
      </c>
      <c r="Y381" s="3" t="s">
        <v>2476</v>
      </c>
      <c r="Z381" s="3" t="s">
        <v>2476</v>
      </c>
      <c r="AA381" s="3" t="s">
        <v>2476</v>
      </c>
      <c r="AB381" s="3" t="s">
        <v>67</v>
      </c>
      <c r="AC381" s="3" t="s">
        <v>67</v>
      </c>
      <c r="AD381" s="3" t="s">
        <v>67</v>
      </c>
      <c r="AE381" s="3"/>
      <c r="AF381" s="3" t="s">
        <v>2179</v>
      </c>
      <c r="AG381" s="3" t="s">
        <v>2180</v>
      </c>
      <c r="AH381" s="3" t="s">
        <v>2179</v>
      </c>
      <c r="AI381" s="3" t="s">
        <v>73</v>
      </c>
      <c r="AJ381" s="3">
        <v>0</v>
      </c>
      <c r="AK381" s="3">
        <v>0</v>
      </c>
      <c r="AL381" s="3">
        <v>0</v>
      </c>
      <c r="AM381" s="3">
        <v>0</v>
      </c>
      <c r="AN381" s="3">
        <v>3</v>
      </c>
      <c r="AO381" s="3">
        <v>129</v>
      </c>
      <c r="AP381" s="3">
        <v>0.71499999999999997</v>
      </c>
      <c r="AQ381" s="3" t="s">
        <v>713</v>
      </c>
      <c r="AR381" s="3" t="s">
        <v>714</v>
      </c>
      <c r="AS381" s="3" t="s">
        <v>713</v>
      </c>
      <c r="AT381" s="4">
        <v>44127</v>
      </c>
      <c r="AU381" s="3" t="s">
        <v>3588</v>
      </c>
      <c r="AV381" s="3">
        <v>35</v>
      </c>
      <c r="AW381" s="3" t="s">
        <v>3589</v>
      </c>
    </row>
    <row r="382" spans="1:49" x14ac:dyDescent="0.55000000000000004">
      <c r="A382" s="3" t="str">
        <f>HYPERLINK("https://www.infodis.net/philips/net/Shipment/Details?InfodisNumber=4532177&amp;DomainCode=DAP", "4532177")</f>
        <v>4532177</v>
      </c>
      <c r="B382" s="3" t="s">
        <v>3596</v>
      </c>
      <c r="C382" s="3" t="s">
        <v>3597</v>
      </c>
      <c r="D382" s="3" t="s">
        <v>3598</v>
      </c>
      <c r="E382" s="3" t="s">
        <v>2048</v>
      </c>
      <c r="F382" s="3" t="s">
        <v>1078</v>
      </c>
      <c r="G382" s="3" t="s">
        <v>1262</v>
      </c>
      <c r="H382" s="3" t="s">
        <v>1263</v>
      </c>
      <c r="I382" s="3" t="s">
        <v>3599</v>
      </c>
      <c r="J382" s="3" t="s">
        <v>194</v>
      </c>
      <c r="K382" s="3" t="s">
        <v>269</v>
      </c>
      <c r="L382" s="3" t="s">
        <v>180</v>
      </c>
      <c r="M382" s="3" t="s">
        <v>60</v>
      </c>
      <c r="N382" s="3"/>
      <c r="O382" s="3"/>
      <c r="P382" s="3" t="s">
        <v>1264</v>
      </c>
      <c r="Q382" s="3"/>
      <c r="R382" s="3" t="s">
        <v>271</v>
      </c>
      <c r="S382" s="4">
        <v>44116</v>
      </c>
      <c r="T382" s="4">
        <v>44118</v>
      </c>
      <c r="U382" s="4">
        <v>44117</v>
      </c>
      <c r="V382" s="4">
        <v>44121</v>
      </c>
      <c r="W382" s="3"/>
      <c r="X382" s="3"/>
      <c r="Y382" s="3" t="s">
        <v>3600</v>
      </c>
      <c r="Z382" s="3" t="s">
        <v>3600</v>
      </c>
      <c r="AA382" s="3" t="s">
        <v>3600</v>
      </c>
      <c r="AB382" s="3" t="s">
        <v>67</v>
      </c>
      <c r="AC382" s="3" t="s">
        <v>67</v>
      </c>
      <c r="AD382" s="3" t="s">
        <v>67</v>
      </c>
      <c r="AE382" s="3"/>
      <c r="AF382" s="3" t="s">
        <v>2179</v>
      </c>
      <c r="AG382" s="3" t="s">
        <v>2180</v>
      </c>
      <c r="AH382" s="3" t="s">
        <v>2179</v>
      </c>
      <c r="AI382" s="3" t="s">
        <v>73</v>
      </c>
      <c r="AJ382" s="3">
        <v>0</v>
      </c>
      <c r="AK382" s="3">
        <v>0</v>
      </c>
      <c r="AL382" s="3">
        <v>0</v>
      </c>
      <c r="AM382" s="3">
        <v>0</v>
      </c>
      <c r="AN382" s="3">
        <v>10</v>
      </c>
      <c r="AO382" s="3">
        <v>1634.7850000000001</v>
      </c>
      <c r="AP382" s="3">
        <v>8.9700000000000006</v>
      </c>
      <c r="AQ382" s="3" t="s">
        <v>713</v>
      </c>
      <c r="AR382" s="3" t="s">
        <v>714</v>
      </c>
      <c r="AS382" s="3" t="s">
        <v>713</v>
      </c>
      <c r="AT382" s="4">
        <v>44124</v>
      </c>
      <c r="AU382" s="3" t="s">
        <v>3601</v>
      </c>
      <c r="AV382" s="3">
        <v>38</v>
      </c>
      <c r="AW382" s="3" t="s">
        <v>3602</v>
      </c>
    </row>
    <row r="383" spans="1:49" x14ac:dyDescent="0.55000000000000004">
      <c r="A383" s="3" t="str">
        <f>HYPERLINK("https://www.infodis.net/philips/net/Shipment/Details?InfodisNumber=4532394&amp;DomainCode=DAP", "4532394")</f>
        <v>4532394</v>
      </c>
      <c r="B383" s="3" t="s">
        <v>3603</v>
      </c>
      <c r="C383" s="3" t="s">
        <v>3582</v>
      </c>
      <c r="D383" s="3" t="s">
        <v>3583</v>
      </c>
      <c r="E383" s="3" t="s">
        <v>3582</v>
      </c>
      <c r="F383" s="3" t="s">
        <v>52</v>
      </c>
      <c r="G383" s="3" t="s">
        <v>3584</v>
      </c>
      <c r="H383" s="3" t="s">
        <v>207</v>
      </c>
      <c r="I383" s="3" t="s">
        <v>3585</v>
      </c>
      <c r="J383" s="3" t="s">
        <v>2367</v>
      </c>
      <c r="K383" s="3" t="s">
        <v>54</v>
      </c>
      <c r="L383" s="3" t="s">
        <v>55</v>
      </c>
      <c r="M383" s="3" t="s">
        <v>1489</v>
      </c>
      <c r="N383" s="3"/>
      <c r="O383" s="3"/>
      <c r="P383" s="3" t="s">
        <v>3586</v>
      </c>
      <c r="Q383" s="3" t="s">
        <v>3604</v>
      </c>
      <c r="R383" s="3" t="s">
        <v>63</v>
      </c>
      <c r="S383" s="4">
        <v>44116</v>
      </c>
      <c r="T383" s="4">
        <v>44120</v>
      </c>
      <c r="U383" s="4">
        <v>44120</v>
      </c>
      <c r="V383" s="4">
        <v>44123</v>
      </c>
      <c r="W383" s="4">
        <v>44121</v>
      </c>
      <c r="X383" s="4">
        <v>44126</v>
      </c>
      <c r="Y383" s="3" t="s">
        <v>2476</v>
      </c>
      <c r="Z383" s="3" t="s">
        <v>2476</v>
      </c>
      <c r="AA383" s="3" t="s">
        <v>2476</v>
      </c>
      <c r="AB383" s="3" t="s">
        <v>67</v>
      </c>
      <c r="AC383" s="3" t="s">
        <v>67</v>
      </c>
      <c r="AD383" s="3" t="s">
        <v>67</v>
      </c>
      <c r="AE383" s="3"/>
      <c r="AF383" s="3" t="s">
        <v>2179</v>
      </c>
      <c r="AG383" s="3" t="s">
        <v>2180</v>
      </c>
      <c r="AH383" s="3" t="s">
        <v>2179</v>
      </c>
      <c r="AI383" s="3" t="s">
        <v>73</v>
      </c>
      <c r="AJ383" s="3">
        <v>0</v>
      </c>
      <c r="AK383" s="3">
        <v>0</v>
      </c>
      <c r="AL383" s="3">
        <v>0</v>
      </c>
      <c r="AM383" s="3">
        <v>0</v>
      </c>
      <c r="AN383" s="3">
        <v>3</v>
      </c>
      <c r="AO383" s="3">
        <v>150</v>
      </c>
      <c r="AP383" s="3">
        <v>0.88300000000000001</v>
      </c>
      <c r="AQ383" s="3" t="s">
        <v>713</v>
      </c>
      <c r="AR383" s="3" t="s">
        <v>714</v>
      </c>
      <c r="AS383" s="3" t="s">
        <v>713</v>
      </c>
      <c r="AT383" s="4">
        <v>44127</v>
      </c>
      <c r="AU383" s="3" t="s">
        <v>3588</v>
      </c>
      <c r="AV383" s="3">
        <v>35</v>
      </c>
      <c r="AW383" s="3" t="s">
        <v>3589</v>
      </c>
    </row>
    <row r="384" spans="1:49" x14ac:dyDescent="0.55000000000000004">
      <c r="A384" s="3" t="str">
        <f>HYPERLINK("https://www.infodis.net/philips/net/Shipment/Details?InfodisNumber=4532541&amp;DomainCode=DAP", "4532541")</f>
        <v>4532541</v>
      </c>
      <c r="B384" s="3" t="s">
        <v>3605</v>
      </c>
      <c r="C384" s="3" t="s">
        <v>2931</v>
      </c>
      <c r="D384" s="3" t="s">
        <v>2932</v>
      </c>
      <c r="E384" s="3" t="s">
        <v>2931</v>
      </c>
      <c r="F384" s="3" t="s">
        <v>167</v>
      </c>
      <c r="G384" s="3" t="s">
        <v>2933</v>
      </c>
      <c r="H384" s="3" t="s">
        <v>881</v>
      </c>
      <c r="I384" s="3" t="s">
        <v>2934</v>
      </c>
      <c r="J384" s="3" t="s">
        <v>2405</v>
      </c>
      <c r="K384" s="3" t="s">
        <v>1125</v>
      </c>
      <c r="L384" s="3" t="s">
        <v>172</v>
      </c>
      <c r="M384" s="3" t="s">
        <v>1489</v>
      </c>
      <c r="N384" s="3"/>
      <c r="O384" s="3"/>
      <c r="P384" s="3" t="s">
        <v>2935</v>
      </c>
      <c r="Q384" s="3"/>
      <c r="R384" s="3" t="s">
        <v>1128</v>
      </c>
      <c r="S384" s="4">
        <v>44116</v>
      </c>
      <c r="T384" s="4">
        <v>44117</v>
      </c>
      <c r="U384" s="3"/>
      <c r="V384" s="4">
        <v>44120</v>
      </c>
      <c r="W384" s="3"/>
      <c r="X384" s="3"/>
      <c r="Y384" s="3" t="s">
        <v>2411</v>
      </c>
      <c r="Z384" s="3" t="s">
        <v>2411</v>
      </c>
      <c r="AA384" s="3" t="s">
        <v>2411</v>
      </c>
      <c r="AB384" s="3" t="s">
        <v>67</v>
      </c>
      <c r="AC384" s="3" t="s">
        <v>67</v>
      </c>
      <c r="AD384" s="3" t="s">
        <v>67</v>
      </c>
      <c r="AE384" s="3"/>
      <c r="AF384" s="3" t="s">
        <v>2179</v>
      </c>
      <c r="AG384" s="3" t="s">
        <v>2180</v>
      </c>
      <c r="AH384" s="3" t="s">
        <v>2179</v>
      </c>
      <c r="AI384" s="3" t="s">
        <v>73</v>
      </c>
      <c r="AJ384" s="3">
        <v>0</v>
      </c>
      <c r="AK384" s="3">
        <v>0</v>
      </c>
      <c r="AL384" s="3">
        <v>0</v>
      </c>
      <c r="AM384" s="3">
        <v>0</v>
      </c>
      <c r="AN384" s="3">
        <v>1</v>
      </c>
      <c r="AO384" s="3">
        <v>510</v>
      </c>
      <c r="AP384" s="3">
        <v>0.70099999999999996</v>
      </c>
      <c r="AQ384" s="3" t="s">
        <v>713</v>
      </c>
      <c r="AR384" s="3" t="s">
        <v>714</v>
      </c>
      <c r="AS384" s="3" t="s">
        <v>713</v>
      </c>
      <c r="AT384" s="4">
        <v>44124</v>
      </c>
      <c r="AU384" s="3" t="s">
        <v>3606</v>
      </c>
      <c r="AV384" s="3">
        <v>38</v>
      </c>
      <c r="AW384" s="3" t="s">
        <v>3485</v>
      </c>
    </row>
    <row r="385" spans="1:49" x14ac:dyDescent="0.55000000000000004">
      <c r="A385" s="3" t="str">
        <f>HYPERLINK("https://www.infodis.net/philips/net/Shipment/Details?InfodisNumber=4532670&amp;DomainCode=DAP", "4532670")</f>
        <v>4532670</v>
      </c>
      <c r="B385" s="3" t="s">
        <v>3607</v>
      </c>
      <c r="C385" s="3" t="s">
        <v>2344</v>
      </c>
      <c r="D385" s="3" t="s">
        <v>2345</v>
      </c>
      <c r="E385" s="3" t="s">
        <v>191</v>
      </c>
      <c r="F385" s="3" t="s">
        <v>191</v>
      </c>
      <c r="G385" s="3" t="s">
        <v>281</v>
      </c>
      <c r="H385" s="3" t="s">
        <v>79</v>
      </c>
      <c r="I385" s="3" t="s">
        <v>282</v>
      </c>
      <c r="J385" s="3" t="s">
        <v>194</v>
      </c>
      <c r="K385" s="3" t="s">
        <v>269</v>
      </c>
      <c r="L385" s="3" t="s">
        <v>180</v>
      </c>
      <c r="M385" s="3" t="s">
        <v>84</v>
      </c>
      <c r="N385" s="3"/>
      <c r="O385" s="3"/>
      <c r="P385" s="3" t="s">
        <v>286</v>
      </c>
      <c r="Q385" s="3"/>
      <c r="R385" s="3" t="s">
        <v>271</v>
      </c>
      <c r="S385" s="4">
        <v>44117</v>
      </c>
      <c r="T385" s="4">
        <v>44120</v>
      </c>
      <c r="U385" s="3"/>
      <c r="V385" s="4">
        <v>44123</v>
      </c>
      <c r="W385" s="3"/>
      <c r="X385" s="3"/>
      <c r="Y385" s="3" t="s">
        <v>66</v>
      </c>
      <c r="Z385" s="3" t="s">
        <v>2371</v>
      </c>
      <c r="AA385" s="3" t="s">
        <v>2371</v>
      </c>
      <c r="AB385" s="3" t="s">
        <v>68</v>
      </c>
      <c r="AC385" s="3" t="s">
        <v>67</v>
      </c>
      <c r="AD385" s="3" t="s">
        <v>67</v>
      </c>
      <c r="AE385" s="3"/>
      <c r="AF385" s="3" t="s">
        <v>2179</v>
      </c>
      <c r="AG385" s="3" t="s">
        <v>2180</v>
      </c>
      <c r="AH385" s="3" t="s">
        <v>2179</v>
      </c>
      <c r="AI385" s="3" t="s">
        <v>73</v>
      </c>
      <c r="AJ385" s="3">
        <v>0</v>
      </c>
      <c r="AK385" s="3">
        <v>0</v>
      </c>
      <c r="AL385" s="3">
        <v>0</v>
      </c>
      <c r="AM385" s="3">
        <v>0</v>
      </c>
      <c r="AN385" s="3">
        <v>12</v>
      </c>
      <c r="AO385" s="3">
        <v>2160</v>
      </c>
      <c r="AP385" s="3">
        <v>17.28</v>
      </c>
      <c r="AQ385" s="3" t="s">
        <v>713</v>
      </c>
      <c r="AR385" s="3" t="s">
        <v>714</v>
      </c>
      <c r="AS385" s="3" t="s">
        <v>713</v>
      </c>
      <c r="AT385" s="4">
        <v>44125</v>
      </c>
      <c r="AU385" s="3" t="s">
        <v>3411</v>
      </c>
      <c r="AV385" s="3">
        <v>37</v>
      </c>
      <c r="AW385" s="3" t="s">
        <v>763</v>
      </c>
    </row>
    <row r="386" spans="1:49" x14ac:dyDescent="0.55000000000000004">
      <c r="A386" s="3" t="str">
        <f>HYPERLINK("https://www.infodis.net/philips/net/Shipment/Details?InfodisNumber=1537932&amp;DomainCode=PHILIPSM1", "1537932")</f>
        <v>1537932</v>
      </c>
      <c r="B386" s="3" t="s">
        <v>3608</v>
      </c>
      <c r="C386" s="3" t="s">
        <v>3609</v>
      </c>
      <c r="D386" s="3" t="s">
        <v>3610</v>
      </c>
      <c r="E386" s="3" t="s">
        <v>3611</v>
      </c>
      <c r="F386" s="3" t="s">
        <v>3612</v>
      </c>
      <c r="G386" s="3" t="s">
        <v>3613</v>
      </c>
      <c r="H386" s="3" t="s">
        <v>180</v>
      </c>
      <c r="I386" s="3" t="s">
        <v>3611</v>
      </c>
      <c r="J386" s="3" t="s">
        <v>2455</v>
      </c>
      <c r="K386" s="3" t="s">
        <v>2456</v>
      </c>
      <c r="L386" s="3" t="s">
        <v>321</v>
      </c>
      <c r="M386" s="3" t="s">
        <v>60</v>
      </c>
      <c r="N386" s="3"/>
      <c r="O386" s="3"/>
      <c r="P386" s="3" t="s">
        <v>3614</v>
      </c>
      <c r="Q386" s="3"/>
      <c r="R386" s="3" t="s">
        <v>2459</v>
      </c>
      <c r="S386" s="4">
        <v>44117</v>
      </c>
      <c r="T386" s="4">
        <v>44117</v>
      </c>
      <c r="U386" s="3"/>
      <c r="V386" s="4">
        <v>44120</v>
      </c>
      <c r="W386" s="3"/>
      <c r="X386" s="3"/>
      <c r="Y386" s="3" t="s">
        <v>3615</v>
      </c>
      <c r="Z386" s="3" t="s">
        <v>3615</v>
      </c>
      <c r="AA386" s="3" t="s">
        <v>3615</v>
      </c>
      <c r="AB386" s="3" t="s">
        <v>67</v>
      </c>
      <c r="AC386" s="3" t="s">
        <v>67</v>
      </c>
      <c r="AD386" s="3" t="s">
        <v>67</v>
      </c>
      <c r="AE386" s="3"/>
      <c r="AF386" s="3" t="s">
        <v>2179</v>
      </c>
      <c r="AG386" s="3" t="s">
        <v>2180</v>
      </c>
      <c r="AH386" s="3" t="s">
        <v>2179</v>
      </c>
      <c r="AI386" s="3" t="s">
        <v>605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133.36000000000001</v>
      </c>
      <c r="AP386" s="3">
        <v>0</v>
      </c>
      <c r="AQ386" s="3" t="s">
        <v>713</v>
      </c>
      <c r="AR386" s="3" t="s">
        <v>714</v>
      </c>
      <c r="AS386" s="3" t="s">
        <v>713</v>
      </c>
      <c r="AT386" s="4">
        <v>44127</v>
      </c>
      <c r="AU386" s="3" t="s">
        <v>3616</v>
      </c>
      <c r="AV386" s="3">
        <v>35</v>
      </c>
      <c r="AW386" s="3" t="s">
        <v>3617</v>
      </c>
    </row>
    <row r="387" spans="1:49" x14ac:dyDescent="0.55000000000000004">
      <c r="A387" s="3" t="str">
        <f>HYPERLINK("https://www.infodis.net/philips/net/Shipment/Details?InfodisNumber=4528347&amp;DomainCode=DAP", "4528347")</f>
        <v>4528347</v>
      </c>
      <c r="B387" s="3" t="s">
        <v>3618</v>
      </c>
      <c r="C387" s="3" t="s">
        <v>2402</v>
      </c>
      <c r="D387" s="3" t="s">
        <v>2403</v>
      </c>
      <c r="E387" s="3" t="s">
        <v>2402</v>
      </c>
      <c r="F387" s="3" t="s">
        <v>167</v>
      </c>
      <c r="G387" s="3" t="s">
        <v>2404</v>
      </c>
      <c r="H387" s="3" t="s">
        <v>881</v>
      </c>
      <c r="I387" s="3" t="s">
        <v>2934</v>
      </c>
      <c r="J387" s="3" t="s">
        <v>2405</v>
      </c>
      <c r="K387" s="3" t="s">
        <v>171</v>
      </c>
      <c r="L387" s="3" t="s">
        <v>172</v>
      </c>
      <c r="M387" s="3" t="s">
        <v>1489</v>
      </c>
      <c r="N387" s="3"/>
      <c r="O387" s="3"/>
      <c r="P387" s="3" t="s">
        <v>2406</v>
      </c>
      <c r="Q387" s="3"/>
      <c r="R387" s="3" t="s">
        <v>174</v>
      </c>
      <c r="S387" s="4">
        <v>44109</v>
      </c>
      <c r="T387" s="4">
        <v>44109</v>
      </c>
      <c r="U387" s="3"/>
      <c r="V387" s="4">
        <v>44112</v>
      </c>
      <c r="W387" s="3"/>
      <c r="X387" s="3"/>
      <c r="Y387" s="3" t="s">
        <v>2398</v>
      </c>
      <c r="Z387" s="3" t="s">
        <v>2398</v>
      </c>
      <c r="AA387" s="3" t="s">
        <v>2398</v>
      </c>
      <c r="AB387" s="3" t="s">
        <v>67</v>
      </c>
      <c r="AC387" s="3" t="s">
        <v>67</v>
      </c>
      <c r="AD387" s="3" t="s">
        <v>67</v>
      </c>
      <c r="AE387" s="3"/>
      <c r="AF387" s="3" t="s">
        <v>2179</v>
      </c>
      <c r="AG387" s="3" t="s">
        <v>2180</v>
      </c>
      <c r="AH387" s="3" t="s">
        <v>2179</v>
      </c>
      <c r="AI387" s="3" t="s">
        <v>73</v>
      </c>
      <c r="AJ387" s="3">
        <v>0</v>
      </c>
      <c r="AK387" s="3">
        <v>0</v>
      </c>
      <c r="AL387" s="3">
        <v>0</v>
      </c>
      <c r="AM387" s="3">
        <v>0</v>
      </c>
      <c r="AN387" s="3">
        <v>3</v>
      </c>
      <c r="AO387" s="3">
        <v>758.5</v>
      </c>
      <c r="AP387" s="3">
        <v>-1</v>
      </c>
      <c r="AQ387" s="3" t="s">
        <v>713</v>
      </c>
      <c r="AR387" s="3" t="s">
        <v>714</v>
      </c>
      <c r="AS387" s="3" t="s">
        <v>713</v>
      </c>
      <c r="AT387" s="4">
        <v>44131</v>
      </c>
      <c r="AU387" s="3" t="s">
        <v>3577</v>
      </c>
      <c r="AV387" s="3">
        <v>31</v>
      </c>
      <c r="AW387" s="3" t="s">
        <v>3578</v>
      </c>
    </row>
    <row r="388" spans="1:49" x14ac:dyDescent="0.55000000000000004">
      <c r="A388" s="3" t="str">
        <f>HYPERLINK("https://www.infodis.net/philips/net/Shipment/Details?InfodisNumber=4418168&amp;DomainCode=DAP", "4418168")</f>
        <v>4418168</v>
      </c>
      <c r="B388" s="3" t="s">
        <v>3619</v>
      </c>
      <c r="C388" s="3" t="s">
        <v>2631</v>
      </c>
      <c r="D388" s="3" t="s">
        <v>2632</v>
      </c>
      <c r="E388" s="3" t="s">
        <v>2631</v>
      </c>
      <c r="F388" s="3" t="s">
        <v>393</v>
      </c>
      <c r="G388" s="3" t="s">
        <v>2633</v>
      </c>
      <c r="H388" s="3" t="s">
        <v>2204</v>
      </c>
      <c r="I388" s="3" t="s">
        <v>2279</v>
      </c>
      <c r="J388" s="3" t="s">
        <v>268</v>
      </c>
      <c r="K388" s="3" t="s">
        <v>855</v>
      </c>
      <c r="L388" s="3" t="s">
        <v>267</v>
      </c>
      <c r="M388" s="3" t="s">
        <v>84</v>
      </c>
      <c r="N388" s="3"/>
      <c r="O388" s="3"/>
      <c r="P388" s="3" t="s">
        <v>2635</v>
      </c>
      <c r="Q388" s="3" t="s">
        <v>3620</v>
      </c>
      <c r="R388" s="3" t="s">
        <v>268</v>
      </c>
      <c r="S388" s="4">
        <v>43915</v>
      </c>
      <c r="T388" s="4">
        <v>43916</v>
      </c>
      <c r="U388" s="4">
        <v>43916</v>
      </c>
      <c r="V388" s="4">
        <v>43919</v>
      </c>
      <c r="W388" s="4">
        <v>43917</v>
      </c>
      <c r="X388" s="4">
        <v>43928</v>
      </c>
      <c r="Y388" s="3" t="s">
        <v>2411</v>
      </c>
      <c r="Z388" s="3" t="s">
        <v>2411</v>
      </c>
      <c r="AA388" s="3" t="s">
        <v>2411</v>
      </c>
      <c r="AB388" s="3" t="s">
        <v>67</v>
      </c>
      <c r="AC388" s="3" t="s">
        <v>67</v>
      </c>
      <c r="AD388" s="3" t="s">
        <v>67</v>
      </c>
      <c r="AE388" s="3"/>
      <c r="AF388" s="3" t="s">
        <v>2179</v>
      </c>
      <c r="AG388" s="3" t="s">
        <v>2180</v>
      </c>
      <c r="AH388" s="3" t="s">
        <v>2179</v>
      </c>
      <c r="AI388" s="3" t="s">
        <v>73</v>
      </c>
      <c r="AJ388" s="3">
        <v>0</v>
      </c>
      <c r="AK388" s="3">
        <v>0</v>
      </c>
      <c r="AL388" s="3">
        <v>0</v>
      </c>
      <c r="AM388" s="3">
        <v>0</v>
      </c>
      <c r="AN388" s="3">
        <v>1</v>
      </c>
      <c r="AO388" s="3">
        <v>56</v>
      </c>
      <c r="AP388" s="3">
        <v>0.38400000000000001</v>
      </c>
      <c r="AQ388" s="3" t="s">
        <v>713</v>
      </c>
      <c r="AR388" s="3" t="s">
        <v>714</v>
      </c>
      <c r="AS388" s="3" t="s">
        <v>713</v>
      </c>
      <c r="AT388" s="4">
        <v>43917</v>
      </c>
      <c r="AU388" s="3" t="s">
        <v>3621</v>
      </c>
      <c r="AV388" s="3">
        <v>245</v>
      </c>
      <c r="AW388" s="3" t="s">
        <v>3622</v>
      </c>
    </row>
    <row r="389" spans="1:49" x14ac:dyDescent="0.55000000000000004">
      <c r="A389" s="3" t="str">
        <f>HYPERLINK("https://www.infodis.net/philips/net/Shipment/Details?InfodisNumber=4494518&amp;DomainCode=DAP", "4494518")</f>
        <v>4494518</v>
      </c>
      <c r="B389" s="3" t="s">
        <v>3623</v>
      </c>
      <c r="C389" s="3" t="s">
        <v>3624</v>
      </c>
      <c r="D389" s="3" t="s">
        <v>3625</v>
      </c>
      <c r="E389" s="3" t="s">
        <v>3624</v>
      </c>
      <c r="F389" s="3" t="s">
        <v>3503</v>
      </c>
      <c r="G389" s="3" t="s">
        <v>3626</v>
      </c>
      <c r="H389" s="3" t="s">
        <v>55</v>
      </c>
      <c r="I389" s="3" t="s">
        <v>2367</v>
      </c>
      <c r="J389" s="3" t="s">
        <v>2757</v>
      </c>
      <c r="K389" s="3" t="s">
        <v>3504</v>
      </c>
      <c r="L389" s="3" t="s">
        <v>180</v>
      </c>
      <c r="M389" s="3" t="s">
        <v>84</v>
      </c>
      <c r="N389" s="3"/>
      <c r="O389" s="3"/>
      <c r="P389" s="3" t="s">
        <v>3627</v>
      </c>
      <c r="Q389" s="3" t="s">
        <v>3628</v>
      </c>
      <c r="R389" s="3" t="s">
        <v>3507</v>
      </c>
      <c r="S389" s="4">
        <v>44062</v>
      </c>
      <c r="T389" s="4">
        <v>44062</v>
      </c>
      <c r="U389" s="4">
        <v>44062</v>
      </c>
      <c r="V389" s="4">
        <v>44065</v>
      </c>
      <c r="W389" s="4">
        <v>44070</v>
      </c>
      <c r="X389" s="4">
        <v>44077</v>
      </c>
      <c r="Y389" s="3" t="s">
        <v>2398</v>
      </c>
      <c r="Z389" s="3" t="s">
        <v>2398</v>
      </c>
      <c r="AA389" s="3" t="s">
        <v>2398</v>
      </c>
      <c r="AB389" s="3" t="s">
        <v>67</v>
      </c>
      <c r="AC389" s="3" t="s">
        <v>67</v>
      </c>
      <c r="AD389" s="3" t="s">
        <v>67</v>
      </c>
      <c r="AE389" s="3"/>
      <c r="AF389" s="3" t="s">
        <v>2179</v>
      </c>
      <c r="AG389" s="3" t="s">
        <v>2180</v>
      </c>
      <c r="AH389" s="3" t="s">
        <v>2179</v>
      </c>
      <c r="AI389" s="3" t="s">
        <v>73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204</v>
      </c>
      <c r="AP389" s="3">
        <v>0.60499999999999998</v>
      </c>
      <c r="AQ389" s="3" t="s">
        <v>713</v>
      </c>
      <c r="AR389" s="3" t="s">
        <v>714</v>
      </c>
      <c r="AS389" s="3" t="s">
        <v>713</v>
      </c>
      <c r="AT389" s="4">
        <v>44103</v>
      </c>
      <c r="AU389" s="3" t="s">
        <v>3484</v>
      </c>
      <c r="AV389" s="3">
        <v>59</v>
      </c>
      <c r="AW389" s="3" t="s">
        <v>3485</v>
      </c>
    </row>
    <row r="390" spans="1:49" x14ac:dyDescent="0.55000000000000004">
      <c r="A390" s="3" t="str">
        <f>HYPERLINK("https://www.infodis.net/philips/net/Shipment/Details?InfodisNumber=6973182&amp;DomainCode=PHILIPSR1", "6973182")</f>
        <v>6973182</v>
      </c>
      <c r="B390" s="3" t="s">
        <v>3629</v>
      </c>
      <c r="C390" s="3" t="s">
        <v>2471</v>
      </c>
      <c r="D390" s="3" t="s">
        <v>2472</v>
      </c>
      <c r="E390" s="3" t="s">
        <v>458</v>
      </c>
      <c r="F390" s="3" t="s">
        <v>2473</v>
      </c>
      <c r="G390" s="3" t="s">
        <v>2429</v>
      </c>
      <c r="H390" s="3" t="s">
        <v>180</v>
      </c>
      <c r="I390" s="3" t="s">
        <v>652</v>
      </c>
      <c r="J390" s="3" t="s">
        <v>2396</v>
      </c>
      <c r="K390" s="3" t="s">
        <v>433</v>
      </c>
      <c r="L390" s="3" t="s">
        <v>79</v>
      </c>
      <c r="M390" s="3" t="s">
        <v>60</v>
      </c>
      <c r="N390" s="3"/>
      <c r="O390" s="3"/>
      <c r="P390" s="3" t="s">
        <v>613</v>
      </c>
      <c r="Q390" s="3" t="s">
        <v>3630</v>
      </c>
      <c r="R390" s="3" t="s">
        <v>2475</v>
      </c>
      <c r="S390" s="4">
        <v>44146</v>
      </c>
      <c r="T390" s="4">
        <v>44147</v>
      </c>
      <c r="U390" s="4">
        <v>44146</v>
      </c>
      <c r="V390" s="4">
        <v>44150</v>
      </c>
      <c r="W390" s="4">
        <v>44149</v>
      </c>
      <c r="X390" s="4">
        <v>44154</v>
      </c>
      <c r="Y390" s="3" t="s">
        <v>2476</v>
      </c>
      <c r="Z390" s="3" t="s">
        <v>2476</v>
      </c>
      <c r="AA390" s="3" t="s">
        <v>2476</v>
      </c>
      <c r="AB390" s="3" t="s">
        <v>67</v>
      </c>
      <c r="AC390" s="3" t="s">
        <v>67</v>
      </c>
      <c r="AD390" s="3" t="s">
        <v>67</v>
      </c>
      <c r="AE390" s="3"/>
      <c r="AF390" s="3" t="s">
        <v>2179</v>
      </c>
      <c r="AG390" s="3" t="s">
        <v>2180</v>
      </c>
      <c r="AH390" s="3" t="s">
        <v>2179</v>
      </c>
      <c r="AI390" s="3" t="s">
        <v>252</v>
      </c>
      <c r="AJ390" s="3">
        <v>0</v>
      </c>
      <c r="AK390" s="3">
        <v>0</v>
      </c>
      <c r="AL390" s="3">
        <v>0</v>
      </c>
      <c r="AM390" s="3">
        <v>0</v>
      </c>
      <c r="AN390" s="3">
        <v>6</v>
      </c>
      <c r="AO390" s="3">
        <v>871.35</v>
      </c>
      <c r="AP390" s="3">
        <v>11.502000000000001</v>
      </c>
      <c r="AQ390" s="3" t="s">
        <v>713</v>
      </c>
      <c r="AR390" s="3" t="s">
        <v>714</v>
      </c>
      <c r="AS390" s="3" t="s">
        <v>713</v>
      </c>
      <c r="AT390" s="4">
        <v>44147</v>
      </c>
      <c r="AU390" s="3" t="s">
        <v>3445</v>
      </c>
      <c r="AV390" s="3">
        <v>15</v>
      </c>
      <c r="AW390" s="3" t="s">
        <v>3446</v>
      </c>
    </row>
    <row r="391" spans="1:49" x14ac:dyDescent="0.55000000000000004">
      <c r="A391" s="3" t="str">
        <f>HYPERLINK("https://www.infodis.net/philips/net/Shipment/Details?InfodisNumber=5998376&amp;DomainCode=PHILIPSR1", "5998376")</f>
        <v>5998376</v>
      </c>
      <c r="B391" s="3" t="s">
        <v>3631</v>
      </c>
      <c r="C391" s="3" t="s">
        <v>2580</v>
      </c>
      <c r="D391" s="3" t="s">
        <v>2581</v>
      </c>
      <c r="E391" s="3" t="s">
        <v>1187</v>
      </c>
      <c r="F391" s="3" t="s">
        <v>651</v>
      </c>
      <c r="G391" s="3" t="s">
        <v>880</v>
      </c>
      <c r="H391" s="3" t="s">
        <v>881</v>
      </c>
      <c r="I391" s="3" t="s">
        <v>2583</v>
      </c>
      <c r="J391" s="3" t="s">
        <v>157</v>
      </c>
      <c r="K391" s="3" t="s">
        <v>653</v>
      </c>
      <c r="L391" s="3" t="s">
        <v>159</v>
      </c>
      <c r="M391" s="3" t="s">
        <v>60</v>
      </c>
      <c r="N391" s="3"/>
      <c r="O391" s="3"/>
      <c r="P391" s="3" t="s">
        <v>888</v>
      </c>
      <c r="Q391" s="3"/>
      <c r="R391" s="3" t="s">
        <v>655</v>
      </c>
      <c r="S391" s="4">
        <v>43791</v>
      </c>
      <c r="T391" s="4">
        <v>43791</v>
      </c>
      <c r="U391" s="4">
        <v>43791</v>
      </c>
      <c r="V391" s="4">
        <v>43794</v>
      </c>
      <c r="W391" s="4">
        <v>43797</v>
      </c>
      <c r="X391" s="3"/>
      <c r="Y391" s="3" t="s">
        <v>2518</v>
      </c>
      <c r="Z391" s="3" t="s">
        <v>2518</v>
      </c>
      <c r="AA391" s="3" t="s">
        <v>2518</v>
      </c>
      <c r="AB391" s="3" t="s">
        <v>67</v>
      </c>
      <c r="AC391" s="3" t="s">
        <v>67</v>
      </c>
      <c r="AD391" s="3" t="s">
        <v>67</v>
      </c>
      <c r="AE391" s="3"/>
      <c r="AF391" s="3" t="s">
        <v>2179</v>
      </c>
      <c r="AG391" s="3" t="s">
        <v>2180</v>
      </c>
      <c r="AH391" s="3" t="s">
        <v>2179</v>
      </c>
      <c r="AI391" s="3" t="s">
        <v>252</v>
      </c>
      <c r="AJ391" s="3">
        <v>0</v>
      </c>
      <c r="AK391" s="3">
        <v>0</v>
      </c>
      <c r="AL391" s="3">
        <v>0</v>
      </c>
      <c r="AM391" s="3">
        <v>0</v>
      </c>
      <c r="AN391" s="3">
        <v>18</v>
      </c>
      <c r="AO391" s="3">
        <v>2314</v>
      </c>
      <c r="AP391" s="3">
        <v>25.92</v>
      </c>
      <c r="AQ391" s="3" t="s">
        <v>713</v>
      </c>
      <c r="AR391" s="3" t="s">
        <v>714</v>
      </c>
      <c r="AS391" s="3" t="s">
        <v>713</v>
      </c>
      <c r="AT391" s="4">
        <v>43895</v>
      </c>
      <c r="AU391" s="3" t="s">
        <v>3376</v>
      </c>
      <c r="AV391" s="3">
        <v>267</v>
      </c>
      <c r="AW391" s="3" t="s">
        <v>3377</v>
      </c>
    </row>
    <row r="392" spans="1:49" x14ac:dyDescent="0.55000000000000004">
      <c r="A392" s="3" t="str">
        <f>HYPERLINK("https://www.infodis.net/philips/net/Shipment/Details?InfodisNumber=6479259&amp;DomainCode=PHILIPSR1", "6479259")</f>
        <v>6479259</v>
      </c>
      <c r="B392" s="3" t="s">
        <v>3632</v>
      </c>
      <c r="C392" s="3" t="s">
        <v>3633</v>
      </c>
      <c r="D392" s="3" t="s">
        <v>3634</v>
      </c>
      <c r="E392" s="3" t="s">
        <v>3633</v>
      </c>
      <c r="F392" s="3" t="s">
        <v>1837</v>
      </c>
      <c r="G392" s="3" t="s">
        <v>1845</v>
      </c>
      <c r="H392" s="3" t="s">
        <v>79</v>
      </c>
      <c r="I392" s="3" t="s">
        <v>1813</v>
      </c>
      <c r="J392" s="3" t="s">
        <v>652</v>
      </c>
      <c r="K392" s="3" t="s">
        <v>1838</v>
      </c>
      <c r="L392" s="3" t="s">
        <v>180</v>
      </c>
      <c r="M392" s="3" t="s">
        <v>84</v>
      </c>
      <c r="N392" s="3"/>
      <c r="O392" s="3"/>
      <c r="P392" s="3" t="s">
        <v>1846</v>
      </c>
      <c r="Q392" s="3" t="s">
        <v>3635</v>
      </c>
      <c r="R392" s="3" t="s">
        <v>1840</v>
      </c>
      <c r="S392" s="4">
        <v>43964</v>
      </c>
      <c r="T392" s="4">
        <v>43976</v>
      </c>
      <c r="U392" s="4">
        <v>43977</v>
      </c>
      <c r="V392" s="4">
        <v>43979</v>
      </c>
      <c r="W392" s="4">
        <v>43981</v>
      </c>
      <c r="X392" s="4">
        <v>43983</v>
      </c>
      <c r="Y392" s="3" t="s">
        <v>3061</v>
      </c>
      <c r="Z392" s="3" t="s">
        <v>3061</v>
      </c>
      <c r="AA392" s="3" t="s">
        <v>3061</v>
      </c>
      <c r="AB392" s="3" t="s">
        <v>67</v>
      </c>
      <c r="AC392" s="3" t="s">
        <v>67</v>
      </c>
      <c r="AD392" s="3" t="s">
        <v>67</v>
      </c>
      <c r="AE392" s="3"/>
      <c r="AF392" s="3" t="s">
        <v>2179</v>
      </c>
      <c r="AG392" s="3" t="s">
        <v>2180</v>
      </c>
      <c r="AH392" s="3" t="s">
        <v>2179</v>
      </c>
      <c r="AI392" s="3" t="s">
        <v>252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67.56</v>
      </c>
      <c r="AP392" s="3">
        <v>0.21099999999999999</v>
      </c>
      <c r="AQ392" s="3" t="s">
        <v>713</v>
      </c>
      <c r="AR392" s="3" t="s">
        <v>714</v>
      </c>
      <c r="AS392" s="3" t="s">
        <v>713</v>
      </c>
      <c r="AT392" s="4">
        <v>43978</v>
      </c>
      <c r="AU392" s="3" t="s">
        <v>3636</v>
      </c>
      <c r="AV392" s="3">
        <v>184</v>
      </c>
      <c r="AW392" s="3" t="s">
        <v>3637</v>
      </c>
    </row>
    <row r="393" spans="1:49" x14ac:dyDescent="0.55000000000000004">
      <c r="A393" s="3" t="str">
        <f>HYPERLINK("https://www.infodis.net/philips/net/Shipment/Details?InfodisNumber=6479258&amp;DomainCode=PHILIPSR1", "6479258")</f>
        <v>6479258</v>
      </c>
      <c r="B393" s="3" t="s">
        <v>3638</v>
      </c>
      <c r="C393" s="3" t="s">
        <v>3633</v>
      </c>
      <c r="D393" s="3" t="s">
        <v>3634</v>
      </c>
      <c r="E393" s="3" t="s">
        <v>3633</v>
      </c>
      <c r="F393" s="3" t="s">
        <v>1837</v>
      </c>
      <c r="G393" s="3" t="s">
        <v>1845</v>
      </c>
      <c r="H393" s="3" t="s">
        <v>79</v>
      </c>
      <c r="I393" s="3" t="s">
        <v>1813</v>
      </c>
      <c r="J393" s="3" t="s">
        <v>652</v>
      </c>
      <c r="K393" s="3" t="s">
        <v>1838</v>
      </c>
      <c r="L393" s="3" t="s">
        <v>180</v>
      </c>
      <c r="M393" s="3" t="s">
        <v>84</v>
      </c>
      <c r="N393" s="3"/>
      <c r="O393" s="3"/>
      <c r="P393" s="3" t="s">
        <v>1846</v>
      </c>
      <c r="Q393" s="3" t="s">
        <v>3639</v>
      </c>
      <c r="R393" s="3" t="s">
        <v>1840</v>
      </c>
      <c r="S393" s="4">
        <v>43964</v>
      </c>
      <c r="T393" s="4">
        <v>43971</v>
      </c>
      <c r="U393" s="4">
        <v>43971</v>
      </c>
      <c r="V393" s="4">
        <v>43974</v>
      </c>
      <c r="W393" s="4">
        <v>43976</v>
      </c>
      <c r="X393" s="4">
        <v>43978</v>
      </c>
      <c r="Y393" s="3" t="s">
        <v>3061</v>
      </c>
      <c r="Z393" s="3" t="s">
        <v>3061</v>
      </c>
      <c r="AA393" s="3" t="s">
        <v>3061</v>
      </c>
      <c r="AB393" s="3" t="s">
        <v>67</v>
      </c>
      <c r="AC393" s="3" t="s">
        <v>67</v>
      </c>
      <c r="AD393" s="3" t="s">
        <v>67</v>
      </c>
      <c r="AE393" s="3"/>
      <c r="AF393" s="3" t="s">
        <v>2179</v>
      </c>
      <c r="AG393" s="3" t="s">
        <v>2180</v>
      </c>
      <c r="AH393" s="3" t="s">
        <v>2179</v>
      </c>
      <c r="AI393" s="3" t="s">
        <v>252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67.56</v>
      </c>
      <c r="AP393" s="3">
        <v>0.21099999999999999</v>
      </c>
      <c r="AQ393" s="3" t="s">
        <v>713</v>
      </c>
      <c r="AR393" s="3" t="s">
        <v>714</v>
      </c>
      <c r="AS393" s="3" t="s">
        <v>713</v>
      </c>
      <c r="AT393" s="4">
        <v>43978</v>
      </c>
      <c r="AU393" s="3" t="s">
        <v>3636</v>
      </c>
      <c r="AV393" s="3">
        <v>184</v>
      </c>
      <c r="AW393" s="3" t="s">
        <v>3637</v>
      </c>
    </row>
    <row r="394" spans="1:49" x14ac:dyDescent="0.55000000000000004">
      <c r="A394" s="3" t="str">
        <f>HYPERLINK("https://www.infodis.net/philips/net/Shipment/Details?InfodisNumber=6426603&amp;DomainCode=PHILIPSR1", "6426603")</f>
        <v>6426603</v>
      </c>
      <c r="B394" s="3" t="s">
        <v>3640</v>
      </c>
      <c r="C394" s="3" t="s">
        <v>2373</v>
      </c>
      <c r="D394" s="3" t="s">
        <v>2374</v>
      </c>
      <c r="E394" s="3" t="s">
        <v>3641</v>
      </c>
      <c r="F394" s="3" t="s">
        <v>1837</v>
      </c>
      <c r="G394" s="3" t="s">
        <v>1488</v>
      </c>
      <c r="H394" s="3" t="s">
        <v>79</v>
      </c>
      <c r="I394" s="3" t="s">
        <v>282</v>
      </c>
      <c r="J394" s="3" t="s">
        <v>652</v>
      </c>
      <c r="K394" s="3" t="s">
        <v>1838</v>
      </c>
      <c r="L394" s="3" t="s">
        <v>180</v>
      </c>
      <c r="M394" s="3" t="s">
        <v>84</v>
      </c>
      <c r="N394" s="3"/>
      <c r="O394" s="3" t="s">
        <v>3642</v>
      </c>
      <c r="P394" s="3" t="s">
        <v>1492</v>
      </c>
      <c r="Q394" s="3"/>
      <c r="R394" s="3" t="s">
        <v>1840</v>
      </c>
      <c r="S394" s="4">
        <v>43943</v>
      </c>
      <c r="T394" s="4">
        <v>43945</v>
      </c>
      <c r="U394" s="4">
        <v>43944</v>
      </c>
      <c r="V394" s="4">
        <v>43946</v>
      </c>
      <c r="W394" s="4">
        <v>43947</v>
      </c>
      <c r="X394" s="4">
        <v>43955</v>
      </c>
      <c r="Y394" s="3" t="s">
        <v>2915</v>
      </c>
      <c r="Z394" s="3" t="s">
        <v>2915</v>
      </c>
      <c r="AA394" s="3" t="s">
        <v>2915</v>
      </c>
      <c r="AB394" s="3" t="s">
        <v>67</v>
      </c>
      <c r="AC394" s="3" t="s">
        <v>67</v>
      </c>
      <c r="AD394" s="3" t="s">
        <v>67</v>
      </c>
      <c r="AE394" s="3"/>
      <c r="AF394" s="3" t="s">
        <v>2829</v>
      </c>
      <c r="AG394" s="3" t="s">
        <v>2830</v>
      </c>
      <c r="AH394" s="3" t="s">
        <v>2829</v>
      </c>
      <c r="AI394" s="3" t="s">
        <v>252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57.9</v>
      </c>
      <c r="AP394" s="3">
        <v>0.28000000000000003</v>
      </c>
      <c r="AQ394" s="3" t="s">
        <v>713</v>
      </c>
      <c r="AR394" s="3" t="s">
        <v>714</v>
      </c>
      <c r="AS394" s="3" t="s">
        <v>713</v>
      </c>
      <c r="AT394" s="4">
        <v>43964</v>
      </c>
      <c r="AU394" s="3" t="s">
        <v>3643</v>
      </c>
      <c r="AV394" s="3">
        <v>198</v>
      </c>
      <c r="AW394" s="3" t="s">
        <v>1003</v>
      </c>
    </row>
    <row r="395" spans="1:49" x14ac:dyDescent="0.55000000000000004">
      <c r="A395" s="3" t="str">
        <f>HYPERLINK("https://www.infodis.net/philips/net/Shipment/Details?InfodisNumber=6185943&amp;DomainCode=PHILIPSR1", "6185943")</f>
        <v>6185943</v>
      </c>
      <c r="B395" s="3" t="s">
        <v>3644</v>
      </c>
      <c r="C395" s="3" t="s">
        <v>2580</v>
      </c>
      <c r="D395" s="3" t="s">
        <v>2581</v>
      </c>
      <c r="E395" s="3" t="s">
        <v>1187</v>
      </c>
      <c r="F395" s="3" t="s">
        <v>2913</v>
      </c>
      <c r="G395" s="3" t="s">
        <v>880</v>
      </c>
      <c r="H395" s="3" t="s">
        <v>881</v>
      </c>
      <c r="I395" s="3" t="s">
        <v>2583</v>
      </c>
      <c r="J395" s="3" t="s">
        <v>2553</v>
      </c>
      <c r="K395" s="3" t="s">
        <v>1555</v>
      </c>
      <c r="L395" s="3" t="s">
        <v>846</v>
      </c>
      <c r="M395" s="3" t="s">
        <v>60</v>
      </c>
      <c r="N395" s="3"/>
      <c r="O395" s="3" t="s">
        <v>3645</v>
      </c>
      <c r="P395" s="3" t="s">
        <v>888</v>
      </c>
      <c r="Q395" s="3"/>
      <c r="R395" s="3" t="s">
        <v>1557</v>
      </c>
      <c r="S395" s="4">
        <v>43860</v>
      </c>
      <c r="T395" s="4">
        <v>43861</v>
      </c>
      <c r="U395" s="4">
        <v>43861</v>
      </c>
      <c r="V395" s="4">
        <v>43864</v>
      </c>
      <c r="W395" s="4">
        <v>43862</v>
      </c>
      <c r="X395" s="4">
        <v>43865</v>
      </c>
      <c r="Y395" s="3" t="s">
        <v>2518</v>
      </c>
      <c r="Z395" s="3" t="s">
        <v>2518</v>
      </c>
      <c r="AA395" s="3" t="s">
        <v>2518</v>
      </c>
      <c r="AB395" s="3" t="s">
        <v>67</v>
      </c>
      <c r="AC395" s="3" t="s">
        <v>67</v>
      </c>
      <c r="AD395" s="3" t="s">
        <v>67</v>
      </c>
      <c r="AE395" s="3"/>
      <c r="AF395" s="3" t="s">
        <v>2179</v>
      </c>
      <c r="AG395" s="3" t="s">
        <v>2180</v>
      </c>
      <c r="AH395" s="3" t="s">
        <v>2179</v>
      </c>
      <c r="AI395" s="3" t="s">
        <v>252</v>
      </c>
      <c r="AJ395" s="3">
        <v>0</v>
      </c>
      <c r="AK395" s="3">
        <v>0</v>
      </c>
      <c r="AL395" s="3">
        <v>0</v>
      </c>
      <c r="AM395" s="3">
        <v>0</v>
      </c>
      <c r="AN395" s="3">
        <v>1</v>
      </c>
      <c r="AO395" s="3">
        <v>113</v>
      </c>
      <c r="AP395" s="3">
        <v>9.6000000000000002E-2</v>
      </c>
      <c r="AQ395" s="3" t="s">
        <v>713</v>
      </c>
      <c r="AR395" s="3" t="s">
        <v>714</v>
      </c>
      <c r="AS395" s="3" t="s">
        <v>713</v>
      </c>
      <c r="AT395" s="4">
        <v>43895</v>
      </c>
      <c r="AU395" s="3" t="s">
        <v>3376</v>
      </c>
      <c r="AV395" s="3">
        <v>267</v>
      </c>
      <c r="AW395" s="3" t="s">
        <v>3377</v>
      </c>
    </row>
    <row r="396" spans="1:49" x14ac:dyDescent="0.55000000000000004">
      <c r="A396" s="3" t="str">
        <f>HYPERLINK("https://www.infodis.net/philips/net/Shipment/Details?InfodisNumber=1274842&amp;DomainCode=PHILIPSM1", "1274842")</f>
        <v>1274842</v>
      </c>
      <c r="B396" s="3" t="s">
        <v>3646</v>
      </c>
      <c r="C396" s="3" t="s">
        <v>2491</v>
      </c>
      <c r="D396" s="3" t="s">
        <v>2492</v>
      </c>
      <c r="E396" s="3" t="s">
        <v>2491</v>
      </c>
      <c r="F396" s="3" t="s">
        <v>3647</v>
      </c>
      <c r="G396" s="3" t="s">
        <v>1431</v>
      </c>
      <c r="H396" s="3" t="s">
        <v>180</v>
      </c>
      <c r="I396" s="3" t="s">
        <v>2494</v>
      </c>
      <c r="J396" s="3" t="s">
        <v>3648</v>
      </c>
      <c r="K396" s="3" t="s">
        <v>3649</v>
      </c>
      <c r="L396" s="3" t="s">
        <v>230</v>
      </c>
      <c r="M396" s="3" t="s">
        <v>60</v>
      </c>
      <c r="N396" s="3"/>
      <c r="O396" s="3"/>
      <c r="P396" s="3" t="s">
        <v>1434</v>
      </c>
      <c r="Q396" s="3" t="s">
        <v>3650</v>
      </c>
      <c r="R396" s="3" t="s">
        <v>3651</v>
      </c>
      <c r="S396" s="4">
        <v>43867</v>
      </c>
      <c r="T396" s="4">
        <v>43868</v>
      </c>
      <c r="U396" s="4">
        <v>43871</v>
      </c>
      <c r="V396" s="4">
        <v>43871</v>
      </c>
      <c r="W396" s="4">
        <v>43900</v>
      </c>
      <c r="X396" s="3"/>
      <c r="Y396" s="3" t="s">
        <v>2387</v>
      </c>
      <c r="Z396" s="3" t="s">
        <v>2387</v>
      </c>
      <c r="AA396" s="3" t="s">
        <v>603</v>
      </c>
      <c r="AB396" s="3" t="s">
        <v>67</v>
      </c>
      <c r="AC396" s="3" t="s">
        <v>67</v>
      </c>
      <c r="AD396" s="3" t="s">
        <v>68</v>
      </c>
      <c r="AE396" s="3"/>
      <c r="AF396" s="3" t="s">
        <v>2179</v>
      </c>
      <c r="AG396" s="3" t="s">
        <v>2180</v>
      </c>
      <c r="AH396" s="3" t="s">
        <v>2179</v>
      </c>
      <c r="AI396" s="3" t="s">
        <v>605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1</v>
      </c>
      <c r="AP396" s="3">
        <v>2.9000000000000001E-2</v>
      </c>
      <c r="AQ396" s="3" t="s">
        <v>713</v>
      </c>
      <c r="AR396" s="3" t="s">
        <v>714</v>
      </c>
      <c r="AS396" s="3" t="s">
        <v>713</v>
      </c>
      <c r="AT396" s="4">
        <v>43906</v>
      </c>
      <c r="AU396" s="3" t="s">
        <v>3464</v>
      </c>
      <c r="AV396" s="3">
        <v>256</v>
      </c>
      <c r="AW396" s="3" t="s">
        <v>3465</v>
      </c>
    </row>
    <row r="397" spans="1:49" x14ac:dyDescent="0.55000000000000004">
      <c r="A397" s="5" t="str">
        <f>HYPERLINK("https://www.infodis.net/philips/net/Shipment/Details?InfodisNumber=4551633&amp;DomainCode=DAP", "4551633")</f>
        <v>4551633</v>
      </c>
      <c r="B397" s="5" t="s">
        <v>3652</v>
      </c>
      <c r="C397" s="5" t="s">
        <v>2344</v>
      </c>
      <c r="D397" s="5" t="s">
        <v>2345</v>
      </c>
      <c r="E397" s="5" t="s">
        <v>191</v>
      </c>
      <c r="F397" s="5" t="s">
        <v>191</v>
      </c>
      <c r="G397" s="5" t="s">
        <v>281</v>
      </c>
      <c r="H397" s="5" t="s">
        <v>79</v>
      </c>
      <c r="I397" s="5" t="s">
        <v>268</v>
      </c>
      <c r="J397" s="5" t="s">
        <v>2341</v>
      </c>
      <c r="K397" s="5" t="s">
        <v>219</v>
      </c>
      <c r="L397" s="5" t="s">
        <v>180</v>
      </c>
      <c r="M397" s="5" t="s">
        <v>84</v>
      </c>
      <c r="N397" s="5"/>
      <c r="O397" s="5"/>
      <c r="P397" s="5" t="s">
        <v>286</v>
      </c>
      <c r="Q397" s="5"/>
      <c r="R397" s="5" t="s">
        <v>223</v>
      </c>
      <c r="S397" s="6">
        <v>44141</v>
      </c>
      <c r="T397" s="6">
        <v>44145</v>
      </c>
      <c r="U397" s="5"/>
      <c r="V397" s="6">
        <v>44148</v>
      </c>
      <c r="W397" s="5"/>
      <c r="X397" s="5"/>
      <c r="Y397" s="5" t="s">
        <v>66</v>
      </c>
      <c r="Z397" s="5" t="s">
        <v>2371</v>
      </c>
      <c r="AA397" s="5" t="s">
        <v>2371</v>
      </c>
      <c r="AB397" s="5" t="s">
        <v>68</v>
      </c>
      <c r="AC397" s="5" t="s">
        <v>67</v>
      </c>
      <c r="AD397" s="5" t="s">
        <v>67</v>
      </c>
      <c r="AE397" s="5"/>
      <c r="AF397" s="5" t="s">
        <v>2179</v>
      </c>
      <c r="AG397" s="5" t="s">
        <v>2180</v>
      </c>
      <c r="AH397" s="5" t="s">
        <v>2179</v>
      </c>
      <c r="AI397" s="5" t="s">
        <v>73</v>
      </c>
      <c r="AJ397" s="5">
        <v>0</v>
      </c>
      <c r="AK397" s="5">
        <v>0</v>
      </c>
      <c r="AL397" s="5">
        <v>0</v>
      </c>
      <c r="AM397" s="5">
        <v>0</v>
      </c>
      <c r="AN397" s="5">
        <v>12</v>
      </c>
      <c r="AO397" s="5">
        <v>2052</v>
      </c>
      <c r="AP397" s="5">
        <v>17.28</v>
      </c>
      <c r="AQ397" s="5" t="s">
        <v>713</v>
      </c>
      <c r="AR397" s="5" t="s">
        <v>1104</v>
      </c>
      <c r="AS397" s="5"/>
      <c r="AT397" s="5"/>
      <c r="AU397" s="5"/>
      <c r="AV397" s="5">
        <v>-1</v>
      </c>
      <c r="AW397" s="5" t="s">
        <v>1368</v>
      </c>
    </row>
    <row r="398" spans="1:49" x14ac:dyDescent="0.55000000000000004">
      <c r="A398" s="5" t="str">
        <f>HYPERLINK("https://www.infodis.net/philips/net/Shipment/Details?InfodisNumber=4524544&amp;DomainCode=DAP", "4524544")</f>
        <v>4524544</v>
      </c>
      <c r="B398" s="5" t="s">
        <v>3653</v>
      </c>
      <c r="C398" s="5" t="s">
        <v>3654</v>
      </c>
      <c r="D398" s="5" t="s">
        <v>3655</v>
      </c>
      <c r="E398" s="5" t="s">
        <v>3654</v>
      </c>
      <c r="F398" s="5" t="s">
        <v>77</v>
      </c>
      <c r="G398" s="5" t="s">
        <v>855</v>
      </c>
      <c r="H398" s="5" t="s">
        <v>267</v>
      </c>
      <c r="I398" s="5" t="s">
        <v>268</v>
      </c>
      <c r="J398" s="5" t="s">
        <v>2141</v>
      </c>
      <c r="K398" s="5" t="s">
        <v>82</v>
      </c>
      <c r="L398" s="5" t="s">
        <v>83</v>
      </c>
      <c r="M398" s="5" t="s">
        <v>84</v>
      </c>
      <c r="N398" s="5"/>
      <c r="O398" s="5"/>
      <c r="P398" s="5" t="s">
        <v>3656</v>
      </c>
      <c r="Q398" s="5" t="s">
        <v>3657</v>
      </c>
      <c r="R398" s="5" t="s">
        <v>87</v>
      </c>
      <c r="S398" s="6">
        <v>44103</v>
      </c>
      <c r="T398" s="6">
        <v>44114</v>
      </c>
      <c r="U398" s="5"/>
      <c r="V398" s="6">
        <v>44117</v>
      </c>
      <c r="W398" s="6">
        <v>44115</v>
      </c>
      <c r="X398" s="6">
        <v>44118</v>
      </c>
      <c r="Y398" s="5" t="s">
        <v>66</v>
      </c>
      <c r="Z398" s="5" t="s">
        <v>2411</v>
      </c>
      <c r="AA398" s="5" t="s">
        <v>2411</v>
      </c>
      <c r="AB398" s="5" t="s">
        <v>68</v>
      </c>
      <c r="AC398" s="5" t="s">
        <v>67</v>
      </c>
      <c r="AD398" s="5" t="s">
        <v>67</v>
      </c>
      <c r="AE398" s="5"/>
      <c r="AF398" s="5" t="s">
        <v>2179</v>
      </c>
      <c r="AG398" s="5" t="s">
        <v>2180</v>
      </c>
      <c r="AH398" s="5" t="s">
        <v>2179</v>
      </c>
      <c r="AI398" s="5" t="s">
        <v>73</v>
      </c>
      <c r="AJ398" s="5">
        <v>0</v>
      </c>
      <c r="AK398" s="5">
        <v>0</v>
      </c>
      <c r="AL398" s="5">
        <v>0</v>
      </c>
      <c r="AM398" s="5">
        <v>0</v>
      </c>
      <c r="AN398" s="5">
        <v>7</v>
      </c>
      <c r="AO398" s="5">
        <v>1429</v>
      </c>
      <c r="AP398" s="5">
        <v>8.5179999999999989</v>
      </c>
      <c r="AQ398" s="5" t="s">
        <v>713</v>
      </c>
      <c r="AR398" s="5" t="s">
        <v>1104</v>
      </c>
      <c r="AS398" s="5"/>
      <c r="AT398" s="5"/>
      <c r="AU398" s="5"/>
      <c r="AV398" s="5">
        <v>-1</v>
      </c>
      <c r="AW398" s="5" t="s">
        <v>1368</v>
      </c>
    </row>
    <row r="399" spans="1:49" x14ac:dyDescent="0.55000000000000004">
      <c r="A399" s="5" t="str">
        <f>HYPERLINK("https://www.infodis.net/philips/net/Shipment/Details?InfodisNumber=1519409&amp;DomainCode=PHILIPSM1", "1519409")</f>
        <v>1519409</v>
      </c>
      <c r="B399" s="5" t="s">
        <v>3658</v>
      </c>
      <c r="C399" s="5" t="s">
        <v>3659</v>
      </c>
      <c r="D399" s="5" t="s">
        <v>3660</v>
      </c>
      <c r="E399" s="5" t="s">
        <v>3659</v>
      </c>
      <c r="F399" s="5" t="s">
        <v>3661</v>
      </c>
      <c r="G399" s="5" t="s">
        <v>3662</v>
      </c>
      <c r="H399" s="5" t="s">
        <v>180</v>
      </c>
      <c r="I399" s="5" t="s">
        <v>2057</v>
      </c>
      <c r="J399" s="5" t="s">
        <v>2084</v>
      </c>
      <c r="K399" s="5" t="s">
        <v>1430</v>
      </c>
      <c r="L399" s="5" t="s">
        <v>244</v>
      </c>
      <c r="M399" s="5" t="s">
        <v>60</v>
      </c>
      <c r="N399" s="5"/>
      <c r="O399" s="5"/>
      <c r="P399" s="5" t="s">
        <v>3663</v>
      </c>
      <c r="Q399" s="5"/>
      <c r="R399" s="5" t="s">
        <v>1432</v>
      </c>
      <c r="S399" s="6">
        <v>44102</v>
      </c>
      <c r="T399" s="6">
        <v>44102</v>
      </c>
      <c r="U399" s="5"/>
      <c r="V399" s="6">
        <v>44105</v>
      </c>
      <c r="W399" s="5"/>
      <c r="X399" s="5"/>
      <c r="Y399" s="5" t="s">
        <v>2387</v>
      </c>
      <c r="Z399" s="5" t="s">
        <v>2387</v>
      </c>
      <c r="AA399" s="5" t="s">
        <v>2387</v>
      </c>
      <c r="AB399" s="5" t="s">
        <v>67</v>
      </c>
      <c r="AC399" s="5" t="s">
        <v>67</v>
      </c>
      <c r="AD399" s="5" t="s">
        <v>67</v>
      </c>
      <c r="AE399" s="5"/>
      <c r="AF399" s="5" t="s">
        <v>2179</v>
      </c>
      <c r="AG399" s="5" t="s">
        <v>2180</v>
      </c>
      <c r="AH399" s="5" t="s">
        <v>2179</v>
      </c>
      <c r="AI399" s="5" t="s">
        <v>605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107.05</v>
      </c>
      <c r="AP399" s="5">
        <v>1.169</v>
      </c>
      <c r="AQ399" s="5" t="s">
        <v>713</v>
      </c>
      <c r="AR399" s="5" t="s">
        <v>1104</v>
      </c>
      <c r="AS399" s="5" t="s">
        <v>713</v>
      </c>
      <c r="AT399" s="6">
        <v>44127</v>
      </c>
      <c r="AU399" s="5" t="s">
        <v>3664</v>
      </c>
      <c r="AV399" s="5">
        <v>35</v>
      </c>
      <c r="AW399" s="5" t="s">
        <v>3665</v>
      </c>
    </row>
    <row r="400" spans="1:49" x14ac:dyDescent="0.55000000000000004">
      <c r="A400" s="5" t="str">
        <f>HYPERLINK("https://www.infodis.net/philips/net/Shipment/Details?InfodisNumber=1519405&amp;DomainCode=PHILIPSM1", "1519405")</f>
        <v>1519405</v>
      </c>
      <c r="B400" s="5" t="s">
        <v>3666</v>
      </c>
      <c r="C400" s="5" t="s">
        <v>3659</v>
      </c>
      <c r="D400" s="5" t="s">
        <v>3660</v>
      </c>
      <c r="E400" s="5" t="s">
        <v>3659</v>
      </c>
      <c r="F400" s="5" t="s">
        <v>3661</v>
      </c>
      <c r="G400" s="5" t="s">
        <v>3662</v>
      </c>
      <c r="H400" s="5" t="s">
        <v>180</v>
      </c>
      <c r="I400" s="5" t="s">
        <v>2057</v>
      </c>
      <c r="J400" s="5" t="s">
        <v>2084</v>
      </c>
      <c r="K400" s="5" t="s">
        <v>1430</v>
      </c>
      <c r="L400" s="5" t="s">
        <v>244</v>
      </c>
      <c r="M400" s="5" t="s">
        <v>60</v>
      </c>
      <c r="N400" s="5"/>
      <c r="O400" s="5"/>
      <c r="P400" s="5" t="s">
        <v>3663</v>
      </c>
      <c r="Q400" s="5"/>
      <c r="R400" s="5" t="s">
        <v>1432</v>
      </c>
      <c r="S400" s="6">
        <v>44102</v>
      </c>
      <c r="T400" s="6">
        <v>44102</v>
      </c>
      <c r="U400" s="5"/>
      <c r="V400" s="6">
        <v>44105</v>
      </c>
      <c r="W400" s="5"/>
      <c r="X400" s="5"/>
      <c r="Y400" s="5" t="s">
        <v>2387</v>
      </c>
      <c r="Z400" s="5" t="s">
        <v>2387</v>
      </c>
      <c r="AA400" s="5" t="s">
        <v>2387</v>
      </c>
      <c r="AB400" s="5" t="s">
        <v>67</v>
      </c>
      <c r="AC400" s="5" t="s">
        <v>67</v>
      </c>
      <c r="AD400" s="5" t="s">
        <v>67</v>
      </c>
      <c r="AE400" s="5"/>
      <c r="AF400" s="5" t="s">
        <v>2179</v>
      </c>
      <c r="AG400" s="5" t="s">
        <v>2180</v>
      </c>
      <c r="AH400" s="5" t="s">
        <v>2179</v>
      </c>
      <c r="AI400" s="5" t="s">
        <v>605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136.08000000000001</v>
      </c>
      <c r="AP400" s="5">
        <v>1.359</v>
      </c>
      <c r="AQ400" s="5" t="s">
        <v>713</v>
      </c>
      <c r="AR400" s="5" t="s">
        <v>1104</v>
      </c>
      <c r="AS400" s="5" t="s">
        <v>713</v>
      </c>
      <c r="AT400" s="6">
        <v>44127</v>
      </c>
      <c r="AU400" s="5" t="s">
        <v>3664</v>
      </c>
      <c r="AV400" s="5">
        <v>35</v>
      </c>
      <c r="AW400" s="5" t="s">
        <v>3665</v>
      </c>
    </row>
    <row r="401" spans="1:49" x14ac:dyDescent="0.55000000000000004">
      <c r="A401" s="5" t="str">
        <f>HYPERLINK("https://www.infodis.net/philips/net/Shipment/Details?InfodisNumber=4430155&amp;DomainCode=DAP", "4430155")</f>
        <v>4430155</v>
      </c>
      <c r="B401" s="5" t="s">
        <v>3667</v>
      </c>
      <c r="C401" s="5" t="s">
        <v>212</v>
      </c>
      <c r="D401" s="5" t="s">
        <v>213</v>
      </c>
      <c r="E401" s="5" t="s">
        <v>214</v>
      </c>
      <c r="F401" s="5" t="s">
        <v>2209</v>
      </c>
      <c r="G401" s="5" t="s">
        <v>216</v>
      </c>
      <c r="H401" s="5" t="s">
        <v>55</v>
      </c>
      <c r="I401" s="5" t="s">
        <v>2367</v>
      </c>
      <c r="J401" s="5" t="s">
        <v>2141</v>
      </c>
      <c r="K401" s="5" t="s">
        <v>2668</v>
      </c>
      <c r="L401" s="5" t="s">
        <v>83</v>
      </c>
      <c r="M401" s="5" t="s">
        <v>60</v>
      </c>
      <c r="N401" s="5"/>
      <c r="O401" s="5"/>
      <c r="P401" s="5" t="s">
        <v>2369</v>
      </c>
      <c r="Q401" s="5" t="s">
        <v>3668</v>
      </c>
      <c r="R401" s="5" t="s">
        <v>87</v>
      </c>
      <c r="S401" s="6">
        <v>43941</v>
      </c>
      <c r="T401" s="6">
        <v>43941</v>
      </c>
      <c r="U401" s="6">
        <v>43941</v>
      </c>
      <c r="V401" s="6">
        <v>43944</v>
      </c>
      <c r="W401" s="6">
        <v>43945</v>
      </c>
      <c r="X401" s="5"/>
      <c r="Y401" s="5" t="s">
        <v>66</v>
      </c>
      <c r="Z401" s="5" t="s">
        <v>66</v>
      </c>
      <c r="AA401" s="5" t="s">
        <v>66</v>
      </c>
      <c r="AB401" s="5" t="s">
        <v>67</v>
      </c>
      <c r="AC401" s="5" t="s">
        <v>67</v>
      </c>
      <c r="AD401" s="5" t="s">
        <v>67</v>
      </c>
      <c r="AE401" s="5"/>
      <c r="AF401" s="5" t="s">
        <v>2179</v>
      </c>
      <c r="AG401" s="5" t="s">
        <v>2180</v>
      </c>
      <c r="AH401" s="5" t="s">
        <v>2179</v>
      </c>
      <c r="AI401" s="5" t="s">
        <v>73</v>
      </c>
      <c r="AJ401" s="5">
        <v>0</v>
      </c>
      <c r="AK401" s="5">
        <v>0</v>
      </c>
      <c r="AL401" s="5">
        <v>0</v>
      </c>
      <c r="AM401" s="5">
        <v>0</v>
      </c>
      <c r="AN401" s="5">
        <v>14</v>
      </c>
      <c r="AO401" s="5">
        <v>2043</v>
      </c>
      <c r="AP401" s="5">
        <v>12.731999999999999</v>
      </c>
      <c r="AQ401" s="5" t="s">
        <v>713</v>
      </c>
      <c r="AR401" s="5" t="s">
        <v>1104</v>
      </c>
      <c r="AS401" s="5"/>
      <c r="AT401" s="5"/>
      <c r="AU401" s="5"/>
      <c r="AV401" s="5">
        <v>-1</v>
      </c>
      <c r="AW401" s="5" t="s">
        <v>3669</v>
      </c>
    </row>
    <row r="402" spans="1:49" x14ac:dyDescent="0.55000000000000004">
      <c r="A402" s="5" t="str">
        <f>HYPERLINK("https://www.infodis.net/philips/net/Shipment/Details?InfodisNumber=1386710&amp;DomainCode=PHILIPSM1", "1386710")</f>
        <v>1386710</v>
      </c>
      <c r="B402" s="5" t="s">
        <v>3670</v>
      </c>
      <c r="C402" s="5" t="s">
        <v>2080</v>
      </c>
      <c r="D402" s="5" t="s">
        <v>2081</v>
      </c>
      <c r="E402" s="5" t="s">
        <v>2082</v>
      </c>
      <c r="F402" s="5" t="s">
        <v>3225</v>
      </c>
      <c r="G402" s="5" t="s">
        <v>1430</v>
      </c>
      <c r="H402" s="5" t="s">
        <v>244</v>
      </c>
      <c r="I402" s="5" t="s">
        <v>2084</v>
      </c>
      <c r="J402" s="5" t="s">
        <v>2495</v>
      </c>
      <c r="K402" s="5" t="s">
        <v>2496</v>
      </c>
      <c r="L402" s="5" t="s">
        <v>73</v>
      </c>
      <c r="M402" s="5" t="s">
        <v>60</v>
      </c>
      <c r="N402" s="5"/>
      <c r="O402" s="5"/>
      <c r="P402" s="5" t="s">
        <v>1432</v>
      </c>
      <c r="Q402" s="5" t="s">
        <v>3671</v>
      </c>
      <c r="R402" s="5" t="s">
        <v>2498</v>
      </c>
      <c r="S402" s="6">
        <v>43977</v>
      </c>
      <c r="T402" s="6">
        <v>43977</v>
      </c>
      <c r="U402" s="6">
        <v>43977</v>
      </c>
      <c r="V402" s="6">
        <v>43977</v>
      </c>
      <c r="W402" s="6">
        <v>43984</v>
      </c>
      <c r="X402" s="5"/>
      <c r="Y402" s="5" t="s">
        <v>2387</v>
      </c>
      <c r="Z402" s="5" t="s">
        <v>2387</v>
      </c>
      <c r="AA402" s="5" t="s">
        <v>603</v>
      </c>
      <c r="AB402" s="5" t="s">
        <v>67</v>
      </c>
      <c r="AC402" s="5" t="s">
        <v>67</v>
      </c>
      <c r="AD402" s="5" t="s">
        <v>68</v>
      </c>
      <c r="AE402" s="5"/>
      <c r="AF402" s="5" t="s">
        <v>2388</v>
      </c>
      <c r="AG402" s="5" t="s">
        <v>2389</v>
      </c>
      <c r="AH402" s="5" t="s">
        <v>2388</v>
      </c>
      <c r="AI402" s="5" t="s">
        <v>605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73</v>
      </c>
      <c r="AP402" s="5">
        <v>0.76200000000000001</v>
      </c>
      <c r="AQ402" s="5" t="s">
        <v>713</v>
      </c>
      <c r="AR402" s="5" t="s">
        <v>1104</v>
      </c>
      <c r="AS402" s="5"/>
      <c r="AT402" s="5"/>
      <c r="AU402" s="5"/>
      <c r="AV402" s="5">
        <v>-1</v>
      </c>
      <c r="AW402" s="5" t="s">
        <v>3672</v>
      </c>
    </row>
    <row r="403" spans="1:49" x14ac:dyDescent="0.55000000000000004">
      <c r="A403" s="5" t="str">
        <f>HYPERLINK("https://www.infodis.net/philips/net/Shipment/Details?InfodisNumber=4222883&amp;DomainCode=DAP", "4222883")</f>
        <v>4222883</v>
      </c>
      <c r="B403" s="5" t="s">
        <v>3673</v>
      </c>
      <c r="C403" s="5" t="s">
        <v>2296</v>
      </c>
      <c r="D403" s="5" t="s">
        <v>2297</v>
      </c>
      <c r="E403" s="5" t="s">
        <v>2298</v>
      </c>
      <c r="F403" s="5" t="s">
        <v>3674</v>
      </c>
      <c r="G403" s="5"/>
      <c r="H403" s="5" t="s">
        <v>267</v>
      </c>
      <c r="I403" s="5" t="s">
        <v>268</v>
      </c>
      <c r="J403" s="5" t="s">
        <v>1333</v>
      </c>
      <c r="K403" s="5" t="s">
        <v>1838</v>
      </c>
      <c r="L403" s="5" t="s">
        <v>180</v>
      </c>
      <c r="M403" s="5" t="s">
        <v>60</v>
      </c>
      <c r="N403" s="5"/>
      <c r="O403" s="5"/>
      <c r="P403" s="5"/>
      <c r="Q403" s="5"/>
      <c r="R403" s="5" t="s">
        <v>1840</v>
      </c>
      <c r="S403" s="6">
        <v>43643</v>
      </c>
      <c r="T403" s="5"/>
      <c r="U403" s="5"/>
      <c r="V403" s="5"/>
      <c r="W403" s="5"/>
      <c r="X403" s="5"/>
      <c r="Y403" s="5" t="s">
        <v>940</v>
      </c>
      <c r="Z403" s="5" t="s">
        <v>940</v>
      </c>
      <c r="AA403" s="5" t="s">
        <v>940</v>
      </c>
      <c r="AB403" s="5" t="s">
        <v>67</v>
      </c>
      <c r="AC403" s="5" t="s">
        <v>67</v>
      </c>
      <c r="AD403" s="5" t="s">
        <v>67</v>
      </c>
      <c r="AE403" s="5"/>
      <c r="AF403" s="5" t="s">
        <v>2179</v>
      </c>
      <c r="AG403" s="5" t="s">
        <v>2180</v>
      </c>
      <c r="AH403" s="5" t="s">
        <v>2179</v>
      </c>
      <c r="AI403" s="5" t="s">
        <v>73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115</v>
      </c>
      <c r="AP403" s="5">
        <v>41.557000000000002</v>
      </c>
      <c r="AQ403" s="5" t="s">
        <v>713</v>
      </c>
      <c r="AR403" s="5" t="s">
        <v>1104</v>
      </c>
      <c r="AS403" s="5"/>
      <c r="AT403" s="5"/>
      <c r="AU403" s="5"/>
      <c r="AV403" s="5">
        <v>-1</v>
      </c>
      <c r="AW403" s="5" t="s">
        <v>2301</v>
      </c>
    </row>
    <row r="404" spans="1:49" x14ac:dyDescent="0.55000000000000004">
      <c r="A404" s="5" t="str">
        <f>HYPERLINK("https://www.infodis.net/philips/net/Shipment/Details?InfodisNumber=4524222&amp;DomainCode=DAP", "4524222")</f>
        <v>4524222</v>
      </c>
      <c r="B404" s="5" t="s">
        <v>3675</v>
      </c>
      <c r="C404" s="5" t="s">
        <v>2393</v>
      </c>
      <c r="D404" s="5" t="s">
        <v>2394</v>
      </c>
      <c r="E404" s="5" t="s">
        <v>2395</v>
      </c>
      <c r="F404" s="5" t="s">
        <v>52</v>
      </c>
      <c r="G404" s="5" t="s">
        <v>1223</v>
      </c>
      <c r="H404" s="5" t="s">
        <v>79</v>
      </c>
      <c r="I404" s="5" t="s">
        <v>2396</v>
      </c>
      <c r="J404" s="5" t="s">
        <v>2367</v>
      </c>
      <c r="K404" s="5" t="s">
        <v>1224</v>
      </c>
      <c r="L404" s="5" t="s">
        <v>55</v>
      </c>
      <c r="M404" s="5" t="s">
        <v>84</v>
      </c>
      <c r="N404" s="5"/>
      <c r="O404" s="5"/>
      <c r="P404" s="5" t="s">
        <v>2397</v>
      </c>
      <c r="Q404" s="5" t="s">
        <v>3676</v>
      </c>
      <c r="R404" s="5" t="s">
        <v>1227</v>
      </c>
      <c r="S404" s="6">
        <v>44102</v>
      </c>
      <c r="T404" s="6">
        <v>44103</v>
      </c>
      <c r="U404" s="6">
        <v>44103</v>
      </c>
      <c r="V404" s="6">
        <v>44104</v>
      </c>
      <c r="W404" s="6">
        <v>44107</v>
      </c>
      <c r="X404" s="6">
        <v>44111</v>
      </c>
      <c r="Y404" s="5" t="s">
        <v>2398</v>
      </c>
      <c r="Z404" s="5" t="s">
        <v>2398</v>
      </c>
      <c r="AA404" s="5" t="s">
        <v>2398</v>
      </c>
      <c r="AB404" s="5" t="s">
        <v>67</v>
      </c>
      <c r="AC404" s="5" t="s">
        <v>67</v>
      </c>
      <c r="AD404" s="5" t="s">
        <v>67</v>
      </c>
      <c r="AE404" s="5"/>
      <c r="AF404" s="5" t="s">
        <v>2179</v>
      </c>
      <c r="AG404" s="5" t="s">
        <v>2180</v>
      </c>
      <c r="AH404" s="5" t="s">
        <v>2179</v>
      </c>
      <c r="AI404" s="5" t="s">
        <v>73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10</v>
      </c>
      <c r="AP404" s="5">
        <v>5.2999999999999999E-2</v>
      </c>
      <c r="AQ404" s="5" t="s">
        <v>713</v>
      </c>
      <c r="AR404" s="5" t="s">
        <v>1104</v>
      </c>
      <c r="AS404" s="5" t="s">
        <v>713</v>
      </c>
      <c r="AT404" s="6">
        <v>44131</v>
      </c>
      <c r="AU404" s="5" t="s">
        <v>3677</v>
      </c>
      <c r="AV404" s="5">
        <v>31</v>
      </c>
      <c r="AW404" s="5" t="s">
        <v>3678</v>
      </c>
    </row>
    <row r="405" spans="1:49" x14ac:dyDescent="0.55000000000000004">
      <c r="A405" s="5" t="str">
        <f>HYPERLINK("https://www.infodis.net/philips/net/Shipment/Details?InfodisNumber=4523980&amp;DomainCode=DAP", "4523980")</f>
        <v>4523980</v>
      </c>
      <c r="B405" s="5" t="s">
        <v>3679</v>
      </c>
      <c r="C405" s="5" t="s">
        <v>3680</v>
      </c>
      <c r="D405" s="5" t="s">
        <v>3681</v>
      </c>
      <c r="E405" s="5" t="s">
        <v>3680</v>
      </c>
      <c r="F405" s="5" t="s">
        <v>256</v>
      </c>
      <c r="G405" s="5" t="s">
        <v>1282</v>
      </c>
      <c r="H405" s="5" t="s">
        <v>79</v>
      </c>
      <c r="I405" s="5" t="s">
        <v>587</v>
      </c>
      <c r="J405" s="5" t="s">
        <v>2626</v>
      </c>
      <c r="K405" s="5" t="s">
        <v>259</v>
      </c>
      <c r="L405" s="5" t="s">
        <v>260</v>
      </c>
      <c r="M405" s="5" t="s">
        <v>84</v>
      </c>
      <c r="N405" s="5"/>
      <c r="O405" s="5"/>
      <c r="P405" s="5" t="s">
        <v>1206</v>
      </c>
      <c r="Q405" s="5"/>
      <c r="R405" s="5" t="s">
        <v>262</v>
      </c>
      <c r="S405" s="6">
        <v>44102</v>
      </c>
      <c r="T405" s="6">
        <v>44102</v>
      </c>
      <c r="U405" s="5"/>
      <c r="V405" s="6">
        <v>44105</v>
      </c>
      <c r="W405" s="5"/>
      <c r="X405" s="5"/>
      <c r="Y405" s="5" t="s">
        <v>66</v>
      </c>
      <c r="Z405" s="5" t="s">
        <v>2411</v>
      </c>
      <c r="AA405" s="5" t="s">
        <v>2411</v>
      </c>
      <c r="AB405" s="5" t="s">
        <v>68</v>
      </c>
      <c r="AC405" s="5" t="s">
        <v>67</v>
      </c>
      <c r="AD405" s="5" t="s">
        <v>67</v>
      </c>
      <c r="AE405" s="5"/>
      <c r="AF405" s="5" t="s">
        <v>2179</v>
      </c>
      <c r="AG405" s="5" t="s">
        <v>2180</v>
      </c>
      <c r="AH405" s="5" t="s">
        <v>2179</v>
      </c>
      <c r="AI405" s="5" t="s">
        <v>73</v>
      </c>
      <c r="AJ405" s="5">
        <v>0</v>
      </c>
      <c r="AK405" s="5">
        <v>0</v>
      </c>
      <c r="AL405" s="5">
        <v>0</v>
      </c>
      <c r="AM405" s="5">
        <v>0</v>
      </c>
      <c r="AN405" s="5">
        <v>5</v>
      </c>
      <c r="AO405" s="5">
        <v>986</v>
      </c>
      <c r="AP405" s="5">
        <v>6.5519999999999996</v>
      </c>
      <c r="AQ405" s="5" t="s">
        <v>713</v>
      </c>
      <c r="AR405" s="5" t="s">
        <v>1104</v>
      </c>
      <c r="AS405" s="5"/>
      <c r="AT405" s="5"/>
      <c r="AU405" s="5"/>
      <c r="AV405" s="5">
        <v>-1</v>
      </c>
      <c r="AW405" s="5" t="s">
        <v>1110</v>
      </c>
    </row>
    <row r="406" spans="1:49" x14ac:dyDescent="0.55000000000000004">
      <c r="A406" s="5" t="str">
        <f>HYPERLINK("https://www.infodis.net/philips/net/Shipment/Details?InfodisNumber=4445594&amp;DomainCode=DAP", "4445594")</f>
        <v>4445594</v>
      </c>
      <c r="B406" s="5" t="s">
        <v>3682</v>
      </c>
      <c r="C406" s="5" t="s">
        <v>3683</v>
      </c>
      <c r="D406" s="5" t="s">
        <v>3684</v>
      </c>
      <c r="E406" s="5" t="s">
        <v>3685</v>
      </c>
      <c r="F406" s="5" t="s">
        <v>3686</v>
      </c>
      <c r="G406" s="5" t="s">
        <v>354</v>
      </c>
      <c r="H406" s="5" t="s">
        <v>79</v>
      </c>
      <c r="I406" s="5" t="s">
        <v>1813</v>
      </c>
      <c r="J406" s="5" t="s">
        <v>652</v>
      </c>
      <c r="K406" s="5" t="s">
        <v>2377</v>
      </c>
      <c r="L406" s="5" t="s">
        <v>180</v>
      </c>
      <c r="M406" s="5" t="s">
        <v>84</v>
      </c>
      <c r="N406" s="5"/>
      <c r="O406" s="5"/>
      <c r="P406" s="5" t="s">
        <v>3687</v>
      </c>
      <c r="Q406" s="5" t="s">
        <v>3688</v>
      </c>
      <c r="R406" s="5" t="s">
        <v>2380</v>
      </c>
      <c r="S406" s="6">
        <v>43978</v>
      </c>
      <c r="T406" s="6">
        <v>43978</v>
      </c>
      <c r="U406" s="6">
        <v>43980</v>
      </c>
      <c r="V406" s="6">
        <v>43981</v>
      </c>
      <c r="W406" s="6">
        <v>43981</v>
      </c>
      <c r="X406" s="6">
        <v>43987</v>
      </c>
      <c r="Y406" s="5" t="s">
        <v>2476</v>
      </c>
      <c r="Z406" s="5" t="s">
        <v>2476</v>
      </c>
      <c r="AA406" s="5" t="s">
        <v>2476</v>
      </c>
      <c r="AB406" s="5" t="s">
        <v>67</v>
      </c>
      <c r="AC406" s="5" t="s">
        <v>67</v>
      </c>
      <c r="AD406" s="5" t="s">
        <v>67</v>
      </c>
      <c r="AE406" s="5"/>
      <c r="AF406" s="5" t="s">
        <v>2179</v>
      </c>
      <c r="AG406" s="5" t="s">
        <v>2180</v>
      </c>
      <c r="AH406" s="5" t="s">
        <v>2179</v>
      </c>
      <c r="AI406" s="5" t="s">
        <v>73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262.08</v>
      </c>
      <c r="AP406" s="5">
        <v>0.72499999999999998</v>
      </c>
      <c r="AQ406" s="5" t="s">
        <v>713</v>
      </c>
      <c r="AR406" s="5" t="s">
        <v>1104</v>
      </c>
      <c r="AS406" s="5"/>
      <c r="AT406" s="5"/>
      <c r="AU406" s="5"/>
      <c r="AV406" s="5">
        <v>-1</v>
      </c>
      <c r="AW406" s="5" t="s">
        <v>2265</v>
      </c>
    </row>
    <row r="407" spans="1:49" x14ac:dyDescent="0.55000000000000004">
      <c r="A407" s="5" t="str">
        <f>HYPERLINK("https://www.infodis.net/philips/net/Shipment/Details?InfodisNumber=4523733&amp;DomainCode=DAP", "4523733")</f>
        <v>4523733</v>
      </c>
      <c r="B407" s="5" t="s">
        <v>3689</v>
      </c>
      <c r="C407" s="5" t="s">
        <v>3690</v>
      </c>
      <c r="D407" s="5" t="s">
        <v>3691</v>
      </c>
      <c r="E407" s="5" t="s">
        <v>3690</v>
      </c>
      <c r="F407" s="5" t="s">
        <v>52</v>
      </c>
      <c r="G407" s="5" t="s">
        <v>3692</v>
      </c>
      <c r="H407" s="5" t="s">
        <v>79</v>
      </c>
      <c r="I407" s="5" t="s">
        <v>2396</v>
      </c>
      <c r="J407" s="5" t="s">
        <v>2367</v>
      </c>
      <c r="K407" s="5" t="s">
        <v>54</v>
      </c>
      <c r="L407" s="5" t="s">
        <v>55</v>
      </c>
      <c r="M407" s="5" t="s">
        <v>84</v>
      </c>
      <c r="N407" s="5"/>
      <c r="O407" s="5"/>
      <c r="P407" s="5" t="s">
        <v>3693</v>
      </c>
      <c r="Q407" s="5" t="s">
        <v>3694</v>
      </c>
      <c r="R407" s="5" t="s">
        <v>63</v>
      </c>
      <c r="S407" s="6">
        <v>44102</v>
      </c>
      <c r="T407" s="6">
        <v>44102</v>
      </c>
      <c r="U407" s="6">
        <v>44103</v>
      </c>
      <c r="V407" s="6">
        <v>44103</v>
      </c>
      <c r="W407" s="6">
        <v>44106</v>
      </c>
      <c r="X407" s="6">
        <v>44111</v>
      </c>
      <c r="Y407" s="5" t="s">
        <v>2398</v>
      </c>
      <c r="Z407" s="5" t="s">
        <v>2398</v>
      </c>
      <c r="AA407" s="5" t="s">
        <v>2398</v>
      </c>
      <c r="AB407" s="5" t="s">
        <v>67</v>
      </c>
      <c r="AC407" s="5" t="s">
        <v>67</v>
      </c>
      <c r="AD407" s="5" t="s">
        <v>67</v>
      </c>
      <c r="AE407" s="5"/>
      <c r="AF407" s="5" t="s">
        <v>2179</v>
      </c>
      <c r="AG407" s="5" t="s">
        <v>2180</v>
      </c>
      <c r="AH407" s="5" t="s">
        <v>2179</v>
      </c>
      <c r="AI407" s="5" t="s">
        <v>73</v>
      </c>
      <c r="AJ407" s="5">
        <v>0</v>
      </c>
      <c r="AK407" s="5">
        <v>0</v>
      </c>
      <c r="AL407" s="5">
        <v>0</v>
      </c>
      <c r="AM407" s="5">
        <v>0</v>
      </c>
      <c r="AN407" s="5">
        <v>2</v>
      </c>
      <c r="AO407" s="5">
        <v>300</v>
      </c>
      <c r="AP407" s="5">
        <v>0.91500000000000004</v>
      </c>
      <c r="AQ407" s="5" t="s">
        <v>713</v>
      </c>
      <c r="AR407" s="5" t="s">
        <v>1104</v>
      </c>
      <c r="AS407" s="5" t="s">
        <v>713</v>
      </c>
      <c r="AT407" s="6">
        <v>44131</v>
      </c>
      <c r="AU407" s="5" t="s">
        <v>3677</v>
      </c>
      <c r="AV407" s="5">
        <v>31</v>
      </c>
      <c r="AW407" s="5" t="s">
        <v>3678</v>
      </c>
    </row>
    <row r="408" spans="1:49" x14ac:dyDescent="0.55000000000000004">
      <c r="A408" s="5" t="str">
        <f>HYPERLINK("https://www.infodis.net/philips/net/Shipment/Details?InfodisNumber=1519199&amp;DomainCode=PHILIPSM1", "1519199")</f>
        <v>1519199</v>
      </c>
      <c r="B408" s="5" t="s">
        <v>3695</v>
      </c>
      <c r="C408" s="5" t="s">
        <v>3659</v>
      </c>
      <c r="D408" s="5" t="s">
        <v>3660</v>
      </c>
      <c r="E408" s="5" t="s">
        <v>3659</v>
      </c>
      <c r="F408" s="5" t="s">
        <v>3696</v>
      </c>
      <c r="G408" s="5" t="s">
        <v>3662</v>
      </c>
      <c r="H408" s="5" t="s">
        <v>180</v>
      </c>
      <c r="I408" s="5" t="s">
        <v>2057</v>
      </c>
      <c r="J408" s="5" t="s">
        <v>2553</v>
      </c>
      <c r="K408" s="5" t="s">
        <v>3697</v>
      </c>
      <c r="L408" s="5" t="s">
        <v>846</v>
      </c>
      <c r="M408" s="5" t="s">
        <v>60</v>
      </c>
      <c r="N408" s="5"/>
      <c r="O408" s="5"/>
      <c r="P408" s="5" t="s">
        <v>3663</v>
      </c>
      <c r="Q408" s="5" t="s">
        <v>3698</v>
      </c>
      <c r="R408" s="5" t="s">
        <v>1557</v>
      </c>
      <c r="S408" s="6">
        <v>44099</v>
      </c>
      <c r="T408" s="6">
        <v>44099</v>
      </c>
      <c r="U408" s="6">
        <v>44097</v>
      </c>
      <c r="V408" s="6">
        <v>44102</v>
      </c>
      <c r="W408" s="6">
        <v>44107</v>
      </c>
      <c r="X408" s="5"/>
      <c r="Y408" s="5" t="s">
        <v>2387</v>
      </c>
      <c r="Z408" s="5" t="s">
        <v>2387</v>
      </c>
      <c r="AA408" s="5" t="s">
        <v>603</v>
      </c>
      <c r="AB408" s="5" t="s">
        <v>67</v>
      </c>
      <c r="AC408" s="5" t="s">
        <v>67</v>
      </c>
      <c r="AD408" s="5" t="s">
        <v>68</v>
      </c>
      <c r="AE408" s="5"/>
      <c r="AF408" s="5" t="s">
        <v>2179</v>
      </c>
      <c r="AG408" s="5" t="s">
        <v>2180</v>
      </c>
      <c r="AH408" s="5" t="s">
        <v>2179</v>
      </c>
      <c r="AI408" s="5" t="s">
        <v>605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314.89999999999998</v>
      </c>
      <c r="AP408" s="5">
        <v>2.4849999999999999</v>
      </c>
      <c r="AQ408" s="5" t="s">
        <v>713</v>
      </c>
      <c r="AR408" s="5" t="s">
        <v>1104</v>
      </c>
      <c r="AS408" s="5"/>
      <c r="AT408" s="5"/>
      <c r="AU408" s="5"/>
      <c r="AV408" s="5">
        <v>-1</v>
      </c>
      <c r="AW408" s="5" t="s">
        <v>1498</v>
      </c>
    </row>
    <row r="409" spans="1:49" x14ac:dyDescent="0.55000000000000004">
      <c r="A409" s="5" t="str">
        <f>HYPERLINK("https://www.infodis.net/philips/net/Shipment/Details?InfodisNumber=6083810&amp;DomainCode=PHILIPSR1", "6083810")</f>
        <v>6083810</v>
      </c>
      <c r="B409" s="5" t="s">
        <v>3699</v>
      </c>
      <c r="C409" s="5" t="s">
        <v>2426</v>
      </c>
      <c r="D409" s="5" t="s">
        <v>2427</v>
      </c>
      <c r="E409" s="5" t="s">
        <v>458</v>
      </c>
      <c r="F409" s="5" t="s">
        <v>2679</v>
      </c>
      <c r="G409" s="5" t="s">
        <v>610</v>
      </c>
      <c r="H409" s="5" t="s">
        <v>180</v>
      </c>
      <c r="I409" s="5" t="s">
        <v>652</v>
      </c>
      <c r="J409" s="5" t="s">
        <v>2495</v>
      </c>
      <c r="K409" s="5" t="s">
        <v>2496</v>
      </c>
      <c r="L409" s="5" t="s">
        <v>73</v>
      </c>
      <c r="M409" s="5" t="s">
        <v>84</v>
      </c>
      <c r="N409" s="5"/>
      <c r="O409" s="5"/>
      <c r="P409" s="5" t="s">
        <v>613</v>
      </c>
      <c r="Q409" s="5"/>
      <c r="R409" s="5" t="s">
        <v>2495</v>
      </c>
      <c r="S409" s="6">
        <v>43820</v>
      </c>
      <c r="T409" s="6">
        <v>43822</v>
      </c>
      <c r="U409" s="6">
        <v>43822</v>
      </c>
      <c r="V409" s="6">
        <v>43825</v>
      </c>
      <c r="W409" s="6">
        <v>43828</v>
      </c>
      <c r="X409" s="5"/>
      <c r="Y409" s="5" t="s">
        <v>2476</v>
      </c>
      <c r="Z409" s="5" t="s">
        <v>2476</v>
      </c>
      <c r="AA409" s="5" t="s">
        <v>66</v>
      </c>
      <c r="AB409" s="5" t="s">
        <v>67</v>
      </c>
      <c r="AC409" s="5" t="s">
        <v>67</v>
      </c>
      <c r="AD409" s="5" t="s">
        <v>68</v>
      </c>
      <c r="AE409" s="5"/>
      <c r="AF409" s="5" t="s">
        <v>2179</v>
      </c>
      <c r="AG409" s="5" t="s">
        <v>2180</v>
      </c>
      <c r="AH409" s="5" t="s">
        <v>2179</v>
      </c>
      <c r="AI409" s="5" t="s">
        <v>252</v>
      </c>
      <c r="AJ409" s="5">
        <v>0</v>
      </c>
      <c r="AK409" s="5">
        <v>0</v>
      </c>
      <c r="AL409" s="5">
        <v>0</v>
      </c>
      <c r="AM409" s="5">
        <v>0</v>
      </c>
      <c r="AN409" s="5">
        <v>4</v>
      </c>
      <c r="AO409" s="5">
        <v>636.84</v>
      </c>
      <c r="AP409" s="5">
        <v>6.7020000000000008</v>
      </c>
      <c r="AQ409" s="5" t="s">
        <v>713</v>
      </c>
      <c r="AR409" s="5" t="s">
        <v>1104</v>
      </c>
      <c r="AS409" s="5" t="s">
        <v>713</v>
      </c>
      <c r="AT409" s="5"/>
      <c r="AU409" s="5"/>
      <c r="AV409" s="5">
        <v>-1</v>
      </c>
      <c r="AW409" s="5" t="s">
        <v>3700</v>
      </c>
    </row>
    <row r="410" spans="1:49" x14ac:dyDescent="0.55000000000000004">
      <c r="A410" s="5" t="str">
        <f>HYPERLINK("https://www.infodis.net/philips/net/Shipment/Details?InfodisNumber=4522266&amp;DomainCode=DAP", "4522266")</f>
        <v>4522266</v>
      </c>
      <c r="B410" s="5" t="s">
        <v>3701</v>
      </c>
      <c r="C410" s="5" t="s">
        <v>3430</v>
      </c>
      <c r="D410" s="5" t="s">
        <v>3431</v>
      </c>
      <c r="E410" s="5" t="s">
        <v>3430</v>
      </c>
      <c r="F410" s="5" t="s">
        <v>256</v>
      </c>
      <c r="G410" s="5" t="s">
        <v>192</v>
      </c>
      <c r="H410" s="5" t="s">
        <v>79</v>
      </c>
      <c r="I410" s="5" t="s">
        <v>587</v>
      </c>
      <c r="J410" s="5" t="s">
        <v>2626</v>
      </c>
      <c r="K410" s="5" t="s">
        <v>259</v>
      </c>
      <c r="L410" s="5" t="s">
        <v>260</v>
      </c>
      <c r="M410" s="5" t="s">
        <v>84</v>
      </c>
      <c r="N410" s="5"/>
      <c r="O410" s="5"/>
      <c r="P410" s="5" t="s">
        <v>3432</v>
      </c>
      <c r="Q410" s="5"/>
      <c r="R410" s="5" t="s">
        <v>262</v>
      </c>
      <c r="S410" s="6">
        <v>44099</v>
      </c>
      <c r="T410" s="6">
        <v>44102</v>
      </c>
      <c r="U410" s="5"/>
      <c r="V410" s="6">
        <v>44105</v>
      </c>
      <c r="W410" s="5"/>
      <c r="X410" s="5"/>
      <c r="Y410" s="5" t="s">
        <v>66</v>
      </c>
      <c r="Z410" s="5" t="s">
        <v>2411</v>
      </c>
      <c r="AA410" s="5" t="s">
        <v>2411</v>
      </c>
      <c r="AB410" s="5" t="s">
        <v>68</v>
      </c>
      <c r="AC410" s="5" t="s">
        <v>67</v>
      </c>
      <c r="AD410" s="5" t="s">
        <v>67</v>
      </c>
      <c r="AE410" s="5"/>
      <c r="AF410" s="5" t="s">
        <v>2179</v>
      </c>
      <c r="AG410" s="5" t="s">
        <v>2180</v>
      </c>
      <c r="AH410" s="5" t="s">
        <v>2179</v>
      </c>
      <c r="AI410" s="5" t="s">
        <v>73</v>
      </c>
      <c r="AJ410" s="5">
        <v>0</v>
      </c>
      <c r="AK410" s="5">
        <v>0</v>
      </c>
      <c r="AL410" s="5">
        <v>0</v>
      </c>
      <c r="AM410" s="5">
        <v>0</v>
      </c>
      <c r="AN410" s="5">
        <v>14</v>
      </c>
      <c r="AO410" s="5">
        <v>1688.4</v>
      </c>
      <c r="AP410" s="5">
        <v>16.463999999999999</v>
      </c>
      <c r="AQ410" s="5" t="s">
        <v>713</v>
      </c>
      <c r="AR410" s="5" t="s">
        <v>1104</v>
      </c>
      <c r="AS410" s="5"/>
      <c r="AT410" s="5"/>
      <c r="AU410" s="5"/>
      <c r="AV410" s="5">
        <v>-1</v>
      </c>
      <c r="AW410" s="5" t="s">
        <v>1368</v>
      </c>
    </row>
    <row r="411" spans="1:49" x14ac:dyDescent="0.55000000000000004">
      <c r="A411" s="5" t="str">
        <f>HYPERLINK("https://www.infodis.net/philips/net/Shipment/Details?InfodisNumber=4522264&amp;DomainCode=DAP", "4522264")</f>
        <v>4522264</v>
      </c>
      <c r="B411" s="5" t="s">
        <v>3702</v>
      </c>
      <c r="C411" s="5" t="s">
        <v>3430</v>
      </c>
      <c r="D411" s="5" t="s">
        <v>3431</v>
      </c>
      <c r="E411" s="5" t="s">
        <v>3430</v>
      </c>
      <c r="F411" s="5" t="s">
        <v>256</v>
      </c>
      <c r="G411" s="5" t="s">
        <v>192</v>
      </c>
      <c r="H411" s="5" t="s">
        <v>79</v>
      </c>
      <c r="I411" s="5" t="s">
        <v>587</v>
      </c>
      <c r="J411" s="5" t="s">
        <v>2626</v>
      </c>
      <c r="K411" s="5" t="s">
        <v>259</v>
      </c>
      <c r="L411" s="5" t="s">
        <v>260</v>
      </c>
      <c r="M411" s="5" t="s">
        <v>84</v>
      </c>
      <c r="N411" s="5"/>
      <c r="O411" s="5"/>
      <c r="P411" s="5" t="s">
        <v>3432</v>
      </c>
      <c r="Q411" s="5"/>
      <c r="R411" s="5" t="s">
        <v>262</v>
      </c>
      <c r="S411" s="6">
        <v>44099</v>
      </c>
      <c r="T411" s="6">
        <v>44102</v>
      </c>
      <c r="U411" s="5"/>
      <c r="V411" s="6">
        <v>44105</v>
      </c>
      <c r="W411" s="5"/>
      <c r="X411" s="5"/>
      <c r="Y411" s="5" t="s">
        <v>66</v>
      </c>
      <c r="Z411" s="5" t="s">
        <v>2411</v>
      </c>
      <c r="AA411" s="5" t="s">
        <v>2411</v>
      </c>
      <c r="AB411" s="5" t="s">
        <v>68</v>
      </c>
      <c r="AC411" s="5" t="s">
        <v>67</v>
      </c>
      <c r="AD411" s="5" t="s">
        <v>67</v>
      </c>
      <c r="AE411" s="5"/>
      <c r="AF411" s="5" t="s">
        <v>2179</v>
      </c>
      <c r="AG411" s="5" t="s">
        <v>2180</v>
      </c>
      <c r="AH411" s="5" t="s">
        <v>2179</v>
      </c>
      <c r="AI411" s="5" t="s">
        <v>73</v>
      </c>
      <c r="AJ411" s="5">
        <v>0</v>
      </c>
      <c r="AK411" s="5">
        <v>0</v>
      </c>
      <c r="AL411" s="5">
        <v>0</v>
      </c>
      <c r="AM411" s="5">
        <v>0</v>
      </c>
      <c r="AN411" s="5">
        <v>10</v>
      </c>
      <c r="AO411" s="5">
        <v>1206</v>
      </c>
      <c r="AP411" s="5">
        <v>9.4079999999999995</v>
      </c>
      <c r="AQ411" s="5" t="s">
        <v>713</v>
      </c>
      <c r="AR411" s="5" t="s">
        <v>1104</v>
      </c>
      <c r="AS411" s="5"/>
      <c r="AT411" s="5"/>
      <c r="AU411" s="5"/>
      <c r="AV411" s="5">
        <v>-1</v>
      </c>
      <c r="AW411" s="5" t="s">
        <v>1368</v>
      </c>
    </row>
    <row r="412" spans="1:49" x14ac:dyDescent="0.55000000000000004">
      <c r="A412" s="5" t="str">
        <f>HYPERLINK("https://www.infodis.net/philips/net/Shipment/Details?InfodisNumber=4521544&amp;DomainCode=DAP", "4521544")</f>
        <v>4521544</v>
      </c>
      <c r="B412" s="5" t="s">
        <v>3703</v>
      </c>
      <c r="C412" s="5" t="s">
        <v>3267</v>
      </c>
      <c r="D412" s="5" t="s">
        <v>3268</v>
      </c>
      <c r="E412" s="5" t="s">
        <v>304</v>
      </c>
      <c r="F412" s="5" t="s">
        <v>393</v>
      </c>
      <c r="G412" s="5" t="s">
        <v>3269</v>
      </c>
      <c r="H412" s="5" t="s">
        <v>55</v>
      </c>
      <c r="I412" s="5" t="s">
        <v>2367</v>
      </c>
      <c r="J412" s="5" t="s">
        <v>268</v>
      </c>
      <c r="K412" s="5" t="s">
        <v>3270</v>
      </c>
      <c r="L412" s="5" t="s">
        <v>267</v>
      </c>
      <c r="M412" s="5" t="s">
        <v>84</v>
      </c>
      <c r="N412" s="5"/>
      <c r="O412" s="5"/>
      <c r="P412" s="5" t="s">
        <v>3271</v>
      </c>
      <c r="Q412" s="5"/>
      <c r="R412" s="5" t="s">
        <v>3272</v>
      </c>
      <c r="S412" s="6">
        <v>44098</v>
      </c>
      <c r="T412" s="6">
        <v>44099</v>
      </c>
      <c r="U412" s="6">
        <v>44106</v>
      </c>
      <c r="V412" s="6">
        <v>44102</v>
      </c>
      <c r="W412" s="5"/>
      <c r="X412" s="5"/>
      <c r="Y412" s="5" t="s">
        <v>2411</v>
      </c>
      <c r="Z412" s="5" t="s">
        <v>2411</v>
      </c>
      <c r="AA412" s="5" t="s">
        <v>66</v>
      </c>
      <c r="AB412" s="5" t="s">
        <v>67</v>
      </c>
      <c r="AC412" s="5" t="s">
        <v>67</v>
      </c>
      <c r="AD412" s="5" t="s">
        <v>67</v>
      </c>
      <c r="AE412" s="5"/>
      <c r="AF412" s="5" t="s">
        <v>2179</v>
      </c>
      <c r="AG412" s="5" t="s">
        <v>2180</v>
      </c>
      <c r="AH412" s="5" t="s">
        <v>2179</v>
      </c>
      <c r="AI412" s="5" t="s">
        <v>73</v>
      </c>
      <c r="AJ412" s="5">
        <v>0</v>
      </c>
      <c r="AK412" s="5">
        <v>0</v>
      </c>
      <c r="AL412" s="5">
        <v>0</v>
      </c>
      <c r="AM412" s="5">
        <v>0</v>
      </c>
      <c r="AN412" s="5">
        <v>11</v>
      </c>
      <c r="AO412" s="5">
        <v>4851</v>
      </c>
      <c r="AP412" s="5">
        <v>12.461</v>
      </c>
      <c r="AQ412" s="5" t="s">
        <v>713</v>
      </c>
      <c r="AR412" s="5" t="s">
        <v>1104</v>
      </c>
      <c r="AS412" s="5" t="s">
        <v>713</v>
      </c>
      <c r="AT412" s="6">
        <v>44125</v>
      </c>
      <c r="AU412" s="5" t="s">
        <v>3704</v>
      </c>
      <c r="AV412" s="5">
        <v>37</v>
      </c>
      <c r="AW412" s="5" t="s">
        <v>3705</v>
      </c>
    </row>
    <row r="413" spans="1:49" x14ac:dyDescent="0.55000000000000004">
      <c r="A413" s="5" t="str">
        <f>HYPERLINK("https://www.infodis.net/philips/net/Shipment/Details?InfodisNumber=6336232&amp;DomainCode=PHILIPSR1", "6336232")</f>
        <v>6336232</v>
      </c>
      <c r="B413" s="5" t="s">
        <v>3706</v>
      </c>
      <c r="C413" s="5" t="s">
        <v>2426</v>
      </c>
      <c r="D413" s="5" t="s">
        <v>2427</v>
      </c>
      <c r="E413" s="5" t="s">
        <v>458</v>
      </c>
      <c r="F413" s="5" t="s">
        <v>3707</v>
      </c>
      <c r="G413" s="5" t="s">
        <v>610</v>
      </c>
      <c r="H413" s="5" t="s">
        <v>180</v>
      </c>
      <c r="I413" s="5" t="s">
        <v>652</v>
      </c>
      <c r="J413" s="5" t="s">
        <v>511</v>
      </c>
      <c r="K413" s="5" t="s">
        <v>2576</v>
      </c>
      <c r="L413" s="5" t="s">
        <v>234</v>
      </c>
      <c r="M413" s="5" t="s">
        <v>84</v>
      </c>
      <c r="N413" s="5"/>
      <c r="O413" s="5"/>
      <c r="P413" s="5" t="s">
        <v>613</v>
      </c>
      <c r="Q413" s="5" t="s">
        <v>3708</v>
      </c>
      <c r="R413" s="5" t="s">
        <v>3709</v>
      </c>
      <c r="S413" s="6">
        <v>43909</v>
      </c>
      <c r="T413" s="6">
        <v>43910</v>
      </c>
      <c r="U413" s="6">
        <v>43909</v>
      </c>
      <c r="V413" s="6">
        <v>43914</v>
      </c>
      <c r="W413" s="6">
        <v>43914</v>
      </c>
      <c r="X413" s="5"/>
      <c r="Y413" s="5" t="s">
        <v>2476</v>
      </c>
      <c r="Z413" s="5" t="s">
        <v>2476</v>
      </c>
      <c r="AA413" s="5" t="s">
        <v>66</v>
      </c>
      <c r="AB413" s="5" t="s">
        <v>67</v>
      </c>
      <c r="AC413" s="5" t="s">
        <v>67</v>
      </c>
      <c r="AD413" s="5" t="s">
        <v>68</v>
      </c>
      <c r="AE413" s="5"/>
      <c r="AF413" s="5" t="s">
        <v>2610</v>
      </c>
      <c r="AG413" s="5" t="s">
        <v>2611</v>
      </c>
      <c r="AH413" s="5" t="s">
        <v>2610</v>
      </c>
      <c r="AI413" s="5" t="s">
        <v>252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7.71</v>
      </c>
      <c r="AP413" s="5">
        <v>4.2000000000000003E-2</v>
      </c>
      <c r="AQ413" s="5" t="s">
        <v>713</v>
      </c>
      <c r="AR413" s="5" t="s">
        <v>1104</v>
      </c>
      <c r="AS413" s="5" t="s">
        <v>713</v>
      </c>
      <c r="AT413" s="5"/>
      <c r="AU413" s="5"/>
      <c r="AV413" s="5">
        <v>-1</v>
      </c>
      <c r="AW413" s="5" t="s">
        <v>3710</v>
      </c>
    </row>
    <row r="414" spans="1:49" x14ac:dyDescent="0.55000000000000004">
      <c r="A414" s="5" t="str">
        <f>HYPERLINK("https://www.infodis.net/philips/net/Shipment/Details?InfodisNumber=6343576&amp;DomainCode=PHILIPSR1", "6343576")</f>
        <v>6343576</v>
      </c>
      <c r="B414" s="5" t="s">
        <v>3711</v>
      </c>
      <c r="C414" s="5" t="s">
        <v>2426</v>
      </c>
      <c r="D414" s="5" t="s">
        <v>2427</v>
      </c>
      <c r="E414" s="5" t="s">
        <v>458</v>
      </c>
      <c r="F414" s="5" t="s">
        <v>2679</v>
      </c>
      <c r="G414" s="5" t="s">
        <v>610</v>
      </c>
      <c r="H414" s="5" t="s">
        <v>180</v>
      </c>
      <c r="I414" s="5" t="s">
        <v>652</v>
      </c>
      <c r="J414" s="5" t="s">
        <v>2495</v>
      </c>
      <c r="K414" s="5" t="s">
        <v>2496</v>
      </c>
      <c r="L414" s="5" t="s">
        <v>73</v>
      </c>
      <c r="M414" s="5" t="s">
        <v>84</v>
      </c>
      <c r="N414" s="5"/>
      <c r="O414" s="5"/>
      <c r="P414" s="5" t="s">
        <v>613</v>
      </c>
      <c r="Q414" s="5"/>
      <c r="R414" s="5" t="s">
        <v>2495</v>
      </c>
      <c r="S414" s="6">
        <v>43911</v>
      </c>
      <c r="T414" s="6">
        <v>43913</v>
      </c>
      <c r="U414" s="6">
        <v>43913</v>
      </c>
      <c r="V414" s="6">
        <v>43916</v>
      </c>
      <c r="W414" s="6">
        <v>43915</v>
      </c>
      <c r="X414" s="5"/>
      <c r="Y414" s="5" t="s">
        <v>2476</v>
      </c>
      <c r="Z414" s="5" t="s">
        <v>2476</v>
      </c>
      <c r="AA414" s="5" t="s">
        <v>66</v>
      </c>
      <c r="AB414" s="5" t="s">
        <v>67</v>
      </c>
      <c r="AC414" s="5" t="s">
        <v>67</v>
      </c>
      <c r="AD414" s="5" t="s">
        <v>68</v>
      </c>
      <c r="AE414" s="5"/>
      <c r="AF414" s="5" t="s">
        <v>2179</v>
      </c>
      <c r="AG414" s="5" t="s">
        <v>2180</v>
      </c>
      <c r="AH414" s="5" t="s">
        <v>2179</v>
      </c>
      <c r="AI414" s="5" t="s">
        <v>252</v>
      </c>
      <c r="AJ414" s="5">
        <v>0</v>
      </c>
      <c r="AK414" s="5">
        <v>0</v>
      </c>
      <c r="AL414" s="5">
        <v>0</v>
      </c>
      <c r="AM414" s="5">
        <v>0</v>
      </c>
      <c r="AN414" s="5">
        <v>2</v>
      </c>
      <c r="AO414" s="5">
        <v>300.27999999999997</v>
      </c>
      <c r="AP414" s="5">
        <v>2.6920000000000002</v>
      </c>
      <c r="AQ414" s="5" t="s">
        <v>713</v>
      </c>
      <c r="AR414" s="5" t="s">
        <v>1104</v>
      </c>
      <c r="AS414" s="5" t="s">
        <v>713</v>
      </c>
      <c r="AT414" s="5"/>
      <c r="AU414" s="5"/>
      <c r="AV414" s="5">
        <v>-1</v>
      </c>
      <c r="AW414" s="5" t="s">
        <v>3710</v>
      </c>
    </row>
    <row r="415" spans="1:49" x14ac:dyDescent="0.55000000000000004">
      <c r="A415" s="5" t="str">
        <f>HYPERLINK("https://www.infodis.net/philips/net/Shipment/Details?InfodisNumber=1366349&amp;DomainCode=PHILIPSM1", "1366349")</f>
        <v>1366349</v>
      </c>
      <c r="B415" s="5" t="s">
        <v>3712</v>
      </c>
      <c r="C415" s="5" t="s">
        <v>2080</v>
      </c>
      <c r="D415" s="5" t="s">
        <v>2081</v>
      </c>
      <c r="E415" s="5" t="s">
        <v>2089</v>
      </c>
      <c r="F415" s="5" t="s">
        <v>3713</v>
      </c>
      <c r="G415" s="5" t="s">
        <v>1430</v>
      </c>
      <c r="H415" s="5" t="s">
        <v>244</v>
      </c>
      <c r="I415" s="5" t="s">
        <v>2084</v>
      </c>
      <c r="J415" s="5" t="s">
        <v>2357</v>
      </c>
      <c r="K415" s="5" t="s">
        <v>2248</v>
      </c>
      <c r="L415" s="5" t="s">
        <v>230</v>
      </c>
      <c r="M415" s="5" t="s">
        <v>84</v>
      </c>
      <c r="N415" s="5"/>
      <c r="O415" s="5"/>
      <c r="P415" s="5" t="s">
        <v>1432</v>
      </c>
      <c r="Q415" s="5" t="s">
        <v>3714</v>
      </c>
      <c r="R415" s="5" t="s">
        <v>2293</v>
      </c>
      <c r="S415" s="6">
        <v>43957</v>
      </c>
      <c r="T415" s="6">
        <v>43957</v>
      </c>
      <c r="U415" s="6">
        <v>43957</v>
      </c>
      <c r="V415" s="6">
        <v>43958</v>
      </c>
      <c r="W415" s="6">
        <v>43965</v>
      </c>
      <c r="X415" s="5"/>
      <c r="Y415" s="5" t="s">
        <v>2387</v>
      </c>
      <c r="Z415" s="5" t="s">
        <v>2387</v>
      </c>
      <c r="AA415" s="5" t="s">
        <v>603</v>
      </c>
      <c r="AB415" s="5" t="s">
        <v>67</v>
      </c>
      <c r="AC415" s="5" t="s">
        <v>67</v>
      </c>
      <c r="AD415" s="5" t="s">
        <v>68</v>
      </c>
      <c r="AE415" s="5"/>
      <c r="AF415" s="5" t="s">
        <v>2610</v>
      </c>
      <c r="AG415" s="5" t="s">
        <v>2611</v>
      </c>
      <c r="AH415" s="5" t="s">
        <v>2610</v>
      </c>
      <c r="AI415" s="5" t="s">
        <v>605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2.6</v>
      </c>
      <c r="AP415" s="5">
        <v>3.7000000000000012E-2</v>
      </c>
      <c r="AQ415" s="5" t="s">
        <v>713</v>
      </c>
      <c r="AR415" s="5" t="s">
        <v>1104</v>
      </c>
      <c r="AS415" s="5"/>
      <c r="AT415" s="5"/>
      <c r="AU415" s="5"/>
      <c r="AV415" s="5">
        <v>-1</v>
      </c>
      <c r="AW415" s="5" t="s">
        <v>3715</v>
      </c>
    </row>
    <row r="416" spans="1:49" x14ac:dyDescent="0.55000000000000004">
      <c r="A416" s="5" t="str">
        <f>HYPERLINK("https://www.infodis.net/philips/net/Shipment/Details?InfodisNumber=4525389&amp;DomainCode=DAP", "4525389")</f>
        <v>4525389</v>
      </c>
      <c r="B416" s="5" t="s">
        <v>3716</v>
      </c>
      <c r="C416" s="5" t="s">
        <v>3717</v>
      </c>
      <c r="D416" s="5" t="s">
        <v>3718</v>
      </c>
      <c r="E416" s="5" t="s">
        <v>3717</v>
      </c>
      <c r="F416" s="5" t="s">
        <v>167</v>
      </c>
      <c r="G416" s="5" t="s">
        <v>3719</v>
      </c>
      <c r="H416" s="5" t="s">
        <v>180</v>
      </c>
      <c r="I416" s="5" t="s">
        <v>3720</v>
      </c>
      <c r="J416" s="5" t="s">
        <v>2405</v>
      </c>
      <c r="K416" s="5" t="s">
        <v>1125</v>
      </c>
      <c r="L416" s="5" t="s">
        <v>172</v>
      </c>
      <c r="M416" s="5" t="s">
        <v>60</v>
      </c>
      <c r="N416" s="5"/>
      <c r="O416" s="5"/>
      <c r="P416" s="5" t="s">
        <v>3721</v>
      </c>
      <c r="Q416" s="5" t="s">
        <v>3722</v>
      </c>
      <c r="R416" s="5" t="s">
        <v>1128</v>
      </c>
      <c r="S416" s="6">
        <v>44103</v>
      </c>
      <c r="T416" s="6">
        <v>44103</v>
      </c>
      <c r="U416" s="6">
        <v>44104</v>
      </c>
      <c r="V416" s="6">
        <v>44106</v>
      </c>
      <c r="W416" s="6">
        <v>44105</v>
      </c>
      <c r="X416" s="6">
        <v>44118</v>
      </c>
      <c r="Y416" s="5" t="s">
        <v>2411</v>
      </c>
      <c r="Z416" s="5" t="s">
        <v>2411</v>
      </c>
      <c r="AA416" s="5" t="s">
        <v>2411</v>
      </c>
      <c r="AB416" s="5" t="s">
        <v>67</v>
      </c>
      <c r="AC416" s="5" t="s">
        <v>67</v>
      </c>
      <c r="AD416" s="5" t="s">
        <v>67</v>
      </c>
      <c r="AE416" s="5"/>
      <c r="AF416" s="5" t="s">
        <v>2179</v>
      </c>
      <c r="AG416" s="5" t="s">
        <v>2180</v>
      </c>
      <c r="AH416" s="5" t="s">
        <v>2179</v>
      </c>
      <c r="AI416" s="5" t="s">
        <v>73</v>
      </c>
      <c r="AJ416" s="5">
        <v>0</v>
      </c>
      <c r="AK416" s="5">
        <v>0</v>
      </c>
      <c r="AL416" s="5">
        <v>0</v>
      </c>
      <c r="AM416" s="5">
        <v>0</v>
      </c>
      <c r="AN416" s="5">
        <v>1</v>
      </c>
      <c r="AO416" s="5">
        <v>605.54999999999995</v>
      </c>
      <c r="AP416" s="5">
        <v>1.528</v>
      </c>
      <c r="AQ416" s="5" t="s">
        <v>713</v>
      </c>
      <c r="AR416" s="5" t="s">
        <v>1104</v>
      </c>
      <c r="AS416" s="5" t="s">
        <v>713</v>
      </c>
      <c r="AT416" s="6">
        <v>44124</v>
      </c>
      <c r="AU416" s="5" t="s">
        <v>3723</v>
      </c>
      <c r="AV416" s="5">
        <v>38</v>
      </c>
      <c r="AW416" s="5" t="s">
        <v>3724</v>
      </c>
    </row>
    <row r="417" spans="1:49" x14ac:dyDescent="0.55000000000000004">
      <c r="A417" s="5" t="str">
        <f>HYPERLINK("https://www.infodis.net/philips/net/Shipment/Details?InfodisNumber=4528604&amp;DomainCode=DAP", "4528604")</f>
        <v>4528604</v>
      </c>
      <c r="B417" s="5" t="s">
        <v>3725</v>
      </c>
      <c r="C417" s="5" t="s">
        <v>3717</v>
      </c>
      <c r="D417" s="5" t="s">
        <v>3718</v>
      </c>
      <c r="E417" s="5" t="s">
        <v>3717</v>
      </c>
      <c r="F417" s="5" t="s">
        <v>167</v>
      </c>
      <c r="G417" s="5" t="s">
        <v>3719</v>
      </c>
      <c r="H417" s="5" t="s">
        <v>180</v>
      </c>
      <c r="I417" s="5" t="s">
        <v>3720</v>
      </c>
      <c r="J417" s="5" t="s">
        <v>2405</v>
      </c>
      <c r="K417" s="5" t="s">
        <v>1125</v>
      </c>
      <c r="L417" s="5" t="s">
        <v>172</v>
      </c>
      <c r="M417" s="5" t="s">
        <v>60</v>
      </c>
      <c r="N417" s="5"/>
      <c r="O417" s="5"/>
      <c r="P417" s="5" t="s">
        <v>3721</v>
      </c>
      <c r="Q417" s="5" t="s">
        <v>3726</v>
      </c>
      <c r="R417" s="5" t="s">
        <v>1128</v>
      </c>
      <c r="S417" s="6">
        <v>44109</v>
      </c>
      <c r="T417" s="6">
        <v>44109</v>
      </c>
      <c r="U417" s="6">
        <v>44109</v>
      </c>
      <c r="V417" s="6">
        <v>44114</v>
      </c>
      <c r="W417" s="6">
        <v>44116</v>
      </c>
      <c r="X417" s="6">
        <v>44125</v>
      </c>
      <c r="Y417" s="5" t="s">
        <v>2411</v>
      </c>
      <c r="Z417" s="5" t="s">
        <v>2411</v>
      </c>
      <c r="AA417" s="5" t="s">
        <v>2411</v>
      </c>
      <c r="AB417" s="5" t="s">
        <v>67</v>
      </c>
      <c r="AC417" s="5" t="s">
        <v>67</v>
      </c>
      <c r="AD417" s="5" t="s">
        <v>67</v>
      </c>
      <c r="AE417" s="5"/>
      <c r="AF417" s="5" t="s">
        <v>2399</v>
      </c>
      <c r="AG417" s="5" t="s">
        <v>2400</v>
      </c>
      <c r="AH417" s="5" t="s">
        <v>2399</v>
      </c>
      <c r="AI417" s="5" t="s">
        <v>73</v>
      </c>
      <c r="AJ417" s="5">
        <v>0</v>
      </c>
      <c r="AK417" s="5">
        <v>0</v>
      </c>
      <c r="AL417" s="5">
        <v>0</v>
      </c>
      <c r="AM417" s="5">
        <v>0</v>
      </c>
      <c r="AN417" s="5">
        <v>4</v>
      </c>
      <c r="AO417" s="5">
        <v>2785.06</v>
      </c>
      <c r="AP417" s="5">
        <v>7.7420000000000009</v>
      </c>
      <c r="AQ417" s="5" t="s">
        <v>713</v>
      </c>
      <c r="AR417" s="5" t="s">
        <v>1104</v>
      </c>
      <c r="AS417" s="5" t="s">
        <v>713</v>
      </c>
      <c r="AT417" s="6">
        <v>44124</v>
      </c>
      <c r="AU417" s="5" t="s">
        <v>3723</v>
      </c>
      <c r="AV417" s="5">
        <v>38</v>
      </c>
      <c r="AW417" s="5" t="s">
        <v>3724</v>
      </c>
    </row>
    <row r="418" spans="1:49" x14ac:dyDescent="0.55000000000000004">
      <c r="A418" s="5" t="str">
        <f>HYPERLINK("https://www.infodis.net/philips/net/Shipment/Details?InfodisNumber=4528394&amp;DomainCode=DAP", "4528394")</f>
        <v>4528394</v>
      </c>
      <c r="B418" s="5" t="s">
        <v>3727</v>
      </c>
      <c r="C418" s="5" t="s">
        <v>3563</v>
      </c>
      <c r="D418" s="5" t="s">
        <v>3564</v>
      </c>
      <c r="E418" s="5" t="s">
        <v>3563</v>
      </c>
      <c r="F418" s="5" t="s">
        <v>393</v>
      </c>
      <c r="G418" s="5" t="s">
        <v>3565</v>
      </c>
      <c r="H418" s="5" t="s">
        <v>55</v>
      </c>
      <c r="I418" s="5" t="s">
        <v>2367</v>
      </c>
      <c r="J418" s="5" t="s">
        <v>268</v>
      </c>
      <c r="K418" s="5" t="s">
        <v>855</v>
      </c>
      <c r="L418" s="5" t="s">
        <v>267</v>
      </c>
      <c r="M418" s="5" t="s">
        <v>84</v>
      </c>
      <c r="N418" s="5"/>
      <c r="O418" s="5"/>
      <c r="P418" s="5" t="s">
        <v>3567</v>
      </c>
      <c r="Q418" s="5" t="s">
        <v>3728</v>
      </c>
      <c r="R418" s="5" t="s">
        <v>268</v>
      </c>
      <c r="S418" s="6">
        <v>44109</v>
      </c>
      <c r="T418" s="6">
        <v>44110</v>
      </c>
      <c r="U418" s="6">
        <v>44111</v>
      </c>
      <c r="V418" s="6">
        <v>44117</v>
      </c>
      <c r="W418" s="6">
        <v>44116</v>
      </c>
      <c r="X418" s="5"/>
      <c r="Y418" s="5" t="s">
        <v>2051</v>
      </c>
      <c r="Z418" s="5" t="s">
        <v>2051</v>
      </c>
      <c r="AA418" s="5" t="s">
        <v>2051</v>
      </c>
      <c r="AB418" s="5" t="s">
        <v>67</v>
      </c>
      <c r="AC418" s="5" t="s">
        <v>67</v>
      </c>
      <c r="AD418" s="5" t="s">
        <v>67</v>
      </c>
      <c r="AE418" s="5"/>
      <c r="AF418" s="5" t="s">
        <v>2610</v>
      </c>
      <c r="AG418" s="5" t="s">
        <v>2611</v>
      </c>
      <c r="AH418" s="5" t="s">
        <v>2610</v>
      </c>
      <c r="AI418" s="5" t="s">
        <v>73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13</v>
      </c>
      <c r="AP418" s="5">
        <v>0.104</v>
      </c>
      <c r="AQ418" s="5" t="s">
        <v>713</v>
      </c>
      <c r="AR418" s="5" t="s">
        <v>1104</v>
      </c>
      <c r="AS418" s="5" t="s">
        <v>713</v>
      </c>
      <c r="AT418" s="6">
        <v>44131</v>
      </c>
      <c r="AU418" s="5" t="s">
        <v>3729</v>
      </c>
      <c r="AV418" s="5">
        <v>31</v>
      </c>
      <c r="AW418" s="5" t="s">
        <v>3730</v>
      </c>
    </row>
    <row r="419" spans="1:49" x14ac:dyDescent="0.55000000000000004">
      <c r="A419" s="5" t="str">
        <f>HYPERLINK("https://www.infodis.net/philips/net/Shipment/Details?InfodisNumber=1366190&amp;DomainCode=PHILIPSM1", "1366190")</f>
        <v>1366190</v>
      </c>
      <c r="B419" s="5" t="s">
        <v>3731</v>
      </c>
      <c r="C419" s="5" t="s">
        <v>2080</v>
      </c>
      <c r="D419" s="5" t="s">
        <v>2081</v>
      </c>
      <c r="E419" s="5" t="s">
        <v>2082</v>
      </c>
      <c r="F419" s="5"/>
      <c r="G419" s="5" t="s">
        <v>1430</v>
      </c>
      <c r="H419" s="5" t="s">
        <v>244</v>
      </c>
      <c r="I419" s="5" t="s">
        <v>2084</v>
      </c>
      <c r="J419" s="5" t="s">
        <v>2570</v>
      </c>
      <c r="K419" s="5" t="s">
        <v>1793</v>
      </c>
      <c r="L419" s="5" t="s">
        <v>998</v>
      </c>
      <c r="M419" s="5" t="s">
        <v>60</v>
      </c>
      <c r="N419" s="5"/>
      <c r="O419" s="5"/>
      <c r="P419" s="5" t="s">
        <v>1432</v>
      </c>
      <c r="Q419" s="5"/>
      <c r="R419" s="5" t="s">
        <v>2578</v>
      </c>
      <c r="S419" s="6">
        <v>43957</v>
      </c>
      <c r="T419" s="6">
        <v>43957</v>
      </c>
      <c r="U419" s="5"/>
      <c r="V419" s="6">
        <v>43960</v>
      </c>
      <c r="W419" s="5"/>
      <c r="X419" s="5"/>
      <c r="Y419" s="5" t="s">
        <v>2411</v>
      </c>
      <c r="Z419" s="5" t="s">
        <v>2411</v>
      </c>
      <c r="AA419" s="5" t="s">
        <v>603</v>
      </c>
      <c r="AB419" s="5" t="s">
        <v>67</v>
      </c>
      <c r="AC419" s="5" t="s">
        <v>67</v>
      </c>
      <c r="AD419" s="5" t="s">
        <v>68</v>
      </c>
      <c r="AE419" s="5"/>
      <c r="AF419" s="5" t="s">
        <v>2179</v>
      </c>
      <c r="AG419" s="5" t="s">
        <v>2180</v>
      </c>
      <c r="AH419" s="5" t="s">
        <v>2179</v>
      </c>
      <c r="AI419" s="5" t="s">
        <v>605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72.599999999999994</v>
      </c>
      <c r="AP419" s="5">
        <v>0</v>
      </c>
      <c r="AQ419" s="5" t="s">
        <v>713</v>
      </c>
      <c r="AR419" s="5" t="s">
        <v>1104</v>
      </c>
      <c r="AS419" s="5"/>
      <c r="AT419" s="5"/>
      <c r="AU419" s="5"/>
      <c r="AV419" s="5">
        <v>-1</v>
      </c>
      <c r="AW419" s="5" t="s">
        <v>3715</v>
      </c>
    </row>
    <row r="420" spans="1:49" x14ac:dyDescent="0.55000000000000004">
      <c r="A420" s="5" t="str">
        <f>HYPERLINK("https://www.infodis.net/philips/net/Shipment/Details?InfodisNumber=4527522&amp;DomainCode=DAP", "4527522")</f>
        <v>4527522</v>
      </c>
      <c r="B420" s="5" t="s">
        <v>3732</v>
      </c>
      <c r="C420" s="5" t="s">
        <v>3717</v>
      </c>
      <c r="D420" s="5" t="s">
        <v>3718</v>
      </c>
      <c r="E420" s="5" t="s">
        <v>3717</v>
      </c>
      <c r="F420" s="5" t="s">
        <v>167</v>
      </c>
      <c r="G420" s="5" t="s">
        <v>3719</v>
      </c>
      <c r="H420" s="5" t="s">
        <v>180</v>
      </c>
      <c r="I420" s="5" t="s">
        <v>3720</v>
      </c>
      <c r="J420" s="5" t="s">
        <v>2405</v>
      </c>
      <c r="K420" s="5" t="s">
        <v>1125</v>
      </c>
      <c r="L420" s="5" t="s">
        <v>172</v>
      </c>
      <c r="M420" s="5" t="s">
        <v>60</v>
      </c>
      <c r="N420" s="5"/>
      <c r="O420" s="5"/>
      <c r="P420" s="5" t="s">
        <v>3721</v>
      </c>
      <c r="Q420" s="5" t="s">
        <v>3733</v>
      </c>
      <c r="R420" s="5" t="s">
        <v>1128</v>
      </c>
      <c r="S420" s="6">
        <v>44106</v>
      </c>
      <c r="T420" s="6">
        <v>44106</v>
      </c>
      <c r="U420" s="6">
        <v>44109</v>
      </c>
      <c r="V420" s="6">
        <v>44111</v>
      </c>
      <c r="W420" s="6">
        <v>44116</v>
      </c>
      <c r="X420" s="6">
        <v>44125</v>
      </c>
      <c r="Y420" s="5" t="s">
        <v>2411</v>
      </c>
      <c r="Z420" s="5" t="s">
        <v>2411</v>
      </c>
      <c r="AA420" s="5" t="s">
        <v>2411</v>
      </c>
      <c r="AB420" s="5" t="s">
        <v>67</v>
      </c>
      <c r="AC420" s="5" t="s">
        <v>67</v>
      </c>
      <c r="AD420" s="5" t="s">
        <v>67</v>
      </c>
      <c r="AE420" s="5"/>
      <c r="AF420" s="5" t="s">
        <v>2399</v>
      </c>
      <c r="AG420" s="5" t="s">
        <v>2400</v>
      </c>
      <c r="AH420" s="5" t="s">
        <v>2399</v>
      </c>
      <c r="AI420" s="5" t="s">
        <v>73</v>
      </c>
      <c r="AJ420" s="5">
        <v>0</v>
      </c>
      <c r="AK420" s="5">
        <v>0</v>
      </c>
      <c r="AL420" s="5">
        <v>0</v>
      </c>
      <c r="AM420" s="5">
        <v>0</v>
      </c>
      <c r="AN420" s="5">
        <v>4</v>
      </c>
      <c r="AO420" s="5">
        <v>2603.62</v>
      </c>
      <c r="AP420" s="5">
        <v>6.9269999999999996</v>
      </c>
      <c r="AQ420" s="5" t="s">
        <v>713</v>
      </c>
      <c r="AR420" s="5" t="s">
        <v>1104</v>
      </c>
      <c r="AS420" s="5" t="s">
        <v>713</v>
      </c>
      <c r="AT420" s="6">
        <v>44124</v>
      </c>
      <c r="AU420" s="5" t="s">
        <v>3723</v>
      </c>
      <c r="AV420" s="5">
        <v>38</v>
      </c>
      <c r="AW420" s="5" t="s">
        <v>3724</v>
      </c>
    </row>
    <row r="421" spans="1:49" x14ac:dyDescent="0.55000000000000004">
      <c r="A421" s="5" t="str">
        <f>HYPERLINK("https://www.infodis.net/philips/net/Shipment/Details?InfodisNumber=4527483&amp;DomainCode=DAP", "4527483")</f>
        <v>4527483</v>
      </c>
      <c r="B421" s="5" t="s">
        <v>3734</v>
      </c>
      <c r="C421" s="5" t="s">
        <v>2502</v>
      </c>
      <c r="D421" s="5" t="s">
        <v>2503</v>
      </c>
      <c r="E421" s="5" t="s">
        <v>2186</v>
      </c>
      <c r="F421" s="5" t="s">
        <v>256</v>
      </c>
      <c r="G421" s="5" t="s">
        <v>1179</v>
      </c>
      <c r="H421" s="5" t="s">
        <v>180</v>
      </c>
      <c r="I421" s="5" t="s">
        <v>2368</v>
      </c>
      <c r="J421" s="5" t="s">
        <v>2626</v>
      </c>
      <c r="K421" s="5" t="s">
        <v>259</v>
      </c>
      <c r="L421" s="5" t="s">
        <v>260</v>
      </c>
      <c r="M421" s="5" t="s">
        <v>60</v>
      </c>
      <c r="N421" s="5"/>
      <c r="O421" s="5"/>
      <c r="P421" s="5" t="s">
        <v>1181</v>
      </c>
      <c r="Q421" s="5"/>
      <c r="R421" s="5" t="s">
        <v>262</v>
      </c>
      <c r="S421" s="6">
        <v>44106</v>
      </c>
      <c r="T421" s="6">
        <v>44110</v>
      </c>
      <c r="U421" s="5"/>
      <c r="V421" s="6">
        <v>44113</v>
      </c>
      <c r="W421" s="5"/>
      <c r="X421" s="5"/>
      <c r="Y421" s="5" t="s">
        <v>2476</v>
      </c>
      <c r="Z421" s="5" t="s">
        <v>2476</v>
      </c>
      <c r="AA421" s="5" t="s">
        <v>2476</v>
      </c>
      <c r="AB421" s="5" t="s">
        <v>67</v>
      </c>
      <c r="AC421" s="5" t="s">
        <v>67</v>
      </c>
      <c r="AD421" s="5" t="s">
        <v>67</v>
      </c>
      <c r="AE421" s="5"/>
      <c r="AF421" s="5" t="s">
        <v>2179</v>
      </c>
      <c r="AG421" s="5" t="s">
        <v>2180</v>
      </c>
      <c r="AH421" s="5" t="s">
        <v>2179</v>
      </c>
      <c r="AI421" s="5" t="s">
        <v>73</v>
      </c>
      <c r="AJ421" s="5">
        <v>0</v>
      </c>
      <c r="AK421" s="5">
        <v>0</v>
      </c>
      <c r="AL421" s="5">
        <v>0</v>
      </c>
      <c r="AM421" s="5">
        <v>0</v>
      </c>
      <c r="AN421" s="5">
        <v>3</v>
      </c>
      <c r="AO421" s="5">
        <v>2145</v>
      </c>
      <c r="AP421" s="5">
        <v>8.718</v>
      </c>
      <c r="AQ421" s="5" t="s">
        <v>713</v>
      </c>
      <c r="AR421" s="5" t="s">
        <v>1104</v>
      </c>
      <c r="AS421" s="5"/>
      <c r="AT421" s="5"/>
      <c r="AU421" s="5"/>
      <c r="AV421" s="5">
        <v>-1</v>
      </c>
      <c r="AW421" s="5" t="s">
        <v>1110</v>
      </c>
    </row>
    <row r="422" spans="1:49" x14ac:dyDescent="0.55000000000000004">
      <c r="A422" s="5" t="str">
        <f>HYPERLINK("https://www.infodis.net/philips/net/Shipment/Details?InfodisNumber=1527531&amp;DomainCode=PHILIPSM1", "1527531")</f>
        <v>1527531</v>
      </c>
      <c r="B422" s="5" t="s">
        <v>3735</v>
      </c>
      <c r="C422" s="5" t="s">
        <v>3659</v>
      </c>
      <c r="D422" s="5" t="s">
        <v>3660</v>
      </c>
      <c r="E422" s="5" t="s">
        <v>3659</v>
      </c>
      <c r="F422" s="5" t="s">
        <v>3736</v>
      </c>
      <c r="G422" s="5" t="s">
        <v>3662</v>
      </c>
      <c r="H422" s="5" t="s">
        <v>180</v>
      </c>
      <c r="I422" s="5" t="s">
        <v>2057</v>
      </c>
      <c r="J422" s="5" t="s">
        <v>1201</v>
      </c>
      <c r="K422" s="5" t="s">
        <v>3737</v>
      </c>
      <c r="L422" s="5" t="s">
        <v>1203</v>
      </c>
      <c r="M422" s="5" t="s">
        <v>60</v>
      </c>
      <c r="N422" s="5"/>
      <c r="O422" s="5"/>
      <c r="P422" s="5" t="s">
        <v>3663</v>
      </c>
      <c r="Q422" s="5" t="s">
        <v>3738</v>
      </c>
      <c r="R422" s="5" t="s">
        <v>1201</v>
      </c>
      <c r="S422" s="6">
        <v>44106</v>
      </c>
      <c r="T422" s="6">
        <v>44105</v>
      </c>
      <c r="U422" s="6">
        <v>44109</v>
      </c>
      <c r="V422" s="6">
        <v>44108</v>
      </c>
      <c r="W422" s="6">
        <v>44113</v>
      </c>
      <c r="X422" s="6">
        <v>44125</v>
      </c>
      <c r="Y422" s="5" t="s">
        <v>2387</v>
      </c>
      <c r="Z422" s="5" t="s">
        <v>2387</v>
      </c>
      <c r="AA422" s="5" t="s">
        <v>2387</v>
      </c>
      <c r="AB422" s="5" t="s">
        <v>67</v>
      </c>
      <c r="AC422" s="5" t="s">
        <v>67</v>
      </c>
      <c r="AD422" s="5" t="s">
        <v>67</v>
      </c>
      <c r="AE422" s="5"/>
      <c r="AF422" s="5" t="s">
        <v>2179</v>
      </c>
      <c r="AG422" s="5" t="s">
        <v>2180</v>
      </c>
      <c r="AH422" s="5" t="s">
        <v>2179</v>
      </c>
      <c r="AI422" s="5" t="s">
        <v>605</v>
      </c>
      <c r="AJ422" s="5">
        <v>0</v>
      </c>
      <c r="AK422" s="5">
        <v>0</v>
      </c>
      <c r="AL422" s="5">
        <v>0</v>
      </c>
      <c r="AM422" s="5">
        <v>0</v>
      </c>
      <c r="AN422" s="5">
        <v>1</v>
      </c>
      <c r="AO422" s="5">
        <v>137</v>
      </c>
      <c r="AP422" s="5">
        <v>1.7929999999999999</v>
      </c>
      <c r="AQ422" s="5" t="s">
        <v>713</v>
      </c>
      <c r="AR422" s="5" t="s">
        <v>1104</v>
      </c>
      <c r="AS422" s="5" t="s">
        <v>713</v>
      </c>
      <c r="AT422" s="6">
        <v>44127</v>
      </c>
      <c r="AU422" s="5" t="s">
        <v>3664</v>
      </c>
      <c r="AV422" s="5">
        <v>35</v>
      </c>
      <c r="AW422" s="5" t="s">
        <v>3665</v>
      </c>
    </row>
    <row r="423" spans="1:49" x14ac:dyDescent="0.55000000000000004">
      <c r="A423" s="5" t="str">
        <f>HYPERLINK("https://www.infodis.net/philips/net/Shipment/Details?InfodisNumber=1527529&amp;DomainCode=PHILIPSM1", "1527529")</f>
        <v>1527529</v>
      </c>
      <c r="B423" s="5" t="s">
        <v>3739</v>
      </c>
      <c r="C423" s="5" t="s">
        <v>3659</v>
      </c>
      <c r="D423" s="5" t="s">
        <v>3660</v>
      </c>
      <c r="E423" s="5" t="s">
        <v>3659</v>
      </c>
      <c r="F423" s="5" t="s">
        <v>3086</v>
      </c>
      <c r="G423" s="5" t="s">
        <v>3662</v>
      </c>
      <c r="H423" s="5" t="s">
        <v>180</v>
      </c>
      <c r="I423" s="5" t="s">
        <v>2057</v>
      </c>
      <c r="J423" s="5" t="s">
        <v>2607</v>
      </c>
      <c r="K423" s="5" t="s">
        <v>1380</v>
      </c>
      <c r="L423" s="5" t="s">
        <v>132</v>
      </c>
      <c r="M423" s="5" t="s">
        <v>60</v>
      </c>
      <c r="N423" s="5"/>
      <c r="O423" s="5"/>
      <c r="P423" s="5" t="s">
        <v>3663</v>
      </c>
      <c r="Q423" s="5" t="s">
        <v>3740</v>
      </c>
      <c r="R423" s="5" t="s">
        <v>2609</v>
      </c>
      <c r="S423" s="6">
        <v>44106</v>
      </c>
      <c r="T423" s="6">
        <v>44106</v>
      </c>
      <c r="U423" s="6">
        <v>44106</v>
      </c>
      <c r="V423" s="6">
        <v>44109</v>
      </c>
      <c r="W423" s="6">
        <v>44111</v>
      </c>
      <c r="X423" s="5"/>
      <c r="Y423" s="5" t="s">
        <v>2387</v>
      </c>
      <c r="Z423" s="5" t="s">
        <v>2387</v>
      </c>
      <c r="AA423" s="5" t="s">
        <v>2387</v>
      </c>
      <c r="AB423" s="5" t="s">
        <v>67</v>
      </c>
      <c r="AC423" s="5" t="s">
        <v>67</v>
      </c>
      <c r="AD423" s="5" t="s">
        <v>67</v>
      </c>
      <c r="AE423" s="5"/>
      <c r="AF423" s="5" t="s">
        <v>2179</v>
      </c>
      <c r="AG423" s="5" t="s">
        <v>2180</v>
      </c>
      <c r="AH423" s="5" t="s">
        <v>2179</v>
      </c>
      <c r="AI423" s="5" t="s">
        <v>605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75.7</v>
      </c>
      <c r="AP423" s="5">
        <v>0.98699999999999999</v>
      </c>
      <c r="AQ423" s="5" t="s">
        <v>713</v>
      </c>
      <c r="AR423" s="5" t="s">
        <v>1104</v>
      </c>
      <c r="AS423" s="5" t="s">
        <v>713</v>
      </c>
      <c r="AT423" s="6">
        <v>44127</v>
      </c>
      <c r="AU423" s="5" t="s">
        <v>3664</v>
      </c>
      <c r="AV423" s="5">
        <v>35</v>
      </c>
      <c r="AW423" s="5" t="s">
        <v>3665</v>
      </c>
    </row>
    <row r="424" spans="1:49" x14ac:dyDescent="0.55000000000000004">
      <c r="A424" s="5" t="str">
        <f>HYPERLINK("https://www.infodis.net/philips/net/Shipment/Details?InfodisNumber=1527528&amp;DomainCode=PHILIPSM1", "1527528")</f>
        <v>1527528</v>
      </c>
      <c r="B424" s="5" t="s">
        <v>3741</v>
      </c>
      <c r="C424" s="5" t="s">
        <v>3659</v>
      </c>
      <c r="D424" s="5" t="s">
        <v>3660</v>
      </c>
      <c r="E424" s="5" t="s">
        <v>3659</v>
      </c>
      <c r="F424" s="5" t="s">
        <v>3696</v>
      </c>
      <c r="G424" s="5" t="s">
        <v>3662</v>
      </c>
      <c r="H424" s="5" t="s">
        <v>180</v>
      </c>
      <c r="I424" s="5" t="s">
        <v>2057</v>
      </c>
      <c r="J424" s="5" t="s">
        <v>2553</v>
      </c>
      <c r="K424" s="5" t="s">
        <v>3697</v>
      </c>
      <c r="L424" s="5" t="s">
        <v>846</v>
      </c>
      <c r="M424" s="5" t="s">
        <v>60</v>
      </c>
      <c r="N424" s="5"/>
      <c r="O424" s="5"/>
      <c r="P424" s="5" t="s">
        <v>3663</v>
      </c>
      <c r="Q424" s="5" t="s">
        <v>3742</v>
      </c>
      <c r="R424" s="5" t="s">
        <v>1557</v>
      </c>
      <c r="S424" s="6">
        <v>44106</v>
      </c>
      <c r="T424" s="6">
        <v>44106</v>
      </c>
      <c r="U424" s="6">
        <v>44109</v>
      </c>
      <c r="V424" s="6">
        <v>44109</v>
      </c>
      <c r="W424" s="6">
        <v>44111</v>
      </c>
      <c r="X424" s="5"/>
      <c r="Y424" s="5" t="s">
        <v>2387</v>
      </c>
      <c r="Z424" s="5" t="s">
        <v>2387</v>
      </c>
      <c r="AA424" s="5" t="s">
        <v>603</v>
      </c>
      <c r="AB424" s="5" t="s">
        <v>67</v>
      </c>
      <c r="AC424" s="5" t="s">
        <v>67</v>
      </c>
      <c r="AD424" s="5" t="s">
        <v>68</v>
      </c>
      <c r="AE424" s="5"/>
      <c r="AF424" s="5" t="s">
        <v>2179</v>
      </c>
      <c r="AG424" s="5" t="s">
        <v>2180</v>
      </c>
      <c r="AH424" s="5" t="s">
        <v>2179</v>
      </c>
      <c r="AI424" s="5" t="s">
        <v>605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63.5</v>
      </c>
      <c r="AP424" s="5">
        <v>0.80900000000000005</v>
      </c>
      <c r="AQ424" s="5" t="s">
        <v>713</v>
      </c>
      <c r="AR424" s="5" t="s">
        <v>1104</v>
      </c>
      <c r="AS424" s="5"/>
      <c r="AT424" s="5"/>
      <c r="AU424" s="5"/>
      <c r="AV424" s="5">
        <v>-1</v>
      </c>
      <c r="AW424" s="5" t="s">
        <v>1498</v>
      </c>
    </row>
    <row r="425" spans="1:49" x14ac:dyDescent="0.55000000000000004">
      <c r="A425" s="5" t="str">
        <f>HYPERLINK("https://www.infodis.net/philips/net/Shipment/Details?InfodisNumber=4526800&amp;DomainCode=DAP", "4526800")</f>
        <v>4526800</v>
      </c>
      <c r="B425" s="5" t="s">
        <v>3743</v>
      </c>
      <c r="C425" s="5" t="s">
        <v>3717</v>
      </c>
      <c r="D425" s="5" t="s">
        <v>3718</v>
      </c>
      <c r="E425" s="5" t="s">
        <v>3717</v>
      </c>
      <c r="F425" s="5" t="s">
        <v>167</v>
      </c>
      <c r="G425" s="5" t="s">
        <v>3719</v>
      </c>
      <c r="H425" s="5" t="s">
        <v>180</v>
      </c>
      <c r="I425" s="5" t="s">
        <v>3720</v>
      </c>
      <c r="J425" s="5" t="s">
        <v>2405</v>
      </c>
      <c r="K425" s="5" t="s">
        <v>1125</v>
      </c>
      <c r="L425" s="5" t="s">
        <v>172</v>
      </c>
      <c r="M425" s="5" t="s">
        <v>60</v>
      </c>
      <c r="N425" s="5"/>
      <c r="O425" s="5"/>
      <c r="P425" s="5" t="s">
        <v>3721</v>
      </c>
      <c r="Q425" s="5" t="s">
        <v>3744</v>
      </c>
      <c r="R425" s="5" t="s">
        <v>1128</v>
      </c>
      <c r="S425" s="6">
        <v>44105</v>
      </c>
      <c r="T425" s="6">
        <v>44105</v>
      </c>
      <c r="U425" s="6">
        <v>44105</v>
      </c>
      <c r="V425" s="6">
        <v>44110</v>
      </c>
      <c r="W425" s="5"/>
      <c r="X425" s="6">
        <v>44116</v>
      </c>
      <c r="Y425" s="5" t="s">
        <v>2411</v>
      </c>
      <c r="Z425" s="5" t="s">
        <v>2411</v>
      </c>
      <c r="AA425" s="5" t="s">
        <v>2411</v>
      </c>
      <c r="AB425" s="5" t="s">
        <v>67</v>
      </c>
      <c r="AC425" s="5" t="s">
        <v>67</v>
      </c>
      <c r="AD425" s="5" t="s">
        <v>67</v>
      </c>
      <c r="AE425" s="5"/>
      <c r="AF425" s="5" t="s">
        <v>2399</v>
      </c>
      <c r="AG425" s="5" t="s">
        <v>2400</v>
      </c>
      <c r="AH425" s="5" t="s">
        <v>2399</v>
      </c>
      <c r="AI425" s="5" t="s">
        <v>73</v>
      </c>
      <c r="AJ425" s="5">
        <v>0</v>
      </c>
      <c r="AK425" s="5">
        <v>0</v>
      </c>
      <c r="AL425" s="5">
        <v>0</v>
      </c>
      <c r="AM425" s="5">
        <v>0</v>
      </c>
      <c r="AN425" s="5">
        <v>1</v>
      </c>
      <c r="AO425" s="5">
        <v>696.26</v>
      </c>
      <c r="AP425" s="5">
        <v>1.9350000000000001</v>
      </c>
      <c r="AQ425" s="5" t="s">
        <v>713</v>
      </c>
      <c r="AR425" s="5" t="s">
        <v>1104</v>
      </c>
      <c r="AS425" s="5" t="s">
        <v>713</v>
      </c>
      <c r="AT425" s="6">
        <v>44124</v>
      </c>
      <c r="AU425" s="5" t="s">
        <v>3723</v>
      </c>
      <c r="AV425" s="5">
        <v>38</v>
      </c>
      <c r="AW425" s="5" t="s">
        <v>3724</v>
      </c>
    </row>
    <row r="426" spans="1:49" x14ac:dyDescent="0.55000000000000004">
      <c r="A426" s="5" t="str">
        <f>HYPERLINK("https://www.infodis.net/philips/net/Shipment/Details?InfodisNumber=4526758&amp;DomainCode=DAP", "4526758")</f>
        <v>4526758</v>
      </c>
      <c r="B426" s="5" t="s">
        <v>3745</v>
      </c>
      <c r="C426" s="5" t="s">
        <v>3717</v>
      </c>
      <c r="D426" s="5" t="s">
        <v>3718</v>
      </c>
      <c r="E426" s="5" t="s">
        <v>3717</v>
      </c>
      <c r="F426" s="5" t="s">
        <v>167</v>
      </c>
      <c r="G426" s="5" t="s">
        <v>3719</v>
      </c>
      <c r="H426" s="5" t="s">
        <v>180</v>
      </c>
      <c r="I426" s="5" t="s">
        <v>3720</v>
      </c>
      <c r="J426" s="5" t="s">
        <v>2405</v>
      </c>
      <c r="K426" s="5" t="s">
        <v>1125</v>
      </c>
      <c r="L426" s="5" t="s">
        <v>172</v>
      </c>
      <c r="M426" s="5" t="s">
        <v>60</v>
      </c>
      <c r="N426" s="5"/>
      <c r="O426" s="5"/>
      <c r="P426" s="5" t="s">
        <v>3721</v>
      </c>
      <c r="Q426" s="5" t="s">
        <v>3746</v>
      </c>
      <c r="R426" s="5" t="s">
        <v>1128</v>
      </c>
      <c r="S426" s="6">
        <v>44105</v>
      </c>
      <c r="T426" s="6">
        <v>44105</v>
      </c>
      <c r="U426" s="6">
        <v>44105</v>
      </c>
      <c r="V426" s="6">
        <v>44110</v>
      </c>
      <c r="W426" s="5"/>
      <c r="X426" s="6">
        <v>44118</v>
      </c>
      <c r="Y426" s="5" t="s">
        <v>2411</v>
      </c>
      <c r="Z426" s="5" t="s">
        <v>2411</v>
      </c>
      <c r="AA426" s="5" t="s">
        <v>2411</v>
      </c>
      <c r="AB426" s="5" t="s">
        <v>67</v>
      </c>
      <c r="AC426" s="5" t="s">
        <v>67</v>
      </c>
      <c r="AD426" s="5" t="s">
        <v>67</v>
      </c>
      <c r="AE426" s="5"/>
      <c r="AF426" s="5" t="s">
        <v>2399</v>
      </c>
      <c r="AG426" s="5" t="s">
        <v>2400</v>
      </c>
      <c r="AH426" s="5" t="s">
        <v>2399</v>
      </c>
      <c r="AI426" s="5" t="s">
        <v>73</v>
      </c>
      <c r="AJ426" s="5">
        <v>0</v>
      </c>
      <c r="AK426" s="5">
        <v>0</v>
      </c>
      <c r="AL426" s="5">
        <v>0</v>
      </c>
      <c r="AM426" s="5">
        <v>0</v>
      </c>
      <c r="AN426" s="5">
        <v>1</v>
      </c>
      <c r="AO426" s="5">
        <v>605.54999999999995</v>
      </c>
      <c r="AP426" s="5">
        <v>1.528</v>
      </c>
      <c r="AQ426" s="5" t="s">
        <v>713</v>
      </c>
      <c r="AR426" s="5" t="s">
        <v>1104</v>
      </c>
      <c r="AS426" s="5" t="s">
        <v>713</v>
      </c>
      <c r="AT426" s="6">
        <v>44124</v>
      </c>
      <c r="AU426" s="5" t="s">
        <v>3723</v>
      </c>
      <c r="AV426" s="5">
        <v>38</v>
      </c>
      <c r="AW426" s="5" t="s">
        <v>3724</v>
      </c>
    </row>
    <row r="427" spans="1:49" x14ac:dyDescent="0.55000000000000004">
      <c r="A427" s="5" t="str">
        <f>HYPERLINK("https://www.infodis.net/philips/net/Shipment/Details?InfodisNumber=1524245&amp;DomainCode=PHILIPSM1", "1524245")</f>
        <v>1524245</v>
      </c>
      <c r="B427" s="5" t="s">
        <v>3747</v>
      </c>
      <c r="C427" s="5" t="s">
        <v>2491</v>
      </c>
      <c r="D427" s="5" t="s">
        <v>2492</v>
      </c>
      <c r="E427" s="5" t="s">
        <v>2491</v>
      </c>
      <c r="F427" s="5" t="s">
        <v>3748</v>
      </c>
      <c r="G427" s="5" t="s">
        <v>1431</v>
      </c>
      <c r="H427" s="5" t="s">
        <v>180</v>
      </c>
      <c r="I427" s="5" t="s">
        <v>2494</v>
      </c>
      <c r="J427" s="5" t="s">
        <v>1729</v>
      </c>
      <c r="K427" s="5" t="s">
        <v>3749</v>
      </c>
      <c r="L427" s="5" t="s">
        <v>1657</v>
      </c>
      <c r="M427" s="5" t="s">
        <v>60</v>
      </c>
      <c r="N427" s="5"/>
      <c r="O427" s="5"/>
      <c r="P427" s="5" t="s">
        <v>1434</v>
      </c>
      <c r="Q427" s="5" t="s">
        <v>3750</v>
      </c>
      <c r="R427" s="5" t="s">
        <v>3751</v>
      </c>
      <c r="S427" s="6">
        <v>44104</v>
      </c>
      <c r="T427" s="6">
        <v>44104</v>
      </c>
      <c r="U427" s="6">
        <v>44105</v>
      </c>
      <c r="V427" s="6">
        <v>44107</v>
      </c>
      <c r="W427" s="6">
        <v>44117</v>
      </c>
      <c r="X427" s="5"/>
      <c r="Y427" s="5" t="s">
        <v>2387</v>
      </c>
      <c r="Z427" s="5" t="s">
        <v>2387</v>
      </c>
      <c r="AA427" s="5" t="s">
        <v>603</v>
      </c>
      <c r="AB427" s="5" t="s">
        <v>67</v>
      </c>
      <c r="AC427" s="5" t="s">
        <v>67</v>
      </c>
      <c r="AD427" s="5" t="s">
        <v>68</v>
      </c>
      <c r="AE427" s="5"/>
      <c r="AF427" s="5" t="s">
        <v>2179</v>
      </c>
      <c r="AG427" s="5" t="s">
        <v>2180</v>
      </c>
      <c r="AH427" s="5" t="s">
        <v>2179</v>
      </c>
      <c r="AI427" s="5" t="s">
        <v>605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88</v>
      </c>
      <c r="AP427" s="5">
        <v>1.514</v>
      </c>
      <c r="AQ427" s="5" t="s">
        <v>713</v>
      </c>
      <c r="AR427" s="5" t="s">
        <v>1104</v>
      </c>
      <c r="AS427" s="5"/>
      <c r="AT427" s="5"/>
      <c r="AU427" s="5"/>
      <c r="AV427" s="5">
        <v>-1</v>
      </c>
      <c r="AW427" s="5" t="s">
        <v>3752</v>
      </c>
    </row>
    <row r="428" spans="1:49" x14ac:dyDescent="0.55000000000000004">
      <c r="A428" s="5" t="str">
        <f>HYPERLINK("https://www.infodis.net/philips/net/Shipment/Details?InfodisNumber=1524241&amp;DomainCode=PHILIPSM1", "1524241")</f>
        <v>1524241</v>
      </c>
      <c r="B428" s="5" t="s">
        <v>3753</v>
      </c>
      <c r="C428" s="5" t="s">
        <v>2491</v>
      </c>
      <c r="D428" s="5" t="s">
        <v>2492</v>
      </c>
      <c r="E428" s="5" t="s">
        <v>2491</v>
      </c>
      <c r="F428" s="5" t="s">
        <v>3754</v>
      </c>
      <c r="G428" s="5" t="s">
        <v>1431</v>
      </c>
      <c r="H428" s="5" t="s">
        <v>180</v>
      </c>
      <c r="I428" s="5" t="s">
        <v>2494</v>
      </c>
      <c r="J428" s="5" t="s">
        <v>3755</v>
      </c>
      <c r="K428" s="5" t="s">
        <v>3756</v>
      </c>
      <c r="L428" s="5" t="s">
        <v>3757</v>
      </c>
      <c r="M428" s="5" t="s">
        <v>60</v>
      </c>
      <c r="N428" s="5"/>
      <c r="O428" s="5"/>
      <c r="P428" s="5" t="s">
        <v>1434</v>
      </c>
      <c r="Q428" s="5" t="s">
        <v>3758</v>
      </c>
      <c r="R428" s="5" t="s">
        <v>2922</v>
      </c>
      <c r="S428" s="6">
        <v>44104</v>
      </c>
      <c r="T428" s="6">
        <v>44104</v>
      </c>
      <c r="U428" s="6">
        <v>44106</v>
      </c>
      <c r="V428" s="6">
        <v>44105</v>
      </c>
      <c r="W428" s="6">
        <v>44114</v>
      </c>
      <c r="X428" s="5"/>
      <c r="Y428" s="5" t="s">
        <v>2387</v>
      </c>
      <c r="Z428" s="5" t="s">
        <v>2387</v>
      </c>
      <c r="AA428" s="5" t="s">
        <v>603</v>
      </c>
      <c r="AB428" s="5" t="s">
        <v>67</v>
      </c>
      <c r="AC428" s="5" t="s">
        <v>67</v>
      </c>
      <c r="AD428" s="5" t="s">
        <v>68</v>
      </c>
      <c r="AE428" s="5"/>
      <c r="AF428" s="5" t="s">
        <v>2610</v>
      </c>
      <c r="AG428" s="5" t="s">
        <v>2611</v>
      </c>
      <c r="AH428" s="5" t="s">
        <v>2610</v>
      </c>
      <c r="AI428" s="5" t="s">
        <v>605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3.4</v>
      </c>
      <c r="AP428" s="5">
        <v>2.9000000000000001E-2</v>
      </c>
      <c r="AQ428" s="5" t="s">
        <v>713</v>
      </c>
      <c r="AR428" s="5" t="s">
        <v>1104</v>
      </c>
      <c r="AS428" s="5"/>
      <c r="AT428" s="5"/>
      <c r="AU428" s="5"/>
      <c r="AV428" s="5">
        <v>-1</v>
      </c>
      <c r="AW428" s="5" t="s">
        <v>3752</v>
      </c>
    </row>
    <row r="429" spans="1:49" x14ac:dyDescent="0.55000000000000004">
      <c r="A429" s="5" t="str">
        <f>HYPERLINK("https://www.infodis.net/philips/net/Shipment/Details?InfodisNumber=1366292&amp;DomainCode=PHILIPSM1", "1366292")</f>
        <v>1366292</v>
      </c>
      <c r="B429" s="5" t="s">
        <v>3759</v>
      </c>
      <c r="C429" s="5" t="s">
        <v>2080</v>
      </c>
      <c r="D429" s="5" t="s">
        <v>2081</v>
      </c>
      <c r="E429" s="5" t="s">
        <v>2089</v>
      </c>
      <c r="F429" s="5" t="s">
        <v>3713</v>
      </c>
      <c r="G429" s="5" t="s">
        <v>1430</v>
      </c>
      <c r="H429" s="5" t="s">
        <v>244</v>
      </c>
      <c r="I429" s="5" t="s">
        <v>2084</v>
      </c>
      <c r="J429" s="5" t="s">
        <v>2357</v>
      </c>
      <c r="K429" s="5" t="s">
        <v>2248</v>
      </c>
      <c r="L429" s="5" t="s">
        <v>230</v>
      </c>
      <c r="M429" s="5" t="s">
        <v>84</v>
      </c>
      <c r="N429" s="5"/>
      <c r="O429" s="5"/>
      <c r="P429" s="5" t="s">
        <v>1432</v>
      </c>
      <c r="Q429" s="5" t="s">
        <v>3760</v>
      </c>
      <c r="R429" s="5" t="s">
        <v>2293</v>
      </c>
      <c r="S429" s="6">
        <v>43957</v>
      </c>
      <c r="T429" s="6">
        <v>43957</v>
      </c>
      <c r="U429" s="6">
        <v>43957</v>
      </c>
      <c r="V429" s="6">
        <v>43958</v>
      </c>
      <c r="W429" s="6">
        <v>43978</v>
      </c>
      <c r="X429" s="5"/>
      <c r="Y429" s="5" t="s">
        <v>2387</v>
      </c>
      <c r="Z429" s="5" t="s">
        <v>2387</v>
      </c>
      <c r="AA429" s="5" t="s">
        <v>603</v>
      </c>
      <c r="AB429" s="5" t="s">
        <v>67</v>
      </c>
      <c r="AC429" s="5" t="s">
        <v>67</v>
      </c>
      <c r="AD429" s="5" t="s">
        <v>68</v>
      </c>
      <c r="AE429" s="5"/>
      <c r="AF429" s="5" t="s">
        <v>2610</v>
      </c>
      <c r="AG429" s="5" t="s">
        <v>2611</v>
      </c>
      <c r="AH429" s="5" t="s">
        <v>2610</v>
      </c>
      <c r="AI429" s="5" t="s">
        <v>605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4.8</v>
      </c>
      <c r="AP429" s="5">
        <v>0.1</v>
      </c>
      <c r="AQ429" s="5" t="s">
        <v>713</v>
      </c>
      <c r="AR429" s="5" t="s">
        <v>1104</v>
      </c>
      <c r="AS429" s="5"/>
      <c r="AT429" s="5"/>
      <c r="AU429" s="5"/>
      <c r="AV429" s="5">
        <v>-1</v>
      </c>
      <c r="AW429" s="5" t="s">
        <v>3715</v>
      </c>
    </row>
    <row r="430" spans="1:49" x14ac:dyDescent="0.55000000000000004">
      <c r="A430" s="5" t="str">
        <f>HYPERLINK("https://www.infodis.net/philips/net/Shipment/Details?InfodisNumber=1366262&amp;DomainCode=PHILIPSM1", "1366262")</f>
        <v>1366262</v>
      </c>
      <c r="B430" s="5" t="s">
        <v>3761</v>
      </c>
      <c r="C430" s="5" t="s">
        <v>2080</v>
      </c>
      <c r="D430" s="5" t="s">
        <v>2081</v>
      </c>
      <c r="E430" s="5" t="s">
        <v>2089</v>
      </c>
      <c r="F430" s="5" t="s">
        <v>3713</v>
      </c>
      <c r="G430" s="5" t="s">
        <v>1430</v>
      </c>
      <c r="H430" s="5" t="s">
        <v>244</v>
      </c>
      <c r="I430" s="5" t="s">
        <v>2084</v>
      </c>
      <c r="J430" s="5" t="s">
        <v>2357</v>
      </c>
      <c r="K430" s="5" t="s">
        <v>2248</v>
      </c>
      <c r="L430" s="5" t="s">
        <v>230</v>
      </c>
      <c r="M430" s="5" t="s">
        <v>84</v>
      </c>
      <c r="N430" s="5"/>
      <c r="O430" s="5"/>
      <c r="P430" s="5" t="s">
        <v>1432</v>
      </c>
      <c r="Q430" s="5" t="s">
        <v>3762</v>
      </c>
      <c r="R430" s="5" t="s">
        <v>2293</v>
      </c>
      <c r="S430" s="6">
        <v>43957</v>
      </c>
      <c r="T430" s="6">
        <v>43957</v>
      </c>
      <c r="U430" s="6">
        <v>43957</v>
      </c>
      <c r="V430" s="6">
        <v>43958</v>
      </c>
      <c r="W430" s="6">
        <v>43965</v>
      </c>
      <c r="X430" s="5"/>
      <c r="Y430" s="5" t="s">
        <v>2387</v>
      </c>
      <c r="Z430" s="5" t="s">
        <v>2387</v>
      </c>
      <c r="AA430" s="5" t="s">
        <v>603</v>
      </c>
      <c r="AB430" s="5" t="s">
        <v>67</v>
      </c>
      <c r="AC430" s="5" t="s">
        <v>67</v>
      </c>
      <c r="AD430" s="5" t="s">
        <v>68</v>
      </c>
      <c r="AE430" s="5"/>
      <c r="AF430" s="5" t="s">
        <v>2610</v>
      </c>
      <c r="AG430" s="5" t="s">
        <v>2611</v>
      </c>
      <c r="AH430" s="5" t="s">
        <v>2610</v>
      </c>
      <c r="AI430" s="5" t="s">
        <v>605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1.3</v>
      </c>
      <c r="AP430" s="5">
        <v>2.5000000000000001E-2</v>
      </c>
      <c r="AQ430" s="5" t="s">
        <v>713</v>
      </c>
      <c r="AR430" s="5" t="s">
        <v>1104</v>
      </c>
      <c r="AS430" s="5"/>
      <c r="AT430" s="5"/>
      <c r="AU430" s="5"/>
      <c r="AV430" s="5">
        <v>-1</v>
      </c>
      <c r="AW430" s="5" t="s">
        <v>3715</v>
      </c>
    </row>
    <row r="431" spans="1:49" x14ac:dyDescent="0.55000000000000004">
      <c r="A431" s="5" t="str">
        <f>HYPERLINK("https://www.infodis.net/philips/net/Shipment/Details?InfodisNumber=4525068&amp;DomainCode=DAP", "4525068")</f>
        <v>4525068</v>
      </c>
      <c r="B431" s="5" t="s">
        <v>3763</v>
      </c>
      <c r="C431" s="5" t="s">
        <v>3764</v>
      </c>
      <c r="D431" s="5" t="s">
        <v>3765</v>
      </c>
      <c r="E431" s="5" t="s">
        <v>3764</v>
      </c>
      <c r="F431" s="5" t="s">
        <v>167</v>
      </c>
      <c r="G431" s="5" t="s">
        <v>546</v>
      </c>
      <c r="H431" s="5" t="s">
        <v>79</v>
      </c>
      <c r="I431" s="5" t="s">
        <v>3766</v>
      </c>
      <c r="J431" s="5" t="s">
        <v>2405</v>
      </c>
      <c r="K431" s="5" t="s">
        <v>1125</v>
      </c>
      <c r="L431" s="5" t="s">
        <v>172</v>
      </c>
      <c r="M431" s="5" t="s">
        <v>1489</v>
      </c>
      <c r="N431" s="5"/>
      <c r="O431" s="5"/>
      <c r="P431" s="5" t="s">
        <v>3767</v>
      </c>
      <c r="Q431" s="5"/>
      <c r="R431" s="5" t="s">
        <v>1128</v>
      </c>
      <c r="S431" s="6">
        <v>44103</v>
      </c>
      <c r="T431" s="6">
        <v>44117</v>
      </c>
      <c r="U431" s="6">
        <v>44120</v>
      </c>
      <c r="V431" s="6">
        <v>44121</v>
      </c>
      <c r="W431" s="6">
        <v>44126</v>
      </c>
      <c r="X431" s="6">
        <v>44130</v>
      </c>
      <c r="Y431" s="5" t="s">
        <v>2411</v>
      </c>
      <c r="Z431" s="5" t="s">
        <v>2411</v>
      </c>
      <c r="AA431" s="5" t="s">
        <v>2411</v>
      </c>
      <c r="AB431" s="5" t="s">
        <v>67</v>
      </c>
      <c r="AC431" s="5" t="s">
        <v>67</v>
      </c>
      <c r="AD431" s="5" t="s">
        <v>67</v>
      </c>
      <c r="AE431" s="5"/>
      <c r="AF431" s="5" t="s">
        <v>2179</v>
      </c>
      <c r="AG431" s="5" t="s">
        <v>2180</v>
      </c>
      <c r="AH431" s="5" t="s">
        <v>2179</v>
      </c>
      <c r="AI431" s="5" t="s">
        <v>73</v>
      </c>
      <c r="AJ431" s="5">
        <v>0</v>
      </c>
      <c r="AK431" s="5">
        <v>0</v>
      </c>
      <c r="AL431" s="5">
        <v>0</v>
      </c>
      <c r="AM431" s="5">
        <v>0</v>
      </c>
      <c r="AN431" s="5">
        <v>1</v>
      </c>
      <c r="AO431" s="5">
        <v>123</v>
      </c>
      <c r="AP431" s="5">
        <v>1.296</v>
      </c>
      <c r="AQ431" s="5" t="s">
        <v>713</v>
      </c>
      <c r="AR431" s="5" t="s">
        <v>1104</v>
      </c>
      <c r="AS431" s="5" t="s">
        <v>713</v>
      </c>
      <c r="AT431" s="6">
        <v>44124</v>
      </c>
      <c r="AU431" s="5" t="s">
        <v>3768</v>
      </c>
      <c r="AV431" s="5">
        <v>38</v>
      </c>
      <c r="AW431" s="5" t="s">
        <v>3769</v>
      </c>
    </row>
    <row r="432" spans="1:49" x14ac:dyDescent="0.55000000000000004">
      <c r="A432" s="5" t="str">
        <f>HYPERLINK("https://www.infodis.net/philips/net/Shipment/Details?InfodisNumber=1366348&amp;DomainCode=PHILIPSM1", "1366348")</f>
        <v>1366348</v>
      </c>
      <c r="B432" s="5" t="s">
        <v>3770</v>
      </c>
      <c r="C432" s="5" t="s">
        <v>2080</v>
      </c>
      <c r="D432" s="5" t="s">
        <v>2081</v>
      </c>
      <c r="E432" s="5" t="s">
        <v>2089</v>
      </c>
      <c r="F432" s="5" t="s">
        <v>3713</v>
      </c>
      <c r="G432" s="5" t="s">
        <v>1430</v>
      </c>
      <c r="H432" s="5" t="s">
        <v>244</v>
      </c>
      <c r="I432" s="5" t="s">
        <v>2084</v>
      </c>
      <c r="J432" s="5" t="s">
        <v>2357</v>
      </c>
      <c r="K432" s="5" t="s">
        <v>2248</v>
      </c>
      <c r="L432" s="5" t="s">
        <v>230</v>
      </c>
      <c r="M432" s="5" t="s">
        <v>84</v>
      </c>
      <c r="N432" s="5"/>
      <c r="O432" s="5"/>
      <c r="P432" s="5" t="s">
        <v>1432</v>
      </c>
      <c r="Q432" s="5" t="s">
        <v>3771</v>
      </c>
      <c r="R432" s="5" t="s">
        <v>2293</v>
      </c>
      <c r="S432" s="6">
        <v>43957</v>
      </c>
      <c r="T432" s="6">
        <v>43957</v>
      </c>
      <c r="U432" s="6">
        <v>43957</v>
      </c>
      <c r="V432" s="6">
        <v>43958</v>
      </c>
      <c r="W432" s="6">
        <v>43965</v>
      </c>
      <c r="X432" s="5"/>
      <c r="Y432" s="5" t="s">
        <v>2387</v>
      </c>
      <c r="Z432" s="5" t="s">
        <v>2387</v>
      </c>
      <c r="AA432" s="5" t="s">
        <v>603</v>
      </c>
      <c r="AB432" s="5" t="s">
        <v>67</v>
      </c>
      <c r="AC432" s="5" t="s">
        <v>67</v>
      </c>
      <c r="AD432" s="5" t="s">
        <v>68</v>
      </c>
      <c r="AE432" s="5"/>
      <c r="AF432" s="5" t="s">
        <v>2610</v>
      </c>
      <c r="AG432" s="5" t="s">
        <v>2611</v>
      </c>
      <c r="AH432" s="5" t="s">
        <v>2610</v>
      </c>
      <c r="AI432" s="5" t="s">
        <v>605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5.4</v>
      </c>
      <c r="AP432" s="5">
        <v>0.1</v>
      </c>
      <c r="AQ432" s="5" t="s">
        <v>713</v>
      </c>
      <c r="AR432" s="5" t="s">
        <v>1104</v>
      </c>
      <c r="AS432" s="5"/>
      <c r="AT432" s="5"/>
      <c r="AU432" s="5"/>
      <c r="AV432" s="5">
        <v>-1</v>
      </c>
      <c r="AW432" s="5" t="s">
        <v>3715</v>
      </c>
    </row>
    <row r="433" spans="1:49" x14ac:dyDescent="0.55000000000000004">
      <c r="A433" s="5" t="str">
        <f>HYPERLINK("https://www.infodis.net/philips/net/Shipment/Details?InfodisNumber=4521418&amp;DomainCode=DAP", "4521418")</f>
        <v>4521418</v>
      </c>
      <c r="B433" s="5" t="s">
        <v>3772</v>
      </c>
      <c r="C433" s="5" t="s">
        <v>585</v>
      </c>
      <c r="D433" s="5" t="s">
        <v>586</v>
      </c>
      <c r="E433" s="5" t="s">
        <v>393</v>
      </c>
      <c r="F433" s="5" t="s">
        <v>215</v>
      </c>
      <c r="G433" s="5" t="s">
        <v>394</v>
      </c>
      <c r="H433" s="5" t="s">
        <v>79</v>
      </c>
      <c r="I433" s="5" t="s">
        <v>587</v>
      </c>
      <c r="J433" s="5" t="s">
        <v>2341</v>
      </c>
      <c r="K433" s="5" t="s">
        <v>219</v>
      </c>
      <c r="L433" s="5" t="s">
        <v>180</v>
      </c>
      <c r="M433" s="5" t="s">
        <v>60</v>
      </c>
      <c r="N433" s="5"/>
      <c r="O433" s="5"/>
      <c r="P433" s="5" t="s">
        <v>398</v>
      </c>
      <c r="Q433" s="5" t="s">
        <v>3773</v>
      </c>
      <c r="R433" s="5" t="s">
        <v>223</v>
      </c>
      <c r="S433" s="6">
        <v>44098</v>
      </c>
      <c r="T433" s="6">
        <v>44103</v>
      </c>
      <c r="U433" s="6">
        <v>44108</v>
      </c>
      <c r="V433" s="6">
        <v>44108</v>
      </c>
      <c r="W433" s="6">
        <v>44110</v>
      </c>
      <c r="X433" s="5"/>
      <c r="Y433" s="5" t="s">
        <v>2051</v>
      </c>
      <c r="Z433" s="5" t="s">
        <v>2051</v>
      </c>
      <c r="AA433" s="5" t="s">
        <v>2051</v>
      </c>
      <c r="AB433" s="5" t="s">
        <v>67</v>
      </c>
      <c r="AC433" s="5" t="s">
        <v>67</v>
      </c>
      <c r="AD433" s="5" t="s">
        <v>67</v>
      </c>
      <c r="AE433" s="5"/>
      <c r="AF433" s="5" t="s">
        <v>2179</v>
      </c>
      <c r="AG433" s="5" t="s">
        <v>2180</v>
      </c>
      <c r="AH433" s="5" t="s">
        <v>2179</v>
      </c>
      <c r="AI433" s="5" t="s">
        <v>73</v>
      </c>
      <c r="AJ433" s="5">
        <v>0</v>
      </c>
      <c r="AK433" s="5">
        <v>0</v>
      </c>
      <c r="AL433" s="5">
        <v>0</v>
      </c>
      <c r="AM433" s="5">
        <v>0</v>
      </c>
      <c r="AN433" s="5">
        <v>13</v>
      </c>
      <c r="AO433" s="5">
        <v>2287</v>
      </c>
      <c r="AP433" s="5">
        <v>13.028</v>
      </c>
      <c r="AQ433" s="5" t="s">
        <v>713</v>
      </c>
      <c r="AR433" s="5" t="s">
        <v>1104</v>
      </c>
      <c r="AS433" s="5" t="s">
        <v>713</v>
      </c>
      <c r="AT433" s="6">
        <v>44130</v>
      </c>
      <c r="AU433" s="5" t="s">
        <v>3774</v>
      </c>
      <c r="AV433" s="5">
        <v>32</v>
      </c>
      <c r="AW433" s="5" t="s">
        <v>3730</v>
      </c>
    </row>
    <row r="434" spans="1:49" x14ac:dyDescent="0.55000000000000004">
      <c r="A434" s="5" t="str">
        <f>HYPERLINK("https://www.infodis.net/philips/net/Shipment/Details?InfodisNumber=6345003&amp;DomainCode=PHILIPSR1", "6345003")</f>
        <v>6345003</v>
      </c>
      <c r="B434" s="5" t="s">
        <v>3775</v>
      </c>
      <c r="C434" s="5" t="s">
        <v>2426</v>
      </c>
      <c r="D434" s="5" t="s">
        <v>2427</v>
      </c>
      <c r="E434" s="5" t="s">
        <v>458</v>
      </c>
      <c r="F434" s="5" t="s">
        <v>2679</v>
      </c>
      <c r="G434" s="5" t="s">
        <v>610</v>
      </c>
      <c r="H434" s="5" t="s">
        <v>180</v>
      </c>
      <c r="I434" s="5" t="s">
        <v>652</v>
      </c>
      <c r="J434" s="5" t="s">
        <v>2495</v>
      </c>
      <c r="K434" s="5" t="s">
        <v>2496</v>
      </c>
      <c r="L434" s="5" t="s">
        <v>73</v>
      </c>
      <c r="M434" s="5" t="s">
        <v>84</v>
      </c>
      <c r="N434" s="5"/>
      <c r="O434" s="5"/>
      <c r="P434" s="5" t="s">
        <v>613</v>
      </c>
      <c r="Q434" s="5" t="s">
        <v>3776</v>
      </c>
      <c r="R434" s="5" t="s">
        <v>2495</v>
      </c>
      <c r="S434" s="6">
        <v>43913</v>
      </c>
      <c r="T434" s="6">
        <v>43914</v>
      </c>
      <c r="U434" s="6">
        <v>43913</v>
      </c>
      <c r="V434" s="6">
        <v>43915</v>
      </c>
      <c r="W434" s="6">
        <v>43919</v>
      </c>
      <c r="X434" s="5"/>
      <c r="Y434" s="5" t="s">
        <v>2476</v>
      </c>
      <c r="Z434" s="5" t="s">
        <v>2476</v>
      </c>
      <c r="AA434" s="5" t="s">
        <v>66</v>
      </c>
      <c r="AB434" s="5" t="s">
        <v>67</v>
      </c>
      <c r="AC434" s="5" t="s">
        <v>67</v>
      </c>
      <c r="AD434" s="5" t="s">
        <v>68</v>
      </c>
      <c r="AE434" s="5"/>
      <c r="AF434" s="5" t="s">
        <v>2610</v>
      </c>
      <c r="AG434" s="5" t="s">
        <v>2611</v>
      </c>
      <c r="AH434" s="5" t="s">
        <v>2610</v>
      </c>
      <c r="AI434" s="5" t="s">
        <v>252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1.81</v>
      </c>
      <c r="AP434" s="5">
        <v>0.02</v>
      </c>
      <c r="AQ434" s="5" t="s">
        <v>713</v>
      </c>
      <c r="AR434" s="5" t="s">
        <v>1104</v>
      </c>
      <c r="AS434" s="5" t="s">
        <v>713</v>
      </c>
      <c r="AT434" s="5"/>
      <c r="AU434" s="5"/>
      <c r="AV434" s="5">
        <v>-1</v>
      </c>
      <c r="AW434" s="5" t="s">
        <v>3710</v>
      </c>
    </row>
    <row r="435" spans="1:49" x14ac:dyDescent="0.55000000000000004">
      <c r="A435" s="5" t="str">
        <f>HYPERLINK("https://www.infodis.net/philips/net/Shipment/Details?InfodisNumber=4521214&amp;DomainCode=DAP", "4521214")</f>
        <v>4521214</v>
      </c>
      <c r="B435" s="5" t="s">
        <v>3777</v>
      </c>
      <c r="C435" s="5" t="s">
        <v>3654</v>
      </c>
      <c r="D435" s="5" t="s">
        <v>3655</v>
      </c>
      <c r="E435" s="5" t="s">
        <v>3654</v>
      </c>
      <c r="F435" s="5" t="s">
        <v>77</v>
      </c>
      <c r="G435" s="5" t="s">
        <v>855</v>
      </c>
      <c r="H435" s="5" t="s">
        <v>267</v>
      </c>
      <c r="I435" s="5" t="s">
        <v>268</v>
      </c>
      <c r="J435" s="5" t="s">
        <v>2141</v>
      </c>
      <c r="K435" s="5" t="s">
        <v>82</v>
      </c>
      <c r="L435" s="5" t="s">
        <v>83</v>
      </c>
      <c r="M435" s="5" t="s">
        <v>84</v>
      </c>
      <c r="N435" s="5"/>
      <c r="O435" s="5"/>
      <c r="P435" s="5" t="s">
        <v>3656</v>
      </c>
      <c r="Q435" s="5" t="s">
        <v>3778</v>
      </c>
      <c r="R435" s="5" t="s">
        <v>87</v>
      </c>
      <c r="S435" s="6">
        <v>44098</v>
      </c>
      <c r="T435" s="6">
        <v>44107</v>
      </c>
      <c r="U435" s="5"/>
      <c r="V435" s="6">
        <v>44110</v>
      </c>
      <c r="W435" s="6">
        <v>44111</v>
      </c>
      <c r="X435" s="6">
        <v>44119</v>
      </c>
      <c r="Y435" s="5" t="s">
        <v>66</v>
      </c>
      <c r="Z435" s="5" t="s">
        <v>2411</v>
      </c>
      <c r="AA435" s="5" t="s">
        <v>2411</v>
      </c>
      <c r="AB435" s="5" t="s">
        <v>68</v>
      </c>
      <c r="AC435" s="5" t="s">
        <v>67</v>
      </c>
      <c r="AD435" s="5" t="s">
        <v>67</v>
      </c>
      <c r="AE435" s="5"/>
      <c r="AF435" s="5" t="s">
        <v>2179</v>
      </c>
      <c r="AG435" s="5" t="s">
        <v>2180</v>
      </c>
      <c r="AH435" s="5" t="s">
        <v>2179</v>
      </c>
      <c r="AI435" s="5" t="s">
        <v>73</v>
      </c>
      <c r="AJ435" s="5">
        <v>0</v>
      </c>
      <c r="AK435" s="5">
        <v>0</v>
      </c>
      <c r="AL435" s="5">
        <v>0</v>
      </c>
      <c r="AM435" s="5">
        <v>0</v>
      </c>
      <c r="AN435" s="5">
        <v>7</v>
      </c>
      <c r="AO435" s="5">
        <v>1429</v>
      </c>
      <c r="AP435" s="5">
        <v>8.5179999999999989</v>
      </c>
      <c r="AQ435" s="5" t="s">
        <v>713</v>
      </c>
      <c r="AR435" s="5" t="s">
        <v>1104</v>
      </c>
      <c r="AS435" s="5"/>
      <c r="AT435" s="5"/>
      <c r="AU435" s="5"/>
      <c r="AV435" s="5">
        <v>-1</v>
      </c>
      <c r="AW435" s="5" t="s">
        <v>1368</v>
      </c>
    </row>
    <row r="436" spans="1:49" x14ac:dyDescent="0.55000000000000004">
      <c r="A436" s="5" t="str">
        <f>HYPERLINK("https://www.infodis.net/philips/net/Shipment/Details?InfodisNumber=1401847&amp;DomainCode=PHILIPSM1", "1401847")</f>
        <v>1401847</v>
      </c>
      <c r="B436" s="5" t="s">
        <v>3779</v>
      </c>
      <c r="C436" s="5" t="s">
        <v>2353</v>
      </c>
      <c r="D436" s="5" t="s">
        <v>2354</v>
      </c>
      <c r="E436" s="5" t="s">
        <v>2353</v>
      </c>
      <c r="F436" s="5" t="s">
        <v>3780</v>
      </c>
      <c r="G436" s="5" t="s">
        <v>667</v>
      </c>
      <c r="H436" s="5" t="s">
        <v>79</v>
      </c>
      <c r="I436" s="5" t="s">
        <v>1813</v>
      </c>
      <c r="J436" s="5" t="s">
        <v>2607</v>
      </c>
      <c r="K436" s="5" t="s">
        <v>1037</v>
      </c>
      <c r="L436" s="5" t="s">
        <v>132</v>
      </c>
      <c r="M436" s="5" t="s">
        <v>60</v>
      </c>
      <c r="N436" s="5"/>
      <c r="O436" s="5"/>
      <c r="P436" s="5" t="s">
        <v>1853</v>
      </c>
      <c r="Q436" s="5" t="s">
        <v>3781</v>
      </c>
      <c r="R436" s="5" t="s">
        <v>1040</v>
      </c>
      <c r="S436" s="6">
        <v>43994</v>
      </c>
      <c r="T436" s="6">
        <v>43994</v>
      </c>
      <c r="U436" s="6">
        <v>43995</v>
      </c>
      <c r="V436" s="6">
        <v>43997</v>
      </c>
      <c r="W436" s="6">
        <v>43997</v>
      </c>
      <c r="X436" s="5"/>
      <c r="Y436" s="5" t="s">
        <v>2387</v>
      </c>
      <c r="Z436" s="5" t="s">
        <v>2387</v>
      </c>
      <c r="AA436" s="5" t="s">
        <v>603</v>
      </c>
      <c r="AB436" s="5" t="s">
        <v>67</v>
      </c>
      <c r="AC436" s="5" t="s">
        <v>67</v>
      </c>
      <c r="AD436" s="5" t="s">
        <v>68</v>
      </c>
      <c r="AE436" s="5"/>
      <c r="AF436" s="5" t="s">
        <v>2179</v>
      </c>
      <c r="AG436" s="5" t="s">
        <v>2180</v>
      </c>
      <c r="AH436" s="5" t="s">
        <v>2179</v>
      </c>
      <c r="AI436" s="5" t="s">
        <v>605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57</v>
      </c>
      <c r="AP436" s="5">
        <v>0.4</v>
      </c>
      <c r="AQ436" s="5" t="s">
        <v>713</v>
      </c>
      <c r="AR436" s="5" t="s">
        <v>1104</v>
      </c>
      <c r="AS436" s="5"/>
      <c r="AT436" s="5"/>
      <c r="AU436" s="5"/>
      <c r="AV436" s="5">
        <v>-1</v>
      </c>
      <c r="AW436" s="5" t="s">
        <v>3715</v>
      </c>
    </row>
    <row r="437" spans="1:49" x14ac:dyDescent="0.55000000000000004">
      <c r="A437" s="5" t="str">
        <f>HYPERLINK("https://www.infodis.net/philips/net/Shipment/Details?InfodisNumber=1372187&amp;DomainCode=PHILIPSM1", "1372187")</f>
        <v>1372187</v>
      </c>
      <c r="B437" s="5" t="s">
        <v>3782</v>
      </c>
      <c r="C437" s="5" t="s">
        <v>2080</v>
      </c>
      <c r="D437" s="5" t="s">
        <v>2081</v>
      </c>
      <c r="E437" s="5" t="s">
        <v>2089</v>
      </c>
      <c r="F437" s="5" t="s">
        <v>3713</v>
      </c>
      <c r="G437" s="5" t="s">
        <v>1430</v>
      </c>
      <c r="H437" s="5" t="s">
        <v>244</v>
      </c>
      <c r="I437" s="5" t="s">
        <v>2084</v>
      </c>
      <c r="J437" s="5" t="s">
        <v>2357</v>
      </c>
      <c r="K437" s="5" t="s">
        <v>2248</v>
      </c>
      <c r="L437" s="5" t="s">
        <v>230</v>
      </c>
      <c r="M437" s="5" t="s">
        <v>84</v>
      </c>
      <c r="N437" s="5"/>
      <c r="O437" s="5"/>
      <c r="P437" s="5" t="s">
        <v>1432</v>
      </c>
      <c r="Q437" s="5" t="s">
        <v>3783</v>
      </c>
      <c r="R437" s="5" t="s">
        <v>2293</v>
      </c>
      <c r="S437" s="6">
        <v>43964</v>
      </c>
      <c r="T437" s="6">
        <v>43964</v>
      </c>
      <c r="U437" s="6">
        <v>43964</v>
      </c>
      <c r="V437" s="6">
        <v>43965</v>
      </c>
      <c r="W437" s="6">
        <v>43967</v>
      </c>
      <c r="X437" s="5"/>
      <c r="Y437" s="5" t="s">
        <v>2387</v>
      </c>
      <c r="Z437" s="5" t="s">
        <v>2387</v>
      </c>
      <c r="AA437" s="5" t="s">
        <v>603</v>
      </c>
      <c r="AB437" s="5" t="s">
        <v>67</v>
      </c>
      <c r="AC437" s="5" t="s">
        <v>67</v>
      </c>
      <c r="AD437" s="5" t="s">
        <v>68</v>
      </c>
      <c r="AE437" s="5"/>
      <c r="AF437" s="5" t="s">
        <v>2610</v>
      </c>
      <c r="AG437" s="5" t="s">
        <v>2611</v>
      </c>
      <c r="AH437" s="5" t="s">
        <v>2610</v>
      </c>
      <c r="AI437" s="5" t="s">
        <v>605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2.1</v>
      </c>
      <c r="AP437" s="5">
        <v>2.4E-2</v>
      </c>
      <c r="AQ437" s="5" t="s">
        <v>713</v>
      </c>
      <c r="AR437" s="5" t="s">
        <v>1104</v>
      </c>
      <c r="AS437" s="5"/>
      <c r="AT437" s="5"/>
      <c r="AU437" s="5"/>
      <c r="AV437" s="5">
        <v>-1</v>
      </c>
      <c r="AW437" s="5" t="s">
        <v>3715</v>
      </c>
    </row>
    <row r="438" spans="1:49" x14ac:dyDescent="0.55000000000000004">
      <c r="A438" s="5" t="str">
        <f>HYPERLINK("https://www.infodis.net/philips/net/Shipment/Details?InfodisNumber=4512844&amp;DomainCode=DAP", "4512844")</f>
        <v>4512844</v>
      </c>
      <c r="B438" s="5" t="s">
        <v>3784</v>
      </c>
      <c r="C438" s="5" t="s">
        <v>3267</v>
      </c>
      <c r="D438" s="5" t="s">
        <v>3268</v>
      </c>
      <c r="E438" s="5" t="s">
        <v>304</v>
      </c>
      <c r="F438" s="5" t="s">
        <v>393</v>
      </c>
      <c r="G438" s="5" t="s">
        <v>3269</v>
      </c>
      <c r="H438" s="5" t="s">
        <v>55</v>
      </c>
      <c r="I438" s="5" t="s">
        <v>2367</v>
      </c>
      <c r="J438" s="5" t="s">
        <v>268</v>
      </c>
      <c r="K438" s="5" t="s">
        <v>3270</v>
      </c>
      <c r="L438" s="5" t="s">
        <v>267</v>
      </c>
      <c r="M438" s="5" t="s">
        <v>84</v>
      </c>
      <c r="N438" s="5"/>
      <c r="O438" s="5"/>
      <c r="P438" s="5" t="s">
        <v>3271</v>
      </c>
      <c r="Q438" s="5"/>
      <c r="R438" s="5" t="s">
        <v>3272</v>
      </c>
      <c r="S438" s="6">
        <v>44088</v>
      </c>
      <c r="T438" s="6">
        <v>44089</v>
      </c>
      <c r="U438" s="6">
        <v>44089</v>
      </c>
      <c r="V438" s="6">
        <v>44092</v>
      </c>
      <c r="W438" s="6">
        <v>44094</v>
      </c>
      <c r="X438" s="5"/>
      <c r="Y438" s="5" t="s">
        <v>2411</v>
      </c>
      <c r="Z438" s="5" t="s">
        <v>2411</v>
      </c>
      <c r="AA438" s="5" t="s">
        <v>66</v>
      </c>
      <c r="AB438" s="5" t="s">
        <v>67</v>
      </c>
      <c r="AC438" s="5" t="s">
        <v>67</v>
      </c>
      <c r="AD438" s="5" t="s">
        <v>67</v>
      </c>
      <c r="AE438" s="5"/>
      <c r="AF438" s="5" t="s">
        <v>2179</v>
      </c>
      <c r="AG438" s="5" t="s">
        <v>2180</v>
      </c>
      <c r="AH438" s="5" t="s">
        <v>2179</v>
      </c>
      <c r="AI438" s="5" t="s">
        <v>73</v>
      </c>
      <c r="AJ438" s="5">
        <v>0</v>
      </c>
      <c r="AK438" s="5">
        <v>0</v>
      </c>
      <c r="AL438" s="5">
        <v>0</v>
      </c>
      <c r="AM438" s="5">
        <v>0</v>
      </c>
      <c r="AN438" s="5">
        <v>8</v>
      </c>
      <c r="AO438" s="5">
        <v>3528</v>
      </c>
      <c r="AP438" s="5">
        <v>9.0620000000000012</v>
      </c>
      <c r="AQ438" s="5" t="s">
        <v>713</v>
      </c>
      <c r="AR438" s="5" t="s">
        <v>1104</v>
      </c>
      <c r="AS438" s="5" t="s">
        <v>713</v>
      </c>
      <c r="AT438" s="6">
        <v>44125</v>
      </c>
      <c r="AU438" s="5" t="s">
        <v>3704</v>
      </c>
      <c r="AV438" s="5">
        <v>37</v>
      </c>
      <c r="AW438" s="5" t="s">
        <v>3705</v>
      </c>
    </row>
    <row r="439" spans="1:49" x14ac:dyDescent="0.55000000000000004">
      <c r="A439" s="5" t="str">
        <f>HYPERLINK("https://www.infodis.net/philips/net/Shipment/Details?InfodisNumber=4511869&amp;DomainCode=DAP", "4511869")</f>
        <v>4511869</v>
      </c>
      <c r="B439" s="5" t="s">
        <v>3785</v>
      </c>
      <c r="C439" s="5" t="s">
        <v>2502</v>
      </c>
      <c r="D439" s="5" t="s">
        <v>2503</v>
      </c>
      <c r="E439" s="5" t="s">
        <v>2504</v>
      </c>
      <c r="F439" s="5" t="s">
        <v>2826</v>
      </c>
      <c r="G439" s="5" t="s">
        <v>1179</v>
      </c>
      <c r="H439" s="5" t="s">
        <v>180</v>
      </c>
      <c r="I439" s="5" t="s">
        <v>194</v>
      </c>
      <c r="J439" s="5" t="s">
        <v>2827</v>
      </c>
      <c r="K439" s="5" t="s">
        <v>2828</v>
      </c>
      <c r="L439" s="5" t="s">
        <v>357</v>
      </c>
      <c r="M439" s="5" t="s">
        <v>358</v>
      </c>
      <c r="N439" s="5"/>
      <c r="O439" s="5"/>
      <c r="P439" s="5" t="s">
        <v>1181</v>
      </c>
      <c r="Q439" s="5"/>
      <c r="R439" s="5" t="s">
        <v>526</v>
      </c>
      <c r="S439" s="6">
        <v>44085</v>
      </c>
      <c r="T439" s="6">
        <v>44085</v>
      </c>
      <c r="U439" s="5"/>
      <c r="V439" s="6">
        <v>44086</v>
      </c>
      <c r="W439" s="5"/>
      <c r="X439" s="5"/>
      <c r="Y439" s="5" t="s">
        <v>2476</v>
      </c>
      <c r="Z439" s="5" t="s">
        <v>2476</v>
      </c>
      <c r="AA439" s="5" t="s">
        <v>2476</v>
      </c>
      <c r="AB439" s="5" t="s">
        <v>67</v>
      </c>
      <c r="AC439" s="5" t="s">
        <v>67</v>
      </c>
      <c r="AD439" s="5" t="s">
        <v>67</v>
      </c>
      <c r="AE439" s="5"/>
      <c r="AF439" s="5" t="s">
        <v>2829</v>
      </c>
      <c r="AG439" s="5" t="s">
        <v>2830</v>
      </c>
      <c r="AH439" s="5" t="s">
        <v>2829</v>
      </c>
      <c r="AI439" s="5" t="s">
        <v>73</v>
      </c>
      <c r="AJ439" s="5">
        <v>0</v>
      </c>
      <c r="AK439" s="5">
        <v>0</v>
      </c>
      <c r="AL439" s="5">
        <v>0</v>
      </c>
      <c r="AM439" s="5">
        <v>0</v>
      </c>
      <c r="AN439" s="5">
        <v>5</v>
      </c>
      <c r="AO439" s="5">
        <v>699</v>
      </c>
      <c r="AP439" s="5">
        <v>6.49</v>
      </c>
      <c r="AQ439" s="5" t="s">
        <v>713</v>
      </c>
      <c r="AR439" s="5" t="s">
        <v>1104</v>
      </c>
      <c r="AS439" s="5"/>
      <c r="AT439" s="5"/>
      <c r="AU439" s="5"/>
      <c r="AV439" s="5">
        <v>-1</v>
      </c>
      <c r="AW439" s="5" t="s">
        <v>1110</v>
      </c>
    </row>
    <row r="440" spans="1:49" x14ac:dyDescent="0.55000000000000004">
      <c r="A440" s="5" t="str">
        <f>HYPERLINK("https://www.infodis.net/philips/net/Shipment/Details?InfodisNumber=4511529&amp;DomainCode=DAP", "4511529")</f>
        <v>4511529</v>
      </c>
      <c r="B440" s="5" t="s">
        <v>3786</v>
      </c>
      <c r="C440" s="5" t="s">
        <v>3267</v>
      </c>
      <c r="D440" s="5" t="s">
        <v>3268</v>
      </c>
      <c r="E440" s="5" t="s">
        <v>304</v>
      </c>
      <c r="F440" s="5" t="s">
        <v>393</v>
      </c>
      <c r="G440" s="5" t="s">
        <v>3269</v>
      </c>
      <c r="H440" s="5" t="s">
        <v>55</v>
      </c>
      <c r="I440" s="5" t="s">
        <v>2367</v>
      </c>
      <c r="J440" s="5" t="s">
        <v>268</v>
      </c>
      <c r="K440" s="5" t="s">
        <v>3270</v>
      </c>
      <c r="L440" s="5" t="s">
        <v>267</v>
      </c>
      <c r="M440" s="5" t="s">
        <v>84</v>
      </c>
      <c r="N440" s="5"/>
      <c r="O440" s="5"/>
      <c r="P440" s="5" t="s">
        <v>3271</v>
      </c>
      <c r="Q440" s="5"/>
      <c r="R440" s="5" t="s">
        <v>3272</v>
      </c>
      <c r="S440" s="6">
        <v>44085</v>
      </c>
      <c r="T440" s="6">
        <v>44088</v>
      </c>
      <c r="U440" s="6">
        <v>44089</v>
      </c>
      <c r="V440" s="6">
        <v>44091</v>
      </c>
      <c r="W440" s="6">
        <v>44094</v>
      </c>
      <c r="X440" s="5"/>
      <c r="Y440" s="5" t="s">
        <v>2411</v>
      </c>
      <c r="Z440" s="5" t="s">
        <v>2411</v>
      </c>
      <c r="AA440" s="5" t="s">
        <v>66</v>
      </c>
      <c r="AB440" s="5" t="s">
        <v>67</v>
      </c>
      <c r="AC440" s="5" t="s">
        <v>67</v>
      </c>
      <c r="AD440" s="5" t="s">
        <v>67</v>
      </c>
      <c r="AE440" s="5"/>
      <c r="AF440" s="5" t="s">
        <v>2179</v>
      </c>
      <c r="AG440" s="5" t="s">
        <v>2180</v>
      </c>
      <c r="AH440" s="5" t="s">
        <v>2179</v>
      </c>
      <c r="AI440" s="5" t="s">
        <v>73</v>
      </c>
      <c r="AJ440" s="5">
        <v>0</v>
      </c>
      <c r="AK440" s="5">
        <v>0</v>
      </c>
      <c r="AL440" s="5">
        <v>0</v>
      </c>
      <c r="AM440" s="5">
        <v>0</v>
      </c>
      <c r="AN440" s="5">
        <v>4</v>
      </c>
      <c r="AO440" s="5">
        <v>1764</v>
      </c>
      <c r="AP440" s="5">
        <v>4.5310000000000006</v>
      </c>
      <c r="AQ440" s="5" t="s">
        <v>713</v>
      </c>
      <c r="AR440" s="5" t="s">
        <v>1104</v>
      </c>
      <c r="AS440" s="5" t="s">
        <v>713</v>
      </c>
      <c r="AT440" s="6">
        <v>44125</v>
      </c>
      <c r="AU440" s="5" t="s">
        <v>3704</v>
      </c>
      <c r="AV440" s="5">
        <v>37</v>
      </c>
      <c r="AW440" s="5" t="s">
        <v>3705</v>
      </c>
    </row>
    <row r="441" spans="1:49" x14ac:dyDescent="0.55000000000000004">
      <c r="A441" s="5" t="str">
        <f>HYPERLINK("https://www.infodis.net/philips/net/Shipment/Details?InfodisNumber=4510661&amp;DomainCode=DAP", "4510661")</f>
        <v>4510661</v>
      </c>
      <c r="B441" s="5" t="s">
        <v>3787</v>
      </c>
      <c r="C441" s="5" t="s">
        <v>2502</v>
      </c>
      <c r="D441" s="5" t="s">
        <v>2503</v>
      </c>
      <c r="E441" s="5" t="s">
        <v>2504</v>
      </c>
      <c r="F441" s="5" t="s">
        <v>2826</v>
      </c>
      <c r="G441" s="5" t="s">
        <v>1179</v>
      </c>
      <c r="H441" s="5" t="s">
        <v>180</v>
      </c>
      <c r="I441" s="5" t="s">
        <v>194</v>
      </c>
      <c r="J441" s="5" t="s">
        <v>2827</v>
      </c>
      <c r="K441" s="5" t="s">
        <v>2828</v>
      </c>
      <c r="L441" s="5" t="s">
        <v>357</v>
      </c>
      <c r="M441" s="5" t="s">
        <v>358</v>
      </c>
      <c r="N441" s="5"/>
      <c r="O441" s="5"/>
      <c r="P441" s="5" t="s">
        <v>1181</v>
      </c>
      <c r="Q441" s="5"/>
      <c r="R441" s="5" t="s">
        <v>526</v>
      </c>
      <c r="S441" s="6">
        <v>44084</v>
      </c>
      <c r="T441" s="6">
        <v>44084</v>
      </c>
      <c r="U441" s="5"/>
      <c r="V441" s="6">
        <v>44085</v>
      </c>
      <c r="W441" s="5"/>
      <c r="X441" s="5"/>
      <c r="Y441" s="5" t="s">
        <v>2476</v>
      </c>
      <c r="Z441" s="5" t="s">
        <v>2476</v>
      </c>
      <c r="AA441" s="5" t="s">
        <v>2476</v>
      </c>
      <c r="AB441" s="5" t="s">
        <v>67</v>
      </c>
      <c r="AC441" s="5" t="s">
        <v>67</v>
      </c>
      <c r="AD441" s="5" t="s">
        <v>67</v>
      </c>
      <c r="AE441" s="5"/>
      <c r="AF441" s="5" t="s">
        <v>2829</v>
      </c>
      <c r="AG441" s="5" t="s">
        <v>2830</v>
      </c>
      <c r="AH441" s="5" t="s">
        <v>2829</v>
      </c>
      <c r="AI441" s="5" t="s">
        <v>73</v>
      </c>
      <c r="AJ441" s="5">
        <v>0</v>
      </c>
      <c r="AK441" s="5">
        <v>0</v>
      </c>
      <c r="AL441" s="5">
        <v>0</v>
      </c>
      <c r="AM441" s="5">
        <v>0</v>
      </c>
      <c r="AN441" s="5">
        <v>2</v>
      </c>
      <c r="AO441" s="5">
        <v>176</v>
      </c>
      <c r="AP441" s="5">
        <v>2.6389999999999998</v>
      </c>
      <c r="AQ441" s="5" t="s">
        <v>713</v>
      </c>
      <c r="AR441" s="5" t="s">
        <v>1104</v>
      </c>
      <c r="AS441" s="5"/>
      <c r="AT441" s="5"/>
      <c r="AU441" s="5"/>
      <c r="AV441" s="5">
        <v>-1</v>
      </c>
      <c r="AW441" s="5" t="s">
        <v>1110</v>
      </c>
    </row>
    <row r="442" spans="1:49" x14ac:dyDescent="0.55000000000000004">
      <c r="A442" s="5" t="str">
        <f>HYPERLINK("https://www.infodis.net/philips/net/Shipment/Details?InfodisNumber=4509855&amp;DomainCode=DAP", "4509855")</f>
        <v>4509855</v>
      </c>
      <c r="B442" s="5" t="s">
        <v>3788</v>
      </c>
      <c r="C442" s="5" t="s">
        <v>2502</v>
      </c>
      <c r="D442" s="5" t="s">
        <v>2503</v>
      </c>
      <c r="E442" s="5" t="s">
        <v>2504</v>
      </c>
      <c r="F442" s="5" t="s">
        <v>2826</v>
      </c>
      <c r="G442" s="5" t="s">
        <v>1179</v>
      </c>
      <c r="H442" s="5" t="s">
        <v>180</v>
      </c>
      <c r="I442" s="5" t="s">
        <v>194</v>
      </c>
      <c r="J442" s="5" t="s">
        <v>2827</v>
      </c>
      <c r="K442" s="5" t="s">
        <v>2828</v>
      </c>
      <c r="L442" s="5" t="s">
        <v>357</v>
      </c>
      <c r="M442" s="5" t="s">
        <v>358</v>
      </c>
      <c r="N442" s="5"/>
      <c r="O442" s="5"/>
      <c r="P442" s="5" t="s">
        <v>1181</v>
      </c>
      <c r="Q442" s="5"/>
      <c r="R442" s="5" t="s">
        <v>526</v>
      </c>
      <c r="S442" s="6">
        <v>44083</v>
      </c>
      <c r="T442" s="6">
        <v>44083</v>
      </c>
      <c r="U442" s="5"/>
      <c r="V442" s="6">
        <v>44084</v>
      </c>
      <c r="W442" s="5"/>
      <c r="X442" s="5"/>
      <c r="Y442" s="5" t="s">
        <v>2476</v>
      </c>
      <c r="Z442" s="5" t="s">
        <v>2476</v>
      </c>
      <c r="AA442" s="5" t="s">
        <v>2476</v>
      </c>
      <c r="AB442" s="5" t="s">
        <v>67</v>
      </c>
      <c r="AC442" s="5" t="s">
        <v>67</v>
      </c>
      <c r="AD442" s="5" t="s">
        <v>67</v>
      </c>
      <c r="AE442" s="5"/>
      <c r="AF442" s="5" t="s">
        <v>2829</v>
      </c>
      <c r="AG442" s="5" t="s">
        <v>2830</v>
      </c>
      <c r="AH442" s="5" t="s">
        <v>2829</v>
      </c>
      <c r="AI442" s="5" t="s">
        <v>73</v>
      </c>
      <c r="AJ442" s="5">
        <v>0</v>
      </c>
      <c r="AK442" s="5">
        <v>0</v>
      </c>
      <c r="AL442" s="5">
        <v>0</v>
      </c>
      <c r="AM442" s="5">
        <v>0</v>
      </c>
      <c r="AN442" s="5">
        <v>2</v>
      </c>
      <c r="AO442" s="5">
        <v>203</v>
      </c>
      <c r="AP442" s="5">
        <v>3.2879999999999998</v>
      </c>
      <c r="AQ442" s="5" t="s">
        <v>713</v>
      </c>
      <c r="AR442" s="5" t="s">
        <v>1104</v>
      </c>
      <c r="AS442" s="5"/>
      <c r="AT442" s="5"/>
      <c r="AU442" s="5"/>
      <c r="AV442" s="5">
        <v>-1</v>
      </c>
      <c r="AW442" s="5" t="s">
        <v>1110</v>
      </c>
    </row>
    <row r="443" spans="1:49" x14ac:dyDescent="0.55000000000000004">
      <c r="A443" s="5" t="str">
        <f>HYPERLINK("https://www.infodis.net/philips/net/Shipment/Details?InfodisNumber=4509023&amp;DomainCode=DAP", "4509023")</f>
        <v>4509023</v>
      </c>
      <c r="B443" s="5" t="s">
        <v>3789</v>
      </c>
      <c r="C443" s="5" t="s">
        <v>2502</v>
      </c>
      <c r="D443" s="5" t="s">
        <v>2503</v>
      </c>
      <c r="E443" s="5" t="s">
        <v>2504</v>
      </c>
      <c r="F443" s="5" t="s">
        <v>3333</v>
      </c>
      <c r="G443" s="5" t="s">
        <v>1179</v>
      </c>
      <c r="H443" s="5" t="s">
        <v>180</v>
      </c>
      <c r="I443" s="5" t="s">
        <v>2368</v>
      </c>
      <c r="J443" s="5" t="s">
        <v>681</v>
      </c>
      <c r="K443" s="5" t="s">
        <v>3334</v>
      </c>
      <c r="L443" s="5" t="s">
        <v>380</v>
      </c>
      <c r="M443" s="5" t="s">
        <v>60</v>
      </c>
      <c r="N443" s="5"/>
      <c r="O443" s="5"/>
      <c r="P443" s="5" t="s">
        <v>1181</v>
      </c>
      <c r="Q443" s="5"/>
      <c r="R443" s="5" t="s">
        <v>3335</v>
      </c>
      <c r="S443" s="6">
        <v>44082</v>
      </c>
      <c r="T443" s="6">
        <v>44083</v>
      </c>
      <c r="U443" s="5"/>
      <c r="V443" s="6">
        <v>44086</v>
      </c>
      <c r="W443" s="5"/>
      <c r="X443" s="5"/>
      <c r="Y443" s="5" t="s">
        <v>2476</v>
      </c>
      <c r="Z443" s="5" t="s">
        <v>2476</v>
      </c>
      <c r="AA443" s="5" t="s">
        <v>2476</v>
      </c>
      <c r="AB443" s="5" t="s">
        <v>67</v>
      </c>
      <c r="AC443" s="5" t="s">
        <v>67</v>
      </c>
      <c r="AD443" s="5" t="s">
        <v>67</v>
      </c>
      <c r="AE443" s="5"/>
      <c r="AF443" s="5" t="s">
        <v>2179</v>
      </c>
      <c r="AG443" s="5" t="s">
        <v>2180</v>
      </c>
      <c r="AH443" s="5" t="s">
        <v>2179</v>
      </c>
      <c r="AI443" s="5" t="s">
        <v>73</v>
      </c>
      <c r="AJ443" s="5">
        <v>0</v>
      </c>
      <c r="AK443" s="5">
        <v>0</v>
      </c>
      <c r="AL443" s="5">
        <v>0</v>
      </c>
      <c r="AM443" s="5">
        <v>0</v>
      </c>
      <c r="AN443" s="5">
        <v>3</v>
      </c>
      <c r="AO443" s="5">
        <v>416</v>
      </c>
      <c r="AP443" s="5">
        <v>5.2670000000000003</v>
      </c>
      <c r="AQ443" s="5" t="s">
        <v>713</v>
      </c>
      <c r="AR443" s="5" t="s">
        <v>1104</v>
      </c>
      <c r="AS443" s="5"/>
      <c r="AT443" s="5"/>
      <c r="AU443" s="5"/>
      <c r="AV443" s="5">
        <v>-1</v>
      </c>
      <c r="AW443" s="5" t="s">
        <v>1110</v>
      </c>
    </row>
    <row r="444" spans="1:49" x14ac:dyDescent="0.55000000000000004">
      <c r="A444" s="5" t="str">
        <f>HYPERLINK("https://www.infodis.net/philips/net/Shipment/Details?InfodisNumber=5899909&amp;DomainCode=PHILIPSR1", "5899909")</f>
        <v>5899909</v>
      </c>
      <c r="B444" s="5" t="s">
        <v>3790</v>
      </c>
      <c r="C444" s="5" t="s">
        <v>2426</v>
      </c>
      <c r="D444" s="5" t="s">
        <v>2427</v>
      </c>
      <c r="E444" s="5" t="s">
        <v>458</v>
      </c>
      <c r="F444" s="5" t="s">
        <v>2679</v>
      </c>
      <c r="G444" s="5" t="s">
        <v>610</v>
      </c>
      <c r="H444" s="5" t="s">
        <v>180</v>
      </c>
      <c r="I444" s="5" t="s">
        <v>652</v>
      </c>
      <c r="J444" s="5" t="s">
        <v>2495</v>
      </c>
      <c r="K444" s="5" t="s">
        <v>2496</v>
      </c>
      <c r="L444" s="5" t="s">
        <v>73</v>
      </c>
      <c r="M444" s="5" t="s">
        <v>1489</v>
      </c>
      <c r="N444" s="5"/>
      <c r="O444" s="5"/>
      <c r="P444" s="5" t="s">
        <v>613</v>
      </c>
      <c r="Q444" s="5"/>
      <c r="R444" s="5" t="s">
        <v>2495</v>
      </c>
      <c r="S444" s="6">
        <v>43759</v>
      </c>
      <c r="T444" s="6">
        <v>43760</v>
      </c>
      <c r="U444" s="6">
        <v>43759</v>
      </c>
      <c r="V444" s="6">
        <v>43763</v>
      </c>
      <c r="W444" s="6">
        <v>43765</v>
      </c>
      <c r="X444" s="5"/>
      <c r="Y444" s="5" t="s">
        <v>2476</v>
      </c>
      <c r="Z444" s="5" t="s">
        <v>2476</v>
      </c>
      <c r="AA444" s="5" t="s">
        <v>66</v>
      </c>
      <c r="AB444" s="5" t="s">
        <v>67</v>
      </c>
      <c r="AC444" s="5" t="s">
        <v>67</v>
      </c>
      <c r="AD444" s="5" t="s">
        <v>68</v>
      </c>
      <c r="AE444" s="5"/>
      <c r="AF444" s="5" t="s">
        <v>2179</v>
      </c>
      <c r="AG444" s="5" t="s">
        <v>2180</v>
      </c>
      <c r="AH444" s="5" t="s">
        <v>2179</v>
      </c>
      <c r="AI444" s="5" t="s">
        <v>252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48.988</v>
      </c>
      <c r="AP444" s="5">
        <v>0.94</v>
      </c>
      <c r="AQ444" s="5" t="s">
        <v>713</v>
      </c>
      <c r="AR444" s="5" t="s">
        <v>1104</v>
      </c>
      <c r="AS444" s="5" t="s">
        <v>713</v>
      </c>
      <c r="AT444" s="6">
        <v>43815</v>
      </c>
      <c r="AU444" s="5" t="s">
        <v>3791</v>
      </c>
      <c r="AV444" s="5">
        <v>347</v>
      </c>
      <c r="AW444" s="5" t="s">
        <v>3792</v>
      </c>
    </row>
    <row r="445" spans="1:49" x14ac:dyDescent="0.55000000000000004">
      <c r="A445" s="5" t="str">
        <f>HYPERLINK("https://www.infodis.net/philips/net/Shipment/Details?InfodisNumber=1499196&amp;DomainCode=PHILIPSM1", "1499196")</f>
        <v>1499196</v>
      </c>
      <c r="B445" s="5" t="s">
        <v>3793</v>
      </c>
      <c r="C445" s="5" t="s">
        <v>2491</v>
      </c>
      <c r="D445" s="5" t="s">
        <v>2492</v>
      </c>
      <c r="E445" s="5" t="s">
        <v>2491</v>
      </c>
      <c r="F445" s="5" t="s">
        <v>3459</v>
      </c>
      <c r="G445" s="5" t="s">
        <v>1431</v>
      </c>
      <c r="H445" s="5" t="s">
        <v>180</v>
      </c>
      <c r="I445" s="5" t="s">
        <v>2494</v>
      </c>
      <c r="J445" s="5" t="s">
        <v>3460</v>
      </c>
      <c r="K445" s="5" t="s">
        <v>3461</v>
      </c>
      <c r="L445" s="5" t="s">
        <v>3462</v>
      </c>
      <c r="M445" s="5" t="s">
        <v>60</v>
      </c>
      <c r="N445" s="5"/>
      <c r="O445" s="5"/>
      <c r="P445" s="5" t="s">
        <v>1434</v>
      </c>
      <c r="Q445" s="5" t="s">
        <v>3794</v>
      </c>
      <c r="R445" s="5" t="s">
        <v>2922</v>
      </c>
      <c r="S445" s="6">
        <v>44082</v>
      </c>
      <c r="T445" s="6">
        <v>44082</v>
      </c>
      <c r="U445" s="6">
        <v>44082</v>
      </c>
      <c r="V445" s="6">
        <v>44082</v>
      </c>
      <c r="W445" s="6">
        <v>44087</v>
      </c>
      <c r="X445" s="5"/>
      <c r="Y445" s="5" t="s">
        <v>2387</v>
      </c>
      <c r="Z445" s="5" t="s">
        <v>2387</v>
      </c>
      <c r="AA445" s="5" t="s">
        <v>603</v>
      </c>
      <c r="AB445" s="5" t="s">
        <v>67</v>
      </c>
      <c r="AC445" s="5" t="s">
        <v>67</v>
      </c>
      <c r="AD445" s="5" t="s">
        <v>68</v>
      </c>
      <c r="AE445" s="5"/>
      <c r="AF445" s="5" t="s">
        <v>2499</v>
      </c>
      <c r="AG445" s="5" t="s">
        <v>2500</v>
      </c>
      <c r="AH445" s="5" t="s">
        <v>2499</v>
      </c>
      <c r="AI445" s="5" t="s">
        <v>605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380.1</v>
      </c>
      <c r="AP445" s="5">
        <v>3.8940000000000001</v>
      </c>
      <c r="AQ445" s="5" t="s">
        <v>713</v>
      </c>
      <c r="AR445" s="5" t="s">
        <v>1104</v>
      </c>
      <c r="AS445" s="5"/>
      <c r="AT445" s="5"/>
      <c r="AU445" s="5"/>
      <c r="AV445" s="5">
        <v>-1</v>
      </c>
      <c r="AW445" s="5" t="s">
        <v>3752</v>
      </c>
    </row>
    <row r="446" spans="1:49" x14ac:dyDescent="0.55000000000000004">
      <c r="A446" s="5" t="str">
        <f>HYPERLINK("https://www.infodis.net/philips/net/Shipment/Details?InfodisNumber=4523729&amp;DomainCode=DAP", "4523729")</f>
        <v>4523729</v>
      </c>
      <c r="B446" s="5" t="s">
        <v>3795</v>
      </c>
      <c r="C446" s="5" t="s">
        <v>3690</v>
      </c>
      <c r="D446" s="5" t="s">
        <v>3691</v>
      </c>
      <c r="E446" s="5" t="s">
        <v>3690</v>
      </c>
      <c r="F446" s="5" t="s">
        <v>52</v>
      </c>
      <c r="G446" s="5" t="s">
        <v>3692</v>
      </c>
      <c r="H446" s="5" t="s">
        <v>79</v>
      </c>
      <c r="I446" s="5" t="s">
        <v>2396</v>
      </c>
      <c r="J446" s="5" t="s">
        <v>2367</v>
      </c>
      <c r="K446" s="5" t="s">
        <v>54</v>
      </c>
      <c r="L446" s="5" t="s">
        <v>55</v>
      </c>
      <c r="M446" s="5" t="s">
        <v>84</v>
      </c>
      <c r="N446" s="5"/>
      <c r="O446" s="5"/>
      <c r="P446" s="5" t="s">
        <v>3693</v>
      </c>
      <c r="Q446" s="5" t="s">
        <v>3796</v>
      </c>
      <c r="R446" s="5" t="s">
        <v>63</v>
      </c>
      <c r="S446" s="6">
        <v>44102</v>
      </c>
      <c r="T446" s="6">
        <v>44102</v>
      </c>
      <c r="U446" s="6">
        <v>44103</v>
      </c>
      <c r="V446" s="6">
        <v>44103</v>
      </c>
      <c r="W446" s="6">
        <v>44106</v>
      </c>
      <c r="X446" s="6">
        <v>44111</v>
      </c>
      <c r="Y446" s="5" t="s">
        <v>2398</v>
      </c>
      <c r="Z446" s="5" t="s">
        <v>2398</v>
      </c>
      <c r="AA446" s="5" t="s">
        <v>2398</v>
      </c>
      <c r="AB446" s="5" t="s">
        <v>67</v>
      </c>
      <c r="AC446" s="5" t="s">
        <v>67</v>
      </c>
      <c r="AD446" s="5" t="s">
        <v>67</v>
      </c>
      <c r="AE446" s="5"/>
      <c r="AF446" s="5" t="s">
        <v>2179</v>
      </c>
      <c r="AG446" s="5" t="s">
        <v>2180</v>
      </c>
      <c r="AH446" s="5" t="s">
        <v>2179</v>
      </c>
      <c r="AI446" s="5" t="s">
        <v>73</v>
      </c>
      <c r="AJ446" s="5">
        <v>0</v>
      </c>
      <c r="AK446" s="5">
        <v>0</v>
      </c>
      <c r="AL446" s="5">
        <v>0</v>
      </c>
      <c r="AM446" s="5">
        <v>0</v>
      </c>
      <c r="AN446" s="5">
        <v>1</v>
      </c>
      <c r="AO446" s="5">
        <v>528</v>
      </c>
      <c r="AP446" s="5">
        <v>2.2410000000000001</v>
      </c>
      <c r="AQ446" s="5" t="s">
        <v>713</v>
      </c>
      <c r="AR446" s="5" t="s">
        <v>1104</v>
      </c>
      <c r="AS446" s="5" t="s">
        <v>713</v>
      </c>
      <c r="AT446" s="6">
        <v>44131</v>
      </c>
      <c r="AU446" s="5" t="s">
        <v>3677</v>
      </c>
      <c r="AV446" s="5">
        <v>31</v>
      </c>
      <c r="AW446" s="5" t="s">
        <v>3678</v>
      </c>
    </row>
    <row r="447" spans="1:49" x14ac:dyDescent="0.55000000000000004">
      <c r="A447" s="5" t="str">
        <f>HYPERLINK("https://www.infodis.net/philips/net/Shipment/Details?InfodisNumber=1497497&amp;DomainCode=PHILIPSM1", "1497497")</f>
        <v>1497497</v>
      </c>
      <c r="B447" s="5" t="s">
        <v>3797</v>
      </c>
      <c r="C447" s="5" t="s">
        <v>3659</v>
      </c>
      <c r="D447" s="5" t="s">
        <v>3660</v>
      </c>
      <c r="E447" s="5" t="s">
        <v>3659</v>
      </c>
      <c r="F447" s="5" t="s">
        <v>3736</v>
      </c>
      <c r="G447" s="5" t="s">
        <v>3662</v>
      </c>
      <c r="H447" s="5" t="s">
        <v>180</v>
      </c>
      <c r="I447" s="5" t="s">
        <v>2057</v>
      </c>
      <c r="J447" s="5" t="s">
        <v>1201</v>
      </c>
      <c r="K447" s="5" t="s">
        <v>3737</v>
      </c>
      <c r="L447" s="5" t="s">
        <v>1203</v>
      </c>
      <c r="M447" s="5" t="s">
        <v>60</v>
      </c>
      <c r="N447" s="5"/>
      <c r="O447" s="5"/>
      <c r="P447" s="5" t="s">
        <v>3663</v>
      </c>
      <c r="Q447" s="5" t="s">
        <v>3798</v>
      </c>
      <c r="R447" s="5" t="s">
        <v>1201</v>
      </c>
      <c r="S447" s="6">
        <v>44078</v>
      </c>
      <c r="T447" s="6">
        <v>44078</v>
      </c>
      <c r="U447" s="5"/>
      <c r="V447" s="6">
        <v>44081</v>
      </c>
      <c r="W447" s="5"/>
      <c r="X447" s="5"/>
      <c r="Y447" s="5" t="s">
        <v>2387</v>
      </c>
      <c r="Z447" s="5" t="s">
        <v>2387</v>
      </c>
      <c r="AA447" s="5" t="s">
        <v>2387</v>
      </c>
      <c r="AB447" s="5" t="s">
        <v>67</v>
      </c>
      <c r="AC447" s="5" t="s">
        <v>67</v>
      </c>
      <c r="AD447" s="5" t="s">
        <v>67</v>
      </c>
      <c r="AE447" s="5"/>
      <c r="AF447" s="5" t="s">
        <v>2179</v>
      </c>
      <c r="AG447" s="5" t="s">
        <v>2180</v>
      </c>
      <c r="AH447" s="5" t="s">
        <v>2179</v>
      </c>
      <c r="AI447" s="5" t="s">
        <v>605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5.2</v>
      </c>
      <c r="AP447" s="5">
        <v>3.2000000000000001E-2</v>
      </c>
      <c r="AQ447" s="5" t="s">
        <v>713</v>
      </c>
      <c r="AR447" s="5" t="s">
        <v>1104</v>
      </c>
      <c r="AS447" s="5" t="s">
        <v>713</v>
      </c>
      <c r="AT447" s="6">
        <v>44127</v>
      </c>
      <c r="AU447" s="5" t="s">
        <v>3664</v>
      </c>
      <c r="AV447" s="5">
        <v>35</v>
      </c>
      <c r="AW447" s="5" t="s">
        <v>3665</v>
      </c>
    </row>
    <row r="448" spans="1:49" x14ac:dyDescent="0.55000000000000004">
      <c r="A448" s="5" t="str">
        <f>HYPERLINK("https://www.infodis.net/philips/net/Shipment/Details?InfodisNumber=1494283&amp;DomainCode=PHILIPSM1", "1494283")</f>
        <v>1494283</v>
      </c>
      <c r="B448" s="5" t="s">
        <v>3799</v>
      </c>
      <c r="C448" s="5" t="s">
        <v>3659</v>
      </c>
      <c r="D448" s="5" t="s">
        <v>3660</v>
      </c>
      <c r="E448" s="5" t="s">
        <v>3659</v>
      </c>
      <c r="F448" s="5" t="s">
        <v>3086</v>
      </c>
      <c r="G448" s="5" t="s">
        <v>3662</v>
      </c>
      <c r="H448" s="5" t="s">
        <v>180</v>
      </c>
      <c r="I448" s="5" t="s">
        <v>2057</v>
      </c>
      <c r="J448" s="5" t="s">
        <v>2607</v>
      </c>
      <c r="K448" s="5" t="s">
        <v>1380</v>
      </c>
      <c r="L448" s="5" t="s">
        <v>132</v>
      </c>
      <c r="M448" s="5" t="s">
        <v>60</v>
      </c>
      <c r="N448" s="5"/>
      <c r="O448" s="5"/>
      <c r="P448" s="5" t="s">
        <v>3663</v>
      </c>
      <c r="Q448" s="5" t="s">
        <v>3800</v>
      </c>
      <c r="R448" s="5" t="s">
        <v>2609</v>
      </c>
      <c r="S448" s="6">
        <v>44077</v>
      </c>
      <c r="T448" s="6">
        <v>44077</v>
      </c>
      <c r="U448" s="6">
        <v>44095</v>
      </c>
      <c r="V448" s="6">
        <v>44080</v>
      </c>
      <c r="W448" s="6">
        <v>44100</v>
      </c>
      <c r="X448" s="5"/>
      <c r="Y448" s="5" t="s">
        <v>2387</v>
      </c>
      <c r="Z448" s="5" t="s">
        <v>2387</v>
      </c>
      <c r="AA448" s="5" t="s">
        <v>2387</v>
      </c>
      <c r="AB448" s="5" t="s">
        <v>67</v>
      </c>
      <c r="AC448" s="5" t="s">
        <v>67</v>
      </c>
      <c r="AD448" s="5" t="s">
        <v>67</v>
      </c>
      <c r="AE448" s="5"/>
      <c r="AF448" s="5" t="s">
        <v>2179</v>
      </c>
      <c r="AG448" s="5" t="s">
        <v>2180</v>
      </c>
      <c r="AH448" s="5" t="s">
        <v>2179</v>
      </c>
      <c r="AI448" s="5" t="s">
        <v>605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88.3</v>
      </c>
      <c r="AP448" s="5">
        <v>1.74</v>
      </c>
      <c r="AQ448" s="5" t="s">
        <v>713</v>
      </c>
      <c r="AR448" s="5" t="s">
        <v>1104</v>
      </c>
      <c r="AS448" s="5" t="s">
        <v>713</v>
      </c>
      <c r="AT448" s="6">
        <v>44127</v>
      </c>
      <c r="AU448" s="5" t="s">
        <v>3664</v>
      </c>
      <c r="AV448" s="5">
        <v>35</v>
      </c>
      <c r="AW448" s="5" t="s">
        <v>3665</v>
      </c>
    </row>
    <row r="449" spans="1:49" x14ac:dyDescent="0.55000000000000004">
      <c r="A449" s="5" t="str">
        <f>HYPERLINK("https://www.infodis.net/philips/net/Shipment/Details?InfodisNumber=4503901&amp;DomainCode=DAP", "4503901")</f>
        <v>4503901</v>
      </c>
      <c r="B449" s="5" t="s">
        <v>3801</v>
      </c>
      <c r="C449" s="5" t="s">
        <v>2344</v>
      </c>
      <c r="D449" s="5" t="s">
        <v>2345</v>
      </c>
      <c r="E449" s="5" t="s">
        <v>2344</v>
      </c>
      <c r="F449" s="5" t="s">
        <v>280</v>
      </c>
      <c r="G449" s="5" t="s">
        <v>281</v>
      </c>
      <c r="H449" s="5" t="s">
        <v>79</v>
      </c>
      <c r="I449" s="5" t="s">
        <v>2347</v>
      </c>
      <c r="J449" s="5" t="s">
        <v>2640</v>
      </c>
      <c r="K449" s="5" t="s">
        <v>3802</v>
      </c>
      <c r="L449" s="5" t="s">
        <v>285</v>
      </c>
      <c r="M449" s="5" t="s">
        <v>84</v>
      </c>
      <c r="N449" s="5"/>
      <c r="O449" s="5"/>
      <c r="P449" s="5" t="s">
        <v>286</v>
      </c>
      <c r="Q449" s="5"/>
      <c r="R449" s="5" t="s">
        <v>287</v>
      </c>
      <c r="S449" s="6">
        <v>44076</v>
      </c>
      <c r="T449" s="6">
        <v>44083</v>
      </c>
      <c r="U449" s="5"/>
      <c r="V449" s="6">
        <v>44086</v>
      </c>
      <c r="W449" s="5"/>
      <c r="X449" s="5"/>
      <c r="Y449" s="5" t="s">
        <v>66</v>
      </c>
      <c r="Z449" s="5" t="s">
        <v>2411</v>
      </c>
      <c r="AA449" s="5" t="s">
        <v>2411</v>
      </c>
      <c r="AB449" s="5" t="s">
        <v>68</v>
      </c>
      <c r="AC449" s="5" t="s">
        <v>67</v>
      </c>
      <c r="AD449" s="5" t="s">
        <v>67</v>
      </c>
      <c r="AE449" s="5"/>
      <c r="AF449" s="5" t="s">
        <v>2179</v>
      </c>
      <c r="AG449" s="5" t="s">
        <v>2180</v>
      </c>
      <c r="AH449" s="5" t="s">
        <v>2179</v>
      </c>
      <c r="AI449" s="5" t="s">
        <v>73</v>
      </c>
      <c r="AJ449" s="5">
        <v>0</v>
      </c>
      <c r="AK449" s="5">
        <v>0</v>
      </c>
      <c r="AL449" s="5">
        <v>0</v>
      </c>
      <c r="AM449" s="5">
        <v>0</v>
      </c>
      <c r="AN449" s="5">
        <v>6</v>
      </c>
      <c r="AO449" s="5">
        <v>850</v>
      </c>
      <c r="AP449" s="5">
        <v>5.4239999999999986</v>
      </c>
      <c r="AQ449" s="5" t="s">
        <v>713</v>
      </c>
      <c r="AR449" s="5" t="s">
        <v>1104</v>
      </c>
      <c r="AS449" s="5" t="s">
        <v>713</v>
      </c>
      <c r="AT449" s="6">
        <v>44124</v>
      </c>
      <c r="AU449" s="5" t="s">
        <v>3803</v>
      </c>
      <c r="AV449" s="5">
        <v>38</v>
      </c>
      <c r="AW449" s="5" t="s">
        <v>3804</v>
      </c>
    </row>
    <row r="450" spans="1:49" x14ac:dyDescent="0.55000000000000004">
      <c r="A450" s="5" t="str">
        <f>HYPERLINK("https://www.infodis.net/philips/net/Shipment/Details?InfodisNumber=1492897&amp;DomainCode=PHILIPSM1", "1492897")</f>
        <v>1492897</v>
      </c>
      <c r="B450" s="5" t="s">
        <v>3805</v>
      </c>
      <c r="C450" s="5" t="s">
        <v>2491</v>
      </c>
      <c r="D450" s="5" t="s">
        <v>2492</v>
      </c>
      <c r="E450" s="5" t="s">
        <v>2491</v>
      </c>
      <c r="F450" s="5" t="s">
        <v>3806</v>
      </c>
      <c r="G450" s="5" t="s">
        <v>1431</v>
      </c>
      <c r="H450" s="5" t="s">
        <v>180</v>
      </c>
      <c r="I450" s="5" t="s">
        <v>2494</v>
      </c>
      <c r="J450" s="5" t="s">
        <v>2454</v>
      </c>
      <c r="K450" s="5" t="s">
        <v>2985</v>
      </c>
      <c r="L450" s="5" t="s">
        <v>443</v>
      </c>
      <c r="M450" s="5" t="s">
        <v>60</v>
      </c>
      <c r="N450" s="5"/>
      <c r="O450" s="5"/>
      <c r="P450" s="5" t="s">
        <v>1434</v>
      </c>
      <c r="Q450" s="5" t="s">
        <v>3807</v>
      </c>
      <c r="R450" s="5" t="s">
        <v>3808</v>
      </c>
      <c r="S450" s="6">
        <v>44075</v>
      </c>
      <c r="T450" s="6">
        <v>44075</v>
      </c>
      <c r="U450" s="6">
        <v>44082</v>
      </c>
      <c r="V450" s="6">
        <v>44076</v>
      </c>
      <c r="W450" s="6">
        <v>44090</v>
      </c>
      <c r="X450" s="5"/>
      <c r="Y450" s="5" t="s">
        <v>2387</v>
      </c>
      <c r="Z450" s="5" t="s">
        <v>2387</v>
      </c>
      <c r="AA450" s="5" t="s">
        <v>603</v>
      </c>
      <c r="AB450" s="5" t="s">
        <v>67</v>
      </c>
      <c r="AC450" s="5" t="s">
        <v>67</v>
      </c>
      <c r="AD450" s="5" t="s">
        <v>68</v>
      </c>
      <c r="AE450" s="5"/>
      <c r="AF450" s="5" t="s">
        <v>2829</v>
      </c>
      <c r="AG450" s="5" t="s">
        <v>2830</v>
      </c>
      <c r="AH450" s="5" t="s">
        <v>2829</v>
      </c>
      <c r="AI450" s="5" t="s">
        <v>605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2.2999999999999998</v>
      </c>
      <c r="AP450" s="5">
        <v>2.5000000000000001E-2</v>
      </c>
      <c r="AQ450" s="5" t="s">
        <v>713</v>
      </c>
      <c r="AR450" s="5" t="s">
        <v>1104</v>
      </c>
      <c r="AS450" s="5"/>
      <c r="AT450" s="5"/>
      <c r="AU450" s="5"/>
      <c r="AV450" s="5">
        <v>-1</v>
      </c>
      <c r="AW450" s="5" t="s">
        <v>3752</v>
      </c>
    </row>
    <row r="451" spans="1:49" x14ac:dyDescent="0.55000000000000004">
      <c r="A451" s="5" t="str">
        <f>HYPERLINK("https://www.infodis.net/philips/net/Shipment/Details?InfodisNumber=1401851&amp;DomainCode=PHILIPSM1", "1401851")</f>
        <v>1401851</v>
      </c>
      <c r="B451" s="5" t="s">
        <v>3809</v>
      </c>
      <c r="C451" s="5" t="s">
        <v>2353</v>
      </c>
      <c r="D451" s="5" t="s">
        <v>2354</v>
      </c>
      <c r="E451" s="5" t="s">
        <v>2353</v>
      </c>
      <c r="F451" s="5" t="s">
        <v>3810</v>
      </c>
      <c r="G451" s="5" t="s">
        <v>667</v>
      </c>
      <c r="H451" s="5" t="s">
        <v>79</v>
      </c>
      <c r="I451" s="5" t="s">
        <v>1813</v>
      </c>
      <c r="J451" s="5" t="s">
        <v>2607</v>
      </c>
      <c r="K451" s="5" t="s">
        <v>1380</v>
      </c>
      <c r="L451" s="5" t="s">
        <v>132</v>
      </c>
      <c r="M451" s="5" t="s">
        <v>60</v>
      </c>
      <c r="N451" s="5"/>
      <c r="O451" s="5"/>
      <c r="P451" s="5" t="s">
        <v>1853</v>
      </c>
      <c r="Q451" s="5" t="s">
        <v>3811</v>
      </c>
      <c r="R451" s="5" t="s">
        <v>2609</v>
      </c>
      <c r="S451" s="6">
        <v>43994</v>
      </c>
      <c r="T451" s="6">
        <v>43994</v>
      </c>
      <c r="U451" s="6">
        <v>43995</v>
      </c>
      <c r="V451" s="6">
        <v>43997</v>
      </c>
      <c r="W451" s="6">
        <v>43997</v>
      </c>
      <c r="X451" s="5"/>
      <c r="Y451" s="5" t="s">
        <v>2387</v>
      </c>
      <c r="Z451" s="5" t="s">
        <v>2387</v>
      </c>
      <c r="AA451" s="5" t="s">
        <v>603</v>
      </c>
      <c r="AB451" s="5" t="s">
        <v>67</v>
      </c>
      <c r="AC451" s="5" t="s">
        <v>67</v>
      </c>
      <c r="AD451" s="5" t="s">
        <v>68</v>
      </c>
      <c r="AE451" s="5"/>
      <c r="AF451" s="5" t="s">
        <v>2179</v>
      </c>
      <c r="AG451" s="5" t="s">
        <v>2180</v>
      </c>
      <c r="AH451" s="5" t="s">
        <v>2179</v>
      </c>
      <c r="AI451" s="5" t="s">
        <v>605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149</v>
      </c>
      <c r="AP451" s="5">
        <v>0.9</v>
      </c>
      <c r="AQ451" s="5" t="s">
        <v>713</v>
      </c>
      <c r="AR451" s="5" t="s">
        <v>1104</v>
      </c>
      <c r="AS451" s="5"/>
      <c r="AT451" s="5"/>
      <c r="AU451" s="5"/>
      <c r="AV451" s="5">
        <v>-1</v>
      </c>
      <c r="AW451" s="5" t="s">
        <v>3715</v>
      </c>
    </row>
    <row r="452" spans="1:49" x14ac:dyDescent="0.55000000000000004">
      <c r="A452" s="5" t="str">
        <f>HYPERLINK("https://www.infodis.net/philips/net/Shipment/Details?InfodisNumber=4516141&amp;DomainCode=DAP", "4516141")</f>
        <v>4516141</v>
      </c>
      <c r="B452" s="5" t="s">
        <v>3812</v>
      </c>
      <c r="C452" s="5" t="s">
        <v>2502</v>
      </c>
      <c r="D452" s="5" t="s">
        <v>2503</v>
      </c>
      <c r="E452" s="5" t="s">
        <v>2504</v>
      </c>
      <c r="F452" s="5" t="s">
        <v>228</v>
      </c>
      <c r="G452" s="5" t="s">
        <v>1179</v>
      </c>
      <c r="H452" s="5" t="s">
        <v>180</v>
      </c>
      <c r="I452" s="5" t="s">
        <v>2368</v>
      </c>
      <c r="J452" s="5" t="s">
        <v>511</v>
      </c>
      <c r="K452" s="5" t="s">
        <v>233</v>
      </c>
      <c r="L452" s="5" t="s">
        <v>234</v>
      </c>
      <c r="M452" s="5" t="s">
        <v>60</v>
      </c>
      <c r="N452" s="5"/>
      <c r="O452" s="5"/>
      <c r="P452" s="5" t="s">
        <v>1181</v>
      </c>
      <c r="Q452" s="5"/>
      <c r="R452" s="5" t="s">
        <v>236</v>
      </c>
      <c r="S452" s="6">
        <v>44091</v>
      </c>
      <c r="T452" s="6">
        <v>44091</v>
      </c>
      <c r="U452" s="5"/>
      <c r="V452" s="6">
        <v>44094</v>
      </c>
      <c r="W452" s="5"/>
      <c r="X452" s="5"/>
      <c r="Y452" s="5" t="s">
        <v>2476</v>
      </c>
      <c r="Z452" s="5" t="s">
        <v>2476</v>
      </c>
      <c r="AA452" s="5" t="s">
        <v>2476</v>
      </c>
      <c r="AB452" s="5" t="s">
        <v>67</v>
      </c>
      <c r="AC452" s="5" t="s">
        <v>67</v>
      </c>
      <c r="AD452" s="5" t="s">
        <v>67</v>
      </c>
      <c r="AE452" s="5"/>
      <c r="AF452" s="5" t="s">
        <v>2179</v>
      </c>
      <c r="AG452" s="5" t="s">
        <v>2180</v>
      </c>
      <c r="AH452" s="5" t="s">
        <v>2179</v>
      </c>
      <c r="AI452" s="5" t="s">
        <v>73</v>
      </c>
      <c r="AJ452" s="5">
        <v>0</v>
      </c>
      <c r="AK452" s="5">
        <v>0</v>
      </c>
      <c r="AL452" s="5">
        <v>0</v>
      </c>
      <c r="AM452" s="5">
        <v>0</v>
      </c>
      <c r="AN452" s="5">
        <v>11</v>
      </c>
      <c r="AO452" s="5">
        <v>1447.5</v>
      </c>
      <c r="AP452" s="5">
        <v>11.333</v>
      </c>
      <c r="AQ452" s="5" t="s">
        <v>713</v>
      </c>
      <c r="AR452" s="5" t="s">
        <v>1104</v>
      </c>
      <c r="AS452" s="5" t="s">
        <v>713</v>
      </c>
      <c r="AT452" s="6">
        <v>44098</v>
      </c>
      <c r="AU452" s="5" t="s">
        <v>3813</v>
      </c>
      <c r="AV452" s="5">
        <v>64</v>
      </c>
      <c r="AW452" s="5" t="s">
        <v>3814</v>
      </c>
    </row>
    <row r="453" spans="1:49" x14ac:dyDescent="0.55000000000000004">
      <c r="A453" s="5" t="str">
        <f>HYPERLINK("https://www.infodis.net/philips/net/Shipment/Details?InfodisNumber=1508078&amp;DomainCode=PHILIPSM1", "1508078")</f>
        <v>1508078</v>
      </c>
      <c r="B453" s="5" t="s">
        <v>3815</v>
      </c>
      <c r="C453" s="5" t="s">
        <v>2491</v>
      </c>
      <c r="D453" s="5" t="s">
        <v>2492</v>
      </c>
      <c r="E453" s="5" t="s">
        <v>2491</v>
      </c>
      <c r="F453" s="5" t="s">
        <v>3806</v>
      </c>
      <c r="G453" s="5" t="s">
        <v>1431</v>
      </c>
      <c r="H453" s="5" t="s">
        <v>180</v>
      </c>
      <c r="I453" s="5" t="s">
        <v>2494</v>
      </c>
      <c r="J453" s="5" t="s">
        <v>2454</v>
      </c>
      <c r="K453" s="5" t="s">
        <v>2985</v>
      </c>
      <c r="L453" s="5" t="s">
        <v>443</v>
      </c>
      <c r="M453" s="5" t="s">
        <v>60</v>
      </c>
      <c r="N453" s="5"/>
      <c r="O453" s="5"/>
      <c r="P453" s="5" t="s">
        <v>1434</v>
      </c>
      <c r="Q453" s="5" t="s">
        <v>3816</v>
      </c>
      <c r="R453" s="5" t="s">
        <v>3808</v>
      </c>
      <c r="S453" s="6">
        <v>44091</v>
      </c>
      <c r="T453" s="6">
        <v>44092</v>
      </c>
      <c r="U453" s="6">
        <v>44092</v>
      </c>
      <c r="V453" s="6">
        <v>44093</v>
      </c>
      <c r="W453" s="6">
        <v>44098</v>
      </c>
      <c r="X453" s="5"/>
      <c r="Y453" s="5" t="s">
        <v>2387</v>
      </c>
      <c r="Z453" s="5" t="s">
        <v>2387</v>
      </c>
      <c r="AA453" s="5" t="s">
        <v>603</v>
      </c>
      <c r="AB453" s="5" t="s">
        <v>67</v>
      </c>
      <c r="AC453" s="5" t="s">
        <v>67</v>
      </c>
      <c r="AD453" s="5" t="s">
        <v>68</v>
      </c>
      <c r="AE453" s="5"/>
      <c r="AF453" s="5" t="s">
        <v>2829</v>
      </c>
      <c r="AG453" s="5" t="s">
        <v>2830</v>
      </c>
      <c r="AH453" s="5" t="s">
        <v>2829</v>
      </c>
      <c r="AI453" s="5" t="s">
        <v>605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6.4</v>
      </c>
      <c r="AP453" s="5">
        <v>4.7E-2</v>
      </c>
      <c r="AQ453" s="5" t="s">
        <v>713</v>
      </c>
      <c r="AR453" s="5" t="s">
        <v>1104</v>
      </c>
      <c r="AS453" s="5"/>
      <c r="AT453" s="5"/>
      <c r="AU453" s="5"/>
      <c r="AV453" s="5">
        <v>-1</v>
      </c>
      <c r="AW453" s="5" t="s">
        <v>3752</v>
      </c>
    </row>
    <row r="454" spans="1:49" x14ac:dyDescent="0.55000000000000004">
      <c r="A454" s="5" t="str">
        <f>HYPERLINK("https://www.infodis.net/philips/net/Shipment/Details?InfodisNumber=4516605&amp;DomainCode=DAP", "4516605")</f>
        <v>4516605</v>
      </c>
      <c r="B454" s="5" t="s">
        <v>3817</v>
      </c>
      <c r="C454" s="5" t="s">
        <v>3764</v>
      </c>
      <c r="D454" s="5" t="s">
        <v>3765</v>
      </c>
      <c r="E454" s="5" t="s">
        <v>3764</v>
      </c>
      <c r="F454" s="5" t="s">
        <v>167</v>
      </c>
      <c r="G454" s="5" t="s">
        <v>546</v>
      </c>
      <c r="H454" s="5" t="s">
        <v>79</v>
      </c>
      <c r="I454" s="5" t="s">
        <v>3766</v>
      </c>
      <c r="J454" s="5" t="s">
        <v>2405</v>
      </c>
      <c r="K454" s="5" t="s">
        <v>1125</v>
      </c>
      <c r="L454" s="5" t="s">
        <v>172</v>
      </c>
      <c r="M454" s="5" t="s">
        <v>1489</v>
      </c>
      <c r="N454" s="5"/>
      <c r="O454" s="5"/>
      <c r="P454" s="5" t="s">
        <v>3767</v>
      </c>
      <c r="Q454" s="5"/>
      <c r="R454" s="5" t="s">
        <v>1128</v>
      </c>
      <c r="S454" s="6">
        <v>44092</v>
      </c>
      <c r="T454" s="6">
        <v>44095</v>
      </c>
      <c r="U454" s="6">
        <v>44095</v>
      </c>
      <c r="V454" s="6">
        <v>44098</v>
      </c>
      <c r="W454" s="6">
        <v>44105</v>
      </c>
      <c r="X454" s="6">
        <v>44109</v>
      </c>
      <c r="Y454" s="5" t="s">
        <v>2411</v>
      </c>
      <c r="Z454" s="5" t="s">
        <v>2411</v>
      </c>
      <c r="AA454" s="5" t="s">
        <v>2411</v>
      </c>
      <c r="AB454" s="5" t="s">
        <v>67</v>
      </c>
      <c r="AC454" s="5" t="s">
        <v>67</v>
      </c>
      <c r="AD454" s="5" t="s">
        <v>67</v>
      </c>
      <c r="AE454" s="5"/>
      <c r="AF454" s="5" t="s">
        <v>2179</v>
      </c>
      <c r="AG454" s="5" t="s">
        <v>2180</v>
      </c>
      <c r="AH454" s="5" t="s">
        <v>2179</v>
      </c>
      <c r="AI454" s="5" t="s">
        <v>73</v>
      </c>
      <c r="AJ454" s="5">
        <v>0</v>
      </c>
      <c r="AK454" s="5">
        <v>0</v>
      </c>
      <c r="AL454" s="5">
        <v>0</v>
      </c>
      <c r="AM454" s="5">
        <v>0</v>
      </c>
      <c r="AN454" s="5">
        <v>1</v>
      </c>
      <c r="AO454" s="5">
        <v>85.5</v>
      </c>
      <c r="AP454" s="5">
        <v>0.93700000000000006</v>
      </c>
      <c r="AQ454" s="5" t="s">
        <v>713</v>
      </c>
      <c r="AR454" s="5" t="s">
        <v>1104</v>
      </c>
      <c r="AS454" s="5" t="s">
        <v>713</v>
      </c>
      <c r="AT454" s="6">
        <v>44124</v>
      </c>
      <c r="AU454" s="5" t="s">
        <v>3768</v>
      </c>
      <c r="AV454" s="5">
        <v>38</v>
      </c>
      <c r="AW454" s="5" t="s">
        <v>3769</v>
      </c>
    </row>
    <row r="455" spans="1:49" x14ac:dyDescent="0.55000000000000004">
      <c r="A455" s="5" t="str">
        <f>HYPERLINK("https://www.infodis.net/philips/net/Shipment/Details?InfodisNumber=4520975&amp;DomainCode=DAP", "4520975")</f>
        <v>4520975</v>
      </c>
      <c r="B455" s="5" t="s">
        <v>3818</v>
      </c>
      <c r="C455" s="5" t="s">
        <v>3819</v>
      </c>
      <c r="D455" s="5" t="s">
        <v>3820</v>
      </c>
      <c r="E455" s="5" t="s">
        <v>3821</v>
      </c>
      <c r="F455" s="5" t="s">
        <v>571</v>
      </c>
      <c r="G455" s="5" t="s">
        <v>3822</v>
      </c>
      <c r="H455" s="5" t="s">
        <v>267</v>
      </c>
      <c r="I455" s="5" t="s">
        <v>268</v>
      </c>
      <c r="J455" s="5" t="s">
        <v>2396</v>
      </c>
      <c r="K455" s="5" t="s">
        <v>546</v>
      </c>
      <c r="L455" s="5" t="s">
        <v>79</v>
      </c>
      <c r="M455" s="5" t="s">
        <v>84</v>
      </c>
      <c r="N455" s="5"/>
      <c r="O455" s="5" t="s">
        <v>3823</v>
      </c>
      <c r="P455" s="5" t="s">
        <v>2982</v>
      </c>
      <c r="Q455" s="5" t="s">
        <v>3824</v>
      </c>
      <c r="R455" s="5" t="s">
        <v>575</v>
      </c>
      <c r="S455" s="6">
        <v>44098</v>
      </c>
      <c r="T455" s="6">
        <v>44100</v>
      </c>
      <c r="U455" s="6">
        <v>44100</v>
      </c>
      <c r="V455" s="6">
        <v>44103</v>
      </c>
      <c r="W455" s="6">
        <v>44103</v>
      </c>
      <c r="X455" s="6">
        <v>44114</v>
      </c>
      <c r="Y455" s="5" t="s">
        <v>66</v>
      </c>
      <c r="Z455" s="5" t="s">
        <v>1735</v>
      </c>
      <c r="AA455" s="5" t="s">
        <v>3825</v>
      </c>
      <c r="AB455" s="5" t="s">
        <v>68</v>
      </c>
      <c r="AC455" s="5" t="s">
        <v>67</v>
      </c>
      <c r="AD455" s="5" t="s">
        <v>67</v>
      </c>
      <c r="AE455" s="5"/>
      <c r="AF455" s="5" t="s">
        <v>2179</v>
      </c>
      <c r="AG455" s="5" t="s">
        <v>2180</v>
      </c>
      <c r="AH455" s="5" t="s">
        <v>2179</v>
      </c>
      <c r="AI455" s="5" t="s">
        <v>73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140</v>
      </c>
      <c r="AP455" s="5">
        <v>2.7690000000000001</v>
      </c>
      <c r="AQ455" s="5" t="s">
        <v>713</v>
      </c>
      <c r="AR455" s="5" t="s">
        <v>1104</v>
      </c>
      <c r="AS455" s="5" t="s">
        <v>713</v>
      </c>
      <c r="AT455" s="6">
        <v>44131</v>
      </c>
      <c r="AU455" s="5" t="s">
        <v>3826</v>
      </c>
      <c r="AV455" s="5">
        <v>31</v>
      </c>
      <c r="AW455" s="5" t="s">
        <v>3827</v>
      </c>
    </row>
    <row r="456" spans="1:49" x14ac:dyDescent="0.55000000000000004">
      <c r="A456" s="5" t="str">
        <f>HYPERLINK("https://www.infodis.net/philips/net/Shipment/Details?InfodisNumber=4520705&amp;DomainCode=DAP", "4520705")</f>
        <v>4520705</v>
      </c>
      <c r="B456" s="5" t="s">
        <v>3828</v>
      </c>
      <c r="C456" s="5" t="s">
        <v>3829</v>
      </c>
      <c r="D456" s="5" t="s">
        <v>3830</v>
      </c>
      <c r="E456" s="5" t="s">
        <v>3829</v>
      </c>
      <c r="F456" s="5" t="s">
        <v>256</v>
      </c>
      <c r="G456" s="5" t="s">
        <v>667</v>
      </c>
      <c r="H456" s="5" t="s">
        <v>79</v>
      </c>
      <c r="I456" s="5" t="s">
        <v>1813</v>
      </c>
      <c r="J456" s="5" t="s">
        <v>2626</v>
      </c>
      <c r="K456" s="5" t="s">
        <v>259</v>
      </c>
      <c r="L456" s="5" t="s">
        <v>260</v>
      </c>
      <c r="M456" s="5" t="s">
        <v>1489</v>
      </c>
      <c r="N456" s="5"/>
      <c r="O456" s="5"/>
      <c r="P456" s="5" t="s">
        <v>1180</v>
      </c>
      <c r="Q456" s="5"/>
      <c r="R456" s="5" t="s">
        <v>262</v>
      </c>
      <c r="S456" s="6">
        <v>44097</v>
      </c>
      <c r="T456" s="6">
        <v>44103</v>
      </c>
      <c r="U456" s="5"/>
      <c r="V456" s="6">
        <v>44106</v>
      </c>
      <c r="W456" s="5"/>
      <c r="X456" s="5"/>
      <c r="Y456" s="5" t="s">
        <v>2411</v>
      </c>
      <c r="Z456" s="5" t="s">
        <v>2411</v>
      </c>
      <c r="AA456" s="5" t="s">
        <v>2411</v>
      </c>
      <c r="AB456" s="5" t="s">
        <v>67</v>
      </c>
      <c r="AC456" s="5" t="s">
        <v>67</v>
      </c>
      <c r="AD456" s="5" t="s">
        <v>67</v>
      </c>
      <c r="AE456" s="5"/>
      <c r="AF456" s="5" t="s">
        <v>2179</v>
      </c>
      <c r="AG456" s="5" t="s">
        <v>2180</v>
      </c>
      <c r="AH456" s="5" t="s">
        <v>2179</v>
      </c>
      <c r="AI456" s="5" t="s">
        <v>73</v>
      </c>
      <c r="AJ456" s="5">
        <v>0</v>
      </c>
      <c r="AK456" s="5">
        <v>0</v>
      </c>
      <c r="AL456" s="5">
        <v>0</v>
      </c>
      <c r="AM456" s="5">
        <v>0</v>
      </c>
      <c r="AN456" s="5">
        <v>1</v>
      </c>
      <c r="AO456" s="5">
        <v>1680</v>
      </c>
      <c r="AP456" s="5">
        <v>24.393999999999998</v>
      </c>
      <c r="AQ456" s="5" t="s">
        <v>713</v>
      </c>
      <c r="AR456" s="5" t="s">
        <v>1104</v>
      </c>
      <c r="AS456" s="5"/>
      <c r="AT456" s="5"/>
      <c r="AU456" s="5"/>
      <c r="AV456" s="5">
        <v>-1</v>
      </c>
      <c r="AW456" s="5" t="s">
        <v>1368</v>
      </c>
    </row>
    <row r="457" spans="1:49" x14ac:dyDescent="0.55000000000000004">
      <c r="A457" s="5" t="str">
        <f>HYPERLINK("https://www.infodis.net/philips/net/Shipment/Details?InfodisNumber=6366415&amp;DomainCode=PHILIPSR1", "6366415")</f>
        <v>6366415</v>
      </c>
      <c r="B457" s="5" t="s">
        <v>3831</v>
      </c>
      <c r="C457" s="5" t="s">
        <v>2426</v>
      </c>
      <c r="D457" s="5" t="s">
        <v>2427</v>
      </c>
      <c r="E457" s="5" t="s">
        <v>458</v>
      </c>
      <c r="F457" s="5" t="s">
        <v>2679</v>
      </c>
      <c r="G457" s="5" t="s">
        <v>610</v>
      </c>
      <c r="H457" s="5" t="s">
        <v>180</v>
      </c>
      <c r="I457" s="5" t="s">
        <v>652</v>
      </c>
      <c r="J457" s="5" t="s">
        <v>2495</v>
      </c>
      <c r="K457" s="5" t="s">
        <v>2496</v>
      </c>
      <c r="L457" s="5" t="s">
        <v>73</v>
      </c>
      <c r="M457" s="5" t="s">
        <v>84</v>
      </c>
      <c r="N457" s="5"/>
      <c r="O457" s="5"/>
      <c r="P457" s="5" t="s">
        <v>613</v>
      </c>
      <c r="Q457" s="5" t="s">
        <v>3832</v>
      </c>
      <c r="R457" s="5" t="s">
        <v>2495</v>
      </c>
      <c r="S457" s="6">
        <v>43920</v>
      </c>
      <c r="T457" s="6">
        <v>43921</v>
      </c>
      <c r="U457" s="6">
        <v>43920</v>
      </c>
      <c r="V457" s="6">
        <v>43924</v>
      </c>
      <c r="W457" s="6">
        <v>43925</v>
      </c>
      <c r="X457" s="5"/>
      <c r="Y457" s="5" t="s">
        <v>2476</v>
      </c>
      <c r="Z457" s="5" t="s">
        <v>2476</v>
      </c>
      <c r="AA457" s="5" t="s">
        <v>66</v>
      </c>
      <c r="AB457" s="5" t="s">
        <v>67</v>
      </c>
      <c r="AC457" s="5" t="s">
        <v>67</v>
      </c>
      <c r="AD457" s="5" t="s">
        <v>68</v>
      </c>
      <c r="AE457" s="5"/>
      <c r="AF457" s="5" t="s">
        <v>2179</v>
      </c>
      <c r="AG457" s="5" t="s">
        <v>2180</v>
      </c>
      <c r="AH457" s="5" t="s">
        <v>2179</v>
      </c>
      <c r="AI457" s="5" t="s">
        <v>252</v>
      </c>
      <c r="AJ457" s="5">
        <v>0</v>
      </c>
      <c r="AK457" s="5">
        <v>0</v>
      </c>
      <c r="AL457" s="5">
        <v>0</v>
      </c>
      <c r="AM457" s="5">
        <v>0</v>
      </c>
      <c r="AN457" s="5">
        <v>3</v>
      </c>
      <c r="AO457" s="5">
        <v>560.19000000000005</v>
      </c>
      <c r="AP457" s="5">
        <v>5.6320000000000006</v>
      </c>
      <c r="AQ457" s="5" t="s">
        <v>713</v>
      </c>
      <c r="AR457" s="5" t="s">
        <v>1104</v>
      </c>
      <c r="AS457" s="5" t="s">
        <v>713</v>
      </c>
      <c r="AT457" s="5"/>
      <c r="AU457" s="5"/>
      <c r="AV457" s="5">
        <v>-1</v>
      </c>
      <c r="AW457" s="5" t="s">
        <v>3833</v>
      </c>
    </row>
    <row r="458" spans="1:49" x14ac:dyDescent="0.55000000000000004">
      <c r="A458" s="5" t="str">
        <f>HYPERLINK("https://www.infodis.net/philips/net/Shipment/Details?InfodisNumber=4520295&amp;DomainCode=DAP", "4520295")</f>
        <v>4520295</v>
      </c>
      <c r="B458" s="5" t="s">
        <v>3834</v>
      </c>
      <c r="C458" s="5" t="s">
        <v>3430</v>
      </c>
      <c r="D458" s="5" t="s">
        <v>3431</v>
      </c>
      <c r="E458" s="5" t="s">
        <v>3430</v>
      </c>
      <c r="F458" s="5" t="s">
        <v>256</v>
      </c>
      <c r="G458" s="5" t="s">
        <v>192</v>
      </c>
      <c r="H458" s="5" t="s">
        <v>79</v>
      </c>
      <c r="I458" s="5" t="s">
        <v>587</v>
      </c>
      <c r="J458" s="5" t="s">
        <v>2626</v>
      </c>
      <c r="K458" s="5" t="s">
        <v>259</v>
      </c>
      <c r="L458" s="5" t="s">
        <v>260</v>
      </c>
      <c r="M458" s="5" t="s">
        <v>84</v>
      </c>
      <c r="N458" s="5"/>
      <c r="O458" s="5"/>
      <c r="P458" s="5" t="s">
        <v>3432</v>
      </c>
      <c r="Q458" s="5"/>
      <c r="R458" s="5" t="s">
        <v>262</v>
      </c>
      <c r="S458" s="6">
        <v>44097</v>
      </c>
      <c r="T458" s="6">
        <v>44098</v>
      </c>
      <c r="U458" s="5"/>
      <c r="V458" s="6">
        <v>44101</v>
      </c>
      <c r="W458" s="5"/>
      <c r="X458" s="5"/>
      <c r="Y458" s="5" t="s">
        <v>66</v>
      </c>
      <c r="Z458" s="5" t="s">
        <v>2411</v>
      </c>
      <c r="AA458" s="5" t="s">
        <v>2411</v>
      </c>
      <c r="AB458" s="5" t="s">
        <v>68</v>
      </c>
      <c r="AC458" s="5" t="s">
        <v>67</v>
      </c>
      <c r="AD458" s="5" t="s">
        <v>67</v>
      </c>
      <c r="AE458" s="5"/>
      <c r="AF458" s="5" t="s">
        <v>2179</v>
      </c>
      <c r="AG458" s="5" t="s">
        <v>2180</v>
      </c>
      <c r="AH458" s="5" t="s">
        <v>2179</v>
      </c>
      <c r="AI458" s="5" t="s">
        <v>73</v>
      </c>
      <c r="AJ458" s="5">
        <v>0</v>
      </c>
      <c r="AK458" s="5">
        <v>0</v>
      </c>
      <c r="AL458" s="5">
        <v>0</v>
      </c>
      <c r="AM458" s="5">
        <v>0</v>
      </c>
      <c r="AN458" s="5">
        <v>2</v>
      </c>
      <c r="AO458" s="5">
        <v>417</v>
      </c>
      <c r="AP458" s="5">
        <v>2.1019999999999999</v>
      </c>
      <c r="AQ458" s="5" t="s">
        <v>713</v>
      </c>
      <c r="AR458" s="5" t="s">
        <v>1104</v>
      </c>
      <c r="AS458" s="5"/>
      <c r="AT458" s="5"/>
      <c r="AU458" s="5"/>
      <c r="AV458" s="5">
        <v>-1</v>
      </c>
      <c r="AW458" s="5" t="s">
        <v>1368</v>
      </c>
    </row>
    <row r="459" spans="1:49" x14ac:dyDescent="0.55000000000000004">
      <c r="A459" s="5" t="str">
        <f>HYPERLINK("https://www.infodis.net/philips/net/Shipment/Details?InfodisNumber=4520248&amp;DomainCode=DAP", "4520248")</f>
        <v>4520248</v>
      </c>
      <c r="B459" s="5" t="s">
        <v>3835</v>
      </c>
      <c r="C459" s="5" t="s">
        <v>585</v>
      </c>
      <c r="D459" s="5" t="s">
        <v>586</v>
      </c>
      <c r="E459" s="5" t="s">
        <v>393</v>
      </c>
      <c r="F459" s="5" t="s">
        <v>215</v>
      </c>
      <c r="G459" s="5" t="s">
        <v>394</v>
      </c>
      <c r="H459" s="5" t="s">
        <v>79</v>
      </c>
      <c r="I459" s="5" t="s">
        <v>587</v>
      </c>
      <c r="J459" s="5" t="s">
        <v>2341</v>
      </c>
      <c r="K459" s="5" t="s">
        <v>219</v>
      </c>
      <c r="L459" s="5" t="s">
        <v>180</v>
      </c>
      <c r="M459" s="5" t="s">
        <v>60</v>
      </c>
      <c r="N459" s="5"/>
      <c r="O459" s="5"/>
      <c r="P459" s="5" t="s">
        <v>398</v>
      </c>
      <c r="Q459" s="5" t="s">
        <v>3836</v>
      </c>
      <c r="R459" s="5" t="s">
        <v>223</v>
      </c>
      <c r="S459" s="6">
        <v>44097</v>
      </c>
      <c r="T459" s="6">
        <v>44103</v>
      </c>
      <c r="U459" s="6">
        <v>44107</v>
      </c>
      <c r="V459" s="6">
        <v>44109</v>
      </c>
      <c r="W459" s="6">
        <v>44108</v>
      </c>
      <c r="X459" s="5"/>
      <c r="Y459" s="5" t="s">
        <v>2051</v>
      </c>
      <c r="Z459" s="5" t="s">
        <v>2051</v>
      </c>
      <c r="AA459" s="5" t="s">
        <v>2051</v>
      </c>
      <c r="AB459" s="5" t="s">
        <v>67</v>
      </c>
      <c r="AC459" s="5" t="s">
        <v>67</v>
      </c>
      <c r="AD459" s="5" t="s">
        <v>67</v>
      </c>
      <c r="AE459" s="5"/>
      <c r="AF459" s="5" t="s">
        <v>2179</v>
      </c>
      <c r="AG459" s="5" t="s">
        <v>2180</v>
      </c>
      <c r="AH459" s="5" t="s">
        <v>2179</v>
      </c>
      <c r="AI459" s="5" t="s">
        <v>73</v>
      </c>
      <c r="AJ459" s="5">
        <v>0</v>
      </c>
      <c r="AK459" s="5">
        <v>0</v>
      </c>
      <c r="AL459" s="5">
        <v>0</v>
      </c>
      <c r="AM459" s="5">
        <v>0</v>
      </c>
      <c r="AN459" s="5">
        <v>4</v>
      </c>
      <c r="AO459" s="5">
        <v>1626</v>
      </c>
      <c r="AP459" s="5">
        <v>4.5419999999999998</v>
      </c>
      <c r="AQ459" s="5" t="s">
        <v>713</v>
      </c>
      <c r="AR459" s="5" t="s">
        <v>1104</v>
      </c>
      <c r="AS459" s="5" t="s">
        <v>713</v>
      </c>
      <c r="AT459" s="6">
        <v>44130</v>
      </c>
      <c r="AU459" s="5" t="s">
        <v>3774</v>
      </c>
      <c r="AV459" s="5">
        <v>32</v>
      </c>
      <c r="AW459" s="5" t="s">
        <v>3730</v>
      </c>
    </row>
    <row r="460" spans="1:49" x14ac:dyDescent="0.55000000000000004">
      <c r="A460" s="5" t="str">
        <f>HYPERLINK("https://www.infodis.net/philips/net/Shipment/Details?InfodisNumber=1494108&amp;DomainCode=PHILIPSM1", "1494108")</f>
        <v>1494108</v>
      </c>
      <c r="B460" s="5" t="s">
        <v>3837</v>
      </c>
      <c r="C460" s="5" t="s">
        <v>3659</v>
      </c>
      <c r="D460" s="5" t="s">
        <v>3660</v>
      </c>
      <c r="E460" s="5" t="s">
        <v>3659</v>
      </c>
      <c r="F460" s="5" t="s">
        <v>2445</v>
      </c>
      <c r="G460" s="5" t="s">
        <v>3662</v>
      </c>
      <c r="H460" s="5" t="s">
        <v>180</v>
      </c>
      <c r="I460" s="5" t="s">
        <v>2057</v>
      </c>
      <c r="J460" s="5" t="s">
        <v>2607</v>
      </c>
      <c r="K460" s="5" t="s">
        <v>1037</v>
      </c>
      <c r="L460" s="5" t="s">
        <v>132</v>
      </c>
      <c r="M460" s="5" t="s">
        <v>60</v>
      </c>
      <c r="N460" s="5"/>
      <c r="O460" s="5"/>
      <c r="P460" s="5" t="s">
        <v>3663</v>
      </c>
      <c r="Q460" s="5" t="s">
        <v>3838</v>
      </c>
      <c r="R460" s="5" t="s">
        <v>1040</v>
      </c>
      <c r="S460" s="6">
        <v>44076</v>
      </c>
      <c r="T460" s="6">
        <v>44076</v>
      </c>
      <c r="U460" s="6">
        <v>44084</v>
      </c>
      <c r="V460" s="6">
        <v>44079</v>
      </c>
      <c r="W460" s="6">
        <v>44086</v>
      </c>
      <c r="X460" s="5"/>
      <c r="Y460" s="5" t="s">
        <v>2387</v>
      </c>
      <c r="Z460" s="5" t="s">
        <v>2387</v>
      </c>
      <c r="AA460" s="5" t="s">
        <v>2387</v>
      </c>
      <c r="AB460" s="5" t="s">
        <v>67</v>
      </c>
      <c r="AC460" s="5" t="s">
        <v>67</v>
      </c>
      <c r="AD460" s="5" t="s">
        <v>67</v>
      </c>
      <c r="AE460" s="5"/>
      <c r="AF460" s="5" t="s">
        <v>2179</v>
      </c>
      <c r="AG460" s="5" t="s">
        <v>2180</v>
      </c>
      <c r="AH460" s="5" t="s">
        <v>2179</v>
      </c>
      <c r="AI460" s="5" t="s">
        <v>605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63.5</v>
      </c>
      <c r="AP460" s="5">
        <v>0.80900000000000005</v>
      </c>
      <c r="AQ460" s="5" t="s">
        <v>713</v>
      </c>
      <c r="AR460" s="5" t="s">
        <v>1104</v>
      </c>
      <c r="AS460" s="5" t="s">
        <v>713</v>
      </c>
      <c r="AT460" s="6">
        <v>44127</v>
      </c>
      <c r="AU460" s="5" t="s">
        <v>3664</v>
      </c>
      <c r="AV460" s="5">
        <v>35</v>
      </c>
      <c r="AW460" s="5" t="s">
        <v>3665</v>
      </c>
    </row>
    <row r="461" spans="1:49" x14ac:dyDescent="0.55000000000000004">
      <c r="A461" s="5" t="str">
        <f>HYPERLINK("https://www.infodis.net/philips/net/Shipment/Details?InfodisNumber=4520198&amp;DomainCode=DAP", "4520198")</f>
        <v>4520198</v>
      </c>
      <c r="B461" s="5" t="s">
        <v>3839</v>
      </c>
      <c r="C461" s="5" t="s">
        <v>2438</v>
      </c>
      <c r="D461" s="5" t="s">
        <v>2439</v>
      </c>
      <c r="E461" s="5" t="s">
        <v>2438</v>
      </c>
      <c r="F461" s="5" t="s">
        <v>77</v>
      </c>
      <c r="G461" s="5" t="s">
        <v>2440</v>
      </c>
      <c r="H461" s="5" t="s">
        <v>79</v>
      </c>
      <c r="I461" s="5" t="s">
        <v>97</v>
      </c>
      <c r="J461" s="5" t="s">
        <v>2141</v>
      </c>
      <c r="K461" s="5" t="s">
        <v>82</v>
      </c>
      <c r="L461" s="5" t="s">
        <v>83</v>
      </c>
      <c r="M461" s="5" t="s">
        <v>84</v>
      </c>
      <c r="N461" s="5"/>
      <c r="O461" s="5"/>
      <c r="P461" s="5" t="s">
        <v>2441</v>
      </c>
      <c r="Q461" s="5" t="s">
        <v>3840</v>
      </c>
      <c r="R461" s="5" t="s">
        <v>87</v>
      </c>
      <c r="S461" s="6">
        <v>44097</v>
      </c>
      <c r="T461" s="6">
        <v>44099</v>
      </c>
      <c r="U461" s="5"/>
      <c r="V461" s="6">
        <v>44102</v>
      </c>
      <c r="W461" s="6">
        <v>44118</v>
      </c>
      <c r="X461" s="5"/>
      <c r="Y461" s="5" t="s">
        <v>2411</v>
      </c>
      <c r="Z461" s="5" t="s">
        <v>2411</v>
      </c>
      <c r="AA461" s="5" t="s">
        <v>2411</v>
      </c>
      <c r="AB461" s="5" t="s">
        <v>67</v>
      </c>
      <c r="AC461" s="5" t="s">
        <v>67</v>
      </c>
      <c r="AD461" s="5" t="s">
        <v>67</v>
      </c>
      <c r="AE461" s="5"/>
      <c r="AF461" s="5" t="s">
        <v>2179</v>
      </c>
      <c r="AG461" s="5" t="s">
        <v>2180</v>
      </c>
      <c r="AH461" s="5" t="s">
        <v>2179</v>
      </c>
      <c r="AI461" s="5" t="s">
        <v>73</v>
      </c>
      <c r="AJ461" s="5">
        <v>0</v>
      </c>
      <c r="AK461" s="5">
        <v>0</v>
      </c>
      <c r="AL461" s="5">
        <v>0</v>
      </c>
      <c r="AM461" s="5">
        <v>0</v>
      </c>
      <c r="AN461" s="5">
        <v>7</v>
      </c>
      <c r="AO461" s="5">
        <v>1574</v>
      </c>
      <c r="AP461" s="5">
        <v>7.056</v>
      </c>
      <c r="AQ461" s="5" t="s">
        <v>713</v>
      </c>
      <c r="AR461" s="5" t="s">
        <v>1104</v>
      </c>
      <c r="AS461" s="5" t="s">
        <v>713</v>
      </c>
      <c r="AT461" s="6">
        <v>44124</v>
      </c>
      <c r="AU461" s="5" t="s">
        <v>3841</v>
      </c>
      <c r="AV461" s="5">
        <v>38</v>
      </c>
      <c r="AW461" s="5" t="s">
        <v>3842</v>
      </c>
    </row>
    <row r="462" spans="1:49" x14ac:dyDescent="0.55000000000000004">
      <c r="A462" s="5" t="str">
        <f>HYPERLINK("https://www.infodis.net/philips/net/Shipment/Details?InfodisNumber=4528606&amp;DomainCode=DAP", "4528606")</f>
        <v>4528606</v>
      </c>
      <c r="B462" s="5" t="s">
        <v>3843</v>
      </c>
      <c r="C462" s="5" t="s">
        <v>3717</v>
      </c>
      <c r="D462" s="5" t="s">
        <v>3718</v>
      </c>
      <c r="E462" s="5" t="s">
        <v>3717</v>
      </c>
      <c r="F462" s="5" t="s">
        <v>167</v>
      </c>
      <c r="G462" s="5" t="s">
        <v>3719</v>
      </c>
      <c r="H462" s="5" t="s">
        <v>180</v>
      </c>
      <c r="I462" s="5" t="s">
        <v>3720</v>
      </c>
      <c r="J462" s="5" t="s">
        <v>2405</v>
      </c>
      <c r="K462" s="5" t="s">
        <v>1125</v>
      </c>
      <c r="L462" s="5" t="s">
        <v>172</v>
      </c>
      <c r="M462" s="5" t="s">
        <v>60</v>
      </c>
      <c r="N462" s="5"/>
      <c r="O462" s="5"/>
      <c r="P462" s="5" t="s">
        <v>3721</v>
      </c>
      <c r="Q462" s="5" t="s">
        <v>3844</v>
      </c>
      <c r="R462" s="5" t="s">
        <v>1128</v>
      </c>
      <c r="S462" s="6">
        <v>44109</v>
      </c>
      <c r="T462" s="6">
        <v>44109</v>
      </c>
      <c r="U462" s="6">
        <v>44109</v>
      </c>
      <c r="V462" s="6">
        <v>44114</v>
      </c>
      <c r="W462" s="6">
        <v>44112</v>
      </c>
      <c r="X462" s="6">
        <v>44124</v>
      </c>
      <c r="Y462" s="5" t="s">
        <v>2411</v>
      </c>
      <c r="Z462" s="5" t="s">
        <v>2411</v>
      </c>
      <c r="AA462" s="5" t="s">
        <v>2411</v>
      </c>
      <c r="AB462" s="5" t="s">
        <v>67</v>
      </c>
      <c r="AC462" s="5" t="s">
        <v>67</v>
      </c>
      <c r="AD462" s="5" t="s">
        <v>67</v>
      </c>
      <c r="AE462" s="5"/>
      <c r="AF462" s="5" t="s">
        <v>2399</v>
      </c>
      <c r="AG462" s="5" t="s">
        <v>2400</v>
      </c>
      <c r="AH462" s="5" t="s">
        <v>2399</v>
      </c>
      <c r="AI462" s="5" t="s">
        <v>73</v>
      </c>
      <c r="AJ462" s="5">
        <v>0</v>
      </c>
      <c r="AK462" s="5">
        <v>0</v>
      </c>
      <c r="AL462" s="5">
        <v>0</v>
      </c>
      <c r="AM462" s="5">
        <v>0</v>
      </c>
      <c r="AN462" s="5">
        <v>1</v>
      </c>
      <c r="AO462" s="5">
        <v>605.54999999999995</v>
      </c>
      <c r="AP462" s="5">
        <v>1.528</v>
      </c>
      <c r="AQ462" s="5" t="s">
        <v>713</v>
      </c>
      <c r="AR462" s="5" t="s">
        <v>1104</v>
      </c>
      <c r="AS462" s="5" t="s">
        <v>713</v>
      </c>
      <c r="AT462" s="6">
        <v>44124</v>
      </c>
      <c r="AU462" s="5" t="s">
        <v>3723</v>
      </c>
      <c r="AV462" s="5">
        <v>38</v>
      </c>
      <c r="AW462" s="5" t="s">
        <v>3724</v>
      </c>
    </row>
    <row r="463" spans="1:49" x14ac:dyDescent="0.55000000000000004">
      <c r="A463" s="5" t="str">
        <f>HYPERLINK("https://www.infodis.net/philips/net/Shipment/Details?InfodisNumber=4519797&amp;DomainCode=DAP", "4519797")</f>
        <v>4519797</v>
      </c>
      <c r="B463" s="5" t="s">
        <v>3845</v>
      </c>
      <c r="C463" s="5" t="s">
        <v>2502</v>
      </c>
      <c r="D463" s="5" t="s">
        <v>2503</v>
      </c>
      <c r="E463" s="5" t="s">
        <v>2504</v>
      </c>
      <c r="F463" s="5" t="s">
        <v>2826</v>
      </c>
      <c r="G463" s="5" t="s">
        <v>1179</v>
      </c>
      <c r="H463" s="5" t="s">
        <v>180</v>
      </c>
      <c r="I463" s="5" t="s">
        <v>194</v>
      </c>
      <c r="J463" s="5" t="s">
        <v>2827</v>
      </c>
      <c r="K463" s="5" t="s">
        <v>2828</v>
      </c>
      <c r="L463" s="5" t="s">
        <v>357</v>
      </c>
      <c r="M463" s="5" t="s">
        <v>358</v>
      </c>
      <c r="N463" s="5"/>
      <c r="O463" s="5"/>
      <c r="P463" s="5" t="s">
        <v>1181</v>
      </c>
      <c r="Q463" s="5"/>
      <c r="R463" s="5" t="s">
        <v>526</v>
      </c>
      <c r="S463" s="6">
        <v>44096</v>
      </c>
      <c r="T463" s="6">
        <v>44096</v>
      </c>
      <c r="U463" s="5"/>
      <c r="V463" s="6">
        <v>44097</v>
      </c>
      <c r="W463" s="5"/>
      <c r="X463" s="5"/>
      <c r="Y463" s="5" t="s">
        <v>2476</v>
      </c>
      <c r="Z463" s="5" t="s">
        <v>2476</v>
      </c>
      <c r="AA463" s="5" t="s">
        <v>2476</v>
      </c>
      <c r="AB463" s="5" t="s">
        <v>67</v>
      </c>
      <c r="AC463" s="5" t="s">
        <v>67</v>
      </c>
      <c r="AD463" s="5" t="s">
        <v>67</v>
      </c>
      <c r="AE463" s="5"/>
      <c r="AF463" s="5" t="s">
        <v>2829</v>
      </c>
      <c r="AG463" s="5" t="s">
        <v>2830</v>
      </c>
      <c r="AH463" s="5" t="s">
        <v>2829</v>
      </c>
      <c r="AI463" s="5" t="s">
        <v>73</v>
      </c>
      <c r="AJ463" s="5">
        <v>0</v>
      </c>
      <c r="AK463" s="5">
        <v>0</v>
      </c>
      <c r="AL463" s="5">
        <v>0</v>
      </c>
      <c r="AM463" s="5">
        <v>0</v>
      </c>
      <c r="AN463" s="5">
        <v>7</v>
      </c>
      <c r="AO463" s="5">
        <v>1045</v>
      </c>
      <c r="AP463" s="5">
        <v>9.8510000000000009</v>
      </c>
      <c r="AQ463" s="5" t="s">
        <v>713</v>
      </c>
      <c r="AR463" s="5" t="s">
        <v>1104</v>
      </c>
      <c r="AS463" s="5"/>
      <c r="AT463" s="5"/>
      <c r="AU463" s="5"/>
      <c r="AV463" s="5">
        <v>-1</v>
      </c>
      <c r="AW463" s="5" t="s">
        <v>1110</v>
      </c>
    </row>
    <row r="464" spans="1:49" x14ac:dyDescent="0.55000000000000004">
      <c r="A464" s="5" t="str">
        <f>HYPERLINK("https://www.infodis.net/philips/net/Shipment/Details?InfodisNumber=1494116&amp;DomainCode=PHILIPSM1", "1494116")</f>
        <v>1494116</v>
      </c>
      <c r="B464" s="5" t="s">
        <v>3846</v>
      </c>
      <c r="C464" s="5" t="s">
        <v>2353</v>
      </c>
      <c r="D464" s="5" t="s">
        <v>2354</v>
      </c>
      <c r="E464" s="5" t="s">
        <v>2355</v>
      </c>
      <c r="F464" s="5" t="s">
        <v>3847</v>
      </c>
      <c r="G464" s="5" t="s">
        <v>667</v>
      </c>
      <c r="H464" s="5" t="s">
        <v>79</v>
      </c>
      <c r="I464" s="5" t="s">
        <v>1813</v>
      </c>
      <c r="J464" s="5" t="s">
        <v>293</v>
      </c>
      <c r="K464" s="5" t="s">
        <v>937</v>
      </c>
      <c r="L464" s="5" t="s">
        <v>938</v>
      </c>
      <c r="M464" s="5" t="s">
        <v>84</v>
      </c>
      <c r="N464" s="5"/>
      <c r="O464" s="5"/>
      <c r="P464" s="5" t="s">
        <v>1853</v>
      </c>
      <c r="Q464" s="5"/>
      <c r="R464" s="5" t="s">
        <v>2517</v>
      </c>
      <c r="S464" s="6">
        <v>44076</v>
      </c>
      <c r="T464" s="6">
        <v>44077</v>
      </c>
      <c r="U464" s="5"/>
      <c r="V464" s="6">
        <v>44080</v>
      </c>
      <c r="W464" s="5"/>
      <c r="X464" s="5"/>
      <c r="Y464" s="5" t="s">
        <v>3615</v>
      </c>
      <c r="Z464" s="5" t="s">
        <v>3615</v>
      </c>
      <c r="AA464" s="5" t="s">
        <v>603</v>
      </c>
      <c r="AB464" s="5" t="s">
        <v>67</v>
      </c>
      <c r="AC464" s="5" t="s">
        <v>67</v>
      </c>
      <c r="AD464" s="5" t="s">
        <v>68</v>
      </c>
      <c r="AE464" s="5"/>
      <c r="AF464" s="5" t="s">
        <v>2179</v>
      </c>
      <c r="AG464" s="5" t="s">
        <v>2180</v>
      </c>
      <c r="AH464" s="5" t="s">
        <v>2179</v>
      </c>
      <c r="AI464" s="5" t="s">
        <v>605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108.5</v>
      </c>
      <c r="AP464" s="5">
        <v>1.3280000000000001</v>
      </c>
      <c r="AQ464" s="5" t="s">
        <v>713</v>
      </c>
      <c r="AR464" s="5" t="s">
        <v>1104</v>
      </c>
      <c r="AS464" s="5" t="s">
        <v>713</v>
      </c>
      <c r="AT464" s="5"/>
      <c r="AU464" s="5"/>
      <c r="AV464" s="5">
        <v>-1</v>
      </c>
      <c r="AW464" s="5" t="s">
        <v>3848</v>
      </c>
    </row>
    <row r="465" spans="1:49" x14ac:dyDescent="0.55000000000000004">
      <c r="A465" s="5" t="str">
        <f>HYPERLINK("https://www.infodis.net/philips/net/Shipment/Details?InfodisNumber=1494139&amp;DomainCode=PHILIPSM1", "1494139")</f>
        <v>1494139</v>
      </c>
      <c r="B465" s="5" t="s">
        <v>3849</v>
      </c>
      <c r="C465" s="5" t="s">
        <v>3659</v>
      </c>
      <c r="D465" s="5" t="s">
        <v>3660</v>
      </c>
      <c r="E465" s="5" t="s">
        <v>3659</v>
      </c>
      <c r="F465" s="5" t="s">
        <v>3086</v>
      </c>
      <c r="G465" s="5" t="s">
        <v>3662</v>
      </c>
      <c r="H465" s="5" t="s">
        <v>180</v>
      </c>
      <c r="I465" s="5" t="s">
        <v>2057</v>
      </c>
      <c r="J465" s="5" t="s">
        <v>2607</v>
      </c>
      <c r="K465" s="5" t="s">
        <v>1380</v>
      </c>
      <c r="L465" s="5" t="s">
        <v>132</v>
      </c>
      <c r="M465" s="5" t="s">
        <v>60</v>
      </c>
      <c r="N465" s="5"/>
      <c r="O465" s="5"/>
      <c r="P465" s="5" t="s">
        <v>3663</v>
      </c>
      <c r="Q465" s="5" t="s">
        <v>3850</v>
      </c>
      <c r="R465" s="5" t="s">
        <v>2609</v>
      </c>
      <c r="S465" s="6">
        <v>44076</v>
      </c>
      <c r="T465" s="6">
        <v>44076</v>
      </c>
      <c r="U465" s="6">
        <v>44095</v>
      </c>
      <c r="V465" s="6">
        <v>44079</v>
      </c>
      <c r="W465" s="6">
        <v>44100</v>
      </c>
      <c r="X465" s="5"/>
      <c r="Y465" s="5" t="s">
        <v>2387</v>
      </c>
      <c r="Z465" s="5" t="s">
        <v>2387</v>
      </c>
      <c r="AA465" s="5" t="s">
        <v>2387</v>
      </c>
      <c r="AB465" s="5" t="s">
        <v>67</v>
      </c>
      <c r="AC465" s="5" t="s">
        <v>67</v>
      </c>
      <c r="AD465" s="5" t="s">
        <v>67</v>
      </c>
      <c r="AE465" s="5"/>
      <c r="AF465" s="5" t="s">
        <v>2179</v>
      </c>
      <c r="AG465" s="5" t="s">
        <v>2180</v>
      </c>
      <c r="AH465" s="5" t="s">
        <v>2179</v>
      </c>
      <c r="AI465" s="5" t="s">
        <v>605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10.8</v>
      </c>
      <c r="AP465" s="5">
        <v>9.5000000000000001E-2</v>
      </c>
      <c r="AQ465" s="5" t="s">
        <v>713</v>
      </c>
      <c r="AR465" s="5" t="s">
        <v>1104</v>
      </c>
      <c r="AS465" s="5" t="s">
        <v>713</v>
      </c>
      <c r="AT465" s="6">
        <v>44127</v>
      </c>
      <c r="AU465" s="5" t="s">
        <v>3664</v>
      </c>
      <c r="AV465" s="5">
        <v>35</v>
      </c>
      <c r="AW465" s="5" t="s">
        <v>3665</v>
      </c>
    </row>
    <row r="466" spans="1:49" x14ac:dyDescent="0.55000000000000004">
      <c r="A466" s="5" t="str">
        <f>HYPERLINK("https://www.infodis.net/philips/net/Shipment/Details?InfodisNumber=1494157&amp;DomainCode=PHILIPSM1", "1494157")</f>
        <v>1494157</v>
      </c>
      <c r="B466" s="5" t="s">
        <v>3851</v>
      </c>
      <c r="C466" s="5" t="s">
        <v>3659</v>
      </c>
      <c r="D466" s="5" t="s">
        <v>3660</v>
      </c>
      <c r="E466" s="5" t="s">
        <v>3659</v>
      </c>
      <c r="F466" s="5" t="s">
        <v>3086</v>
      </c>
      <c r="G466" s="5" t="s">
        <v>3662</v>
      </c>
      <c r="H466" s="5" t="s">
        <v>180</v>
      </c>
      <c r="I466" s="5" t="s">
        <v>2057</v>
      </c>
      <c r="J466" s="5" t="s">
        <v>2607</v>
      </c>
      <c r="K466" s="5" t="s">
        <v>1380</v>
      </c>
      <c r="L466" s="5" t="s">
        <v>132</v>
      </c>
      <c r="M466" s="5" t="s">
        <v>60</v>
      </c>
      <c r="N466" s="5"/>
      <c r="O466" s="5"/>
      <c r="P466" s="5" t="s">
        <v>3663</v>
      </c>
      <c r="Q466" s="5" t="s">
        <v>3852</v>
      </c>
      <c r="R466" s="5" t="s">
        <v>2609</v>
      </c>
      <c r="S466" s="6">
        <v>44076</v>
      </c>
      <c r="T466" s="6">
        <v>44076</v>
      </c>
      <c r="U466" s="6">
        <v>44095</v>
      </c>
      <c r="V466" s="6">
        <v>44079</v>
      </c>
      <c r="W466" s="6">
        <v>44100</v>
      </c>
      <c r="X466" s="5"/>
      <c r="Y466" s="5" t="s">
        <v>2387</v>
      </c>
      <c r="Z466" s="5" t="s">
        <v>2387</v>
      </c>
      <c r="AA466" s="5" t="s">
        <v>2387</v>
      </c>
      <c r="AB466" s="5" t="s">
        <v>67</v>
      </c>
      <c r="AC466" s="5" t="s">
        <v>67</v>
      </c>
      <c r="AD466" s="5" t="s">
        <v>67</v>
      </c>
      <c r="AE466" s="5"/>
      <c r="AF466" s="5" t="s">
        <v>2179</v>
      </c>
      <c r="AG466" s="5" t="s">
        <v>2180</v>
      </c>
      <c r="AH466" s="5" t="s">
        <v>2179</v>
      </c>
      <c r="AI466" s="5" t="s">
        <v>605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1</v>
      </c>
      <c r="AP466" s="5">
        <v>2.5999999999999999E-2</v>
      </c>
      <c r="AQ466" s="5" t="s">
        <v>713</v>
      </c>
      <c r="AR466" s="5" t="s">
        <v>1104</v>
      </c>
      <c r="AS466" s="5" t="s">
        <v>713</v>
      </c>
      <c r="AT466" s="6">
        <v>44127</v>
      </c>
      <c r="AU466" s="5" t="s">
        <v>3664</v>
      </c>
      <c r="AV466" s="5">
        <v>35</v>
      </c>
      <c r="AW466" s="5" t="s">
        <v>3665</v>
      </c>
    </row>
    <row r="467" spans="1:49" x14ac:dyDescent="0.55000000000000004">
      <c r="A467" s="5" t="str">
        <f>HYPERLINK("https://www.infodis.net/philips/net/Shipment/Details?InfodisNumber=4439183&amp;DomainCode=DAP", "4439183")</f>
        <v>4439183</v>
      </c>
      <c r="B467" s="5" t="s">
        <v>3853</v>
      </c>
      <c r="C467" s="5" t="s">
        <v>3717</v>
      </c>
      <c r="D467" s="5" t="s">
        <v>3718</v>
      </c>
      <c r="E467" s="5" t="s">
        <v>3717</v>
      </c>
      <c r="F467" s="5" t="s">
        <v>167</v>
      </c>
      <c r="G467" s="5" t="s">
        <v>3719</v>
      </c>
      <c r="H467" s="5" t="s">
        <v>180</v>
      </c>
      <c r="I467" s="5" t="s">
        <v>3854</v>
      </c>
      <c r="J467" s="5" t="s">
        <v>2405</v>
      </c>
      <c r="K467" s="5" t="s">
        <v>3855</v>
      </c>
      <c r="L467" s="5" t="s">
        <v>172</v>
      </c>
      <c r="M467" s="5" t="s">
        <v>60</v>
      </c>
      <c r="N467" s="5"/>
      <c r="O467" s="5"/>
      <c r="P467" s="5" t="s">
        <v>3721</v>
      </c>
      <c r="Q467" s="5" t="s">
        <v>3856</v>
      </c>
      <c r="R467" s="5" t="s">
        <v>174</v>
      </c>
      <c r="S467" s="6">
        <v>43963</v>
      </c>
      <c r="T467" s="6">
        <v>44140</v>
      </c>
      <c r="U467" s="6">
        <v>43962</v>
      </c>
      <c r="V467" s="6">
        <v>44143</v>
      </c>
      <c r="W467" s="6">
        <v>43968</v>
      </c>
      <c r="X467" s="6">
        <v>43971</v>
      </c>
      <c r="Y467" s="5" t="s">
        <v>2411</v>
      </c>
      <c r="Z467" s="5" t="s">
        <v>2411</v>
      </c>
      <c r="AA467" s="5" t="s">
        <v>2411</v>
      </c>
      <c r="AB467" s="5" t="s">
        <v>67</v>
      </c>
      <c r="AC467" s="5" t="s">
        <v>67</v>
      </c>
      <c r="AD467" s="5" t="s">
        <v>67</v>
      </c>
      <c r="AE467" s="5"/>
      <c r="AF467" s="5" t="s">
        <v>2179</v>
      </c>
      <c r="AG467" s="5" t="s">
        <v>2180</v>
      </c>
      <c r="AH467" s="5" t="s">
        <v>2179</v>
      </c>
      <c r="AI467" s="5" t="s">
        <v>73</v>
      </c>
      <c r="AJ467" s="5">
        <v>0</v>
      </c>
      <c r="AK467" s="5">
        <v>0</v>
      </c>
      <c r="AL467" s="5">
        <v>0</v>
      </c>
      <c r="AM467" s="5">
        <v>0</v>
      </c>
      <c r="AN467" s="5">
        <v>1</v>
      </c>
      <c r="AO467" s="5">
        <v>709.87</v>
      </c>
      <c r="AP467" s="5">
        <v>2.0920000000000001</v>
      </c>
      <c r="AQ467" s="5" t="s">
        <v>713</v>
      </c>
      <c r="AR467" s="5" t="s">
        <v>1104</v>
      </c>
      <c r="AS467" s="5"/>
      <c r="AT467" s="5"/>
      <c r="AU467" s="5"/>
      <c r="AV467" s="5">
        <v>-1</v>
      </c>
      <c r="AW467" s="5" t="s">
        <v>3857</v>
      </c>
    </row>
    <row r="468" spans="1:49" x14ac:dyDescent="0.55000000000000004">
      <c r="A468" s="5" t="str">
        <f>HYPERLINK("https://www.infodis.net/philips/net/Shipment/Details?InfodisNumber=4518563&amp;DomainCode=DAP", "4518563")</f>
        <v>4518563</v>
      </c>
      <c r="B468" s="5" t="s">
        <v>3858</v>
      </c>
      <c r="C468" s="5" t="s">
        <v>3267</v>
      </c>
      <c r="D468" s="5" t="s">
        <v>3268</v>
      </c>
      <c r="E468" s="5" t="s">
        <v>304</v>
      </c>
      <c r="F468" s="5" t="s">
        <v>393</v>
      </c>
      <c r="G468" s="5" t="s">
        <v>3269</v>
      </c>
      <c r="H468" s="5" t="s">
        <v>55</v>
      </c>
      <c r="I468" s="5" t="s">
        <v>2367</v>
      </c>
      <c r="J468" s="5" t="s">
        <v>268</v>
      </c>
      <c r="K468" s="5" t="s">
        <v>3270</v>
      </c>
      <c r="L468" s="5" t="s">
        <v>267</v>
      </c>
      <c r="M468" s="5" t="s">
        <v>84</v>
      </c>
      <c r="N468" s="5"/>
      <c r="O468" s="5"/>
      <c r="P468" s="5" t="s">
        <v>3271</v>
      </c>
      <c r="Q468" s="5"/>
      <c r="R468" s="5" t="s">
        <v>3272</v>
      </c>
      <c r="S468" s="6">
        <v>44095</v>
      </c>
      <c r="T468" s="6">
        <v>44096</v>
      </c>
      <c r="U468" s="5"/>
      <c r="V468" s="6">
        <v>44099</v>
      </c>
      <c r="W468" s="5"/>
      <c r="X468" s="5"/>
      <c r="Y468" s="5" t="s">
        <v>2411</v>
      </c>
      <c r="Z468" s="5" t="s">
        <v>2411</v>
      </c>
      <c r="AA468" s="5" t="s">
        <v>2411</v>
      </c>
      <c r="AB468" s="5" t="s">
        <v>67</v>
      </c>
      <c r="AC468" s="5" t="s">
        <v>67</v>
      </c>
      <c r="AD468" s="5" t="s">
        <v>67</v>
      </c>
      <c r="AE468" s="5"/>
      <c r="AF468" s="5" t="s">
        <v>2179</v>
      </c>
      <c r="AG468" s="5" t="s">
        <v>2180</v>
      </c>
      <c r="AH468" s="5" t="s">
        <v>2179</v>
      </c>
      <c r="AI468" s="5" t="s">
        <v>73</v>
      </c>
      <c r="AJ468" s="5">
        <v>0</v>
      </c>
      <c r="AK468" s="5">
        <v>0</v>
      </c>
      <c r="AL468" s="5">
        <v>0</v>
      </c>
      <c r="AM468" s="5">
        <v>0</v>
      </c>
      <c r="AN468" s="5">
        <v>7</v>
      </c>
      <c r="AO468" s="5">
        <v>3087</v>
      </c>
      <c r="AP468" s="5">
        <v>7.93</v>
      </c>
      <c r="AQ468" s="5" t="s">
        <v>713</v>
      </c>
      <c r="AR468" s="5" t="s">
        <v>1104</v>
      </c>
      <c r="AS468" s="5" t="s">
        <v>713</v>
      </c>
      <c r="AT468" s="6">
        <v>44125</v>
      </c>
      <c r="AU468" s="5" t="s">
        <v>3704</v>
      </c>
      <c r="AV468" s="5">
        <v>37</v>
      </c>
      <c r="AW468" s="5" t="s">
        <v>3705</v>
      </c>
    </row>
    <row r="469" spans="1:49" x14ac:dyDescent="0.55000000000000004">
      <c r="A469" s="5" t="str">
        <f>HYPERLINK("https://www.infodis.net/philips/net/Shipment/Details?InfodisNumber=1511803&amp;DomainCode=PHILIPSM1", "1511803")</f>
        <v>1511803</v>
      </c>
      <c r="B469" s="5" t="s">
        <v>3859</v>
      </c>
      <c r="C469" s="5" t="s">
        <v>2491</v>
      </c>
      <c r="D469" s="5" t="s">
        <v>2492</v>
      </c>
      <c r="E469" s="5" t="s">
        <v>2491</v>
      </c>
      <c r="F469" s="5" t="s">
        <v>3860</v>
      </c>
      <c r="G469" s="5" t="s">
        <v>1431</v>
      </c>
      <c r="H469" s="5" t="s">
        <v>180</v>
      </c>
      <c r="I469" s="5" t="s">
        <v>2494</v>
      </c>
      <c r="J469" s="5" t="s">
        <v>2308</v>
      </c>
      <c r="K469" s="5" t="s">
        <v>3115</v>
      </c>
      <c r="L469" s="5" t="s">
        <v>2134</v>
      </c>
      <c r="M469" s="5" t="s">
        <v>60</v>
      </c>
      <c r="N469" s="5"/>
      <c r="O469" s="5"/>
      <c r="P469" s="5" t="s">
        <v>1434</v>
      </c>
      <c r="Q469" s="5" t="s">
        <v>3861</v>
      </c>
      <c r="R469" s="5" t="s">
        <v>3862</v>
      </c>
      <c r="S469" s="6">
        <v>44093</v>
      </c>
      <c r="T469" s="6">
        <v>44095</v>
      </c>
      <c r="U469" s="6">
        <v>44098</v>
      </c>
      <c r="V469" s="6">
        <v>44096</v>
      </c>
      <c r="W469" s="6">
        <v>44104</v>
      </c>
      <c r="X469" s="5"/>
      <c r="Y469" s="5" t="s">
        <v>2387</v>
      </c>
      <c r="Z469" s="5" t="s">
        <v>2387</v>
      </c>
      <c r="AA469" s="5" t="s">
        <v>603</v>
      </c>
      <c r="AB469" s="5" t="s">
        <v>67</v>
      </c>
      <c r="AC469" s="5" t="s">
        <v>67</v>
      </c>
      <c r="AD469" s="5" t="s">
        <v>68</v>
      </c>
      <c r="AE469" s="5"/>
      <c r="AF469" s="5" t="s">
        <v>2610</v>
      </c>
      <c r="AG469" s="5" t="s">
        <v>2611</v>
      </c>
      <c r="AH469" s="5" t="s">
        <v>2610</v>
      </c>
      <c r="AI469" s="5" t="s">
        <v>605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2.9</v>
      </c>
      <c r="AP469" s="5">
        <v>0.06</v>
      </c>
      <c r="AQ469" s="5" t="s">
        <v>713</v>
      </c>
      <c r="AR469" s="5" t="s">
        <v>1104</v>
      </c>
      <c r="AS469" s="5"/>
      <c r="AT469" s="5"/>
      <c r="AU469" s="5"/>
      <c r="AV469" s="5">
        <v>-1</v>
      </c>
      <c r="AW469" s="5" t="s">
        <v>3752</v>
      </c>
    </row>
    <row r="470" spans="1:49" x14ac:dyDescent="0.55000000000000004">
      <c r="A470" s="5" t="str">
        <f>HYPERLINK("https://www.infodis.net/philips/net/Shipment/Details?InfodisNumber=1511801&amp;DomainCode=PHILIPSM1", "1511801")</f>
        <v>1511801</v>
      </c>
      <c r="B470" s="5" t="s">
        <v>3863</v>
      </c>
      <c r="C470" s="5" t="s">
        <v>2491</v>
      </c>
      <c r="D470" s="5" t="s">
        <v>2492</v>
      </c>
      <c r="E470" s="5" t="s">
        <v>2491</v>
      </c>
      <c r="F470" s="5" t="s">
        <v>2493</v>
      </c>
      <c r="G470" s="5" t="s">
        <v>1431</v>
      </c>
      <c r="H470" s="5" t="s">
        <v>180</v>
      </c>
      <c r="I470" s="5" t="s">
        <v>2494</v>
      </c>
      <c r="J470" s="5" t="s">
        <v>2495</v>
      </c>
      <c r="K470" s="5" t="s">
        <v>2496</v>
      </c>
      <c r="L470" s="5" t="s">
        <v>73</v>
      </c>
      <c r="M470" s="5" t="s">
        <v>60</v>
      </c>
      <c r="N470" s="5"/>
      <c r="O470" s="5"/>
      <c r="P470" s="5" t="s">
        <v>1434</v>
      </c>
      <c r="Q470" s="5" t="s">
        <v>3864</v>
      </c>
      <c r="R470" s="5" t="s">
        <v>2498</v>
      </c>
      <c r="S470" s="6">
        <v>44093</v>
      </c>
      <c r="T470" s="6">
        <v>44095</v>
      </c>
      <c r="U470" s="6">
        <v>44095</v>
      </c>
      <c r="V470" s="6">
        <v>44095</v>
      </c>
      <c r="W470" s="6">
        <v>44109</v>
      </c>
      <c r="X470" s="5"/>
      <c r="Y470" s="5" t="s">
        <v>2387</v>
      </c>
      <c r="Z470" s="5" t="s">
        <v>2387</v>
      </c>
      <c r="AA470" s="5" t="s">
        <v>603</v>
      </c>
      <c r="AB470" s="5" t="s">
        <v>67</v>
      </c>
      <c r="AC470" s="5" t="s">
        <v>67</v>
      </c>
      <c r="AD470" s="5" t="s">
        <v>68</v>
      </c>
      <c r="AE470" s="5"/>
      <c r="AF470" s="5" t="s">
        <v>2499</v>
      </c>
      <c r="AG470" s="5" t="s">
        <v>2500</v>
      </c>
      <c r="AH470" s="5" t="s">
        <v>2499</v>
      </c>
      <c r="AI470" s="5" t="s">
        <v>605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635.79999999999995</v>
      </c>
      <c r="AP470" s="5">
        <v>8.5069999999999997</v>
      </c>
      <c r="AQ470" s="5" t="s">
        <v>713</v>
      </c>
      <c r="AR470" s="5" t="s">
        <v>1104</v>
      </c>
      <c r="AS470" s="5"/>
      <c r="AT470" s="5"/>
      <c r="AU470" s="5"/>
      <c r="AV470" s="5">
        <v>-1</v>
      </c>
      <c r="AW470" s="5" t="s">
        <v>3752</v>
      </c>
    </row>
    <row r="471" spans="1:49" x14ac:dyDescent="0.55000000000000004">
      <c r="A471" s="5" t="str">
        <f>HYPERLINK("https://www.infodis.net/philips/net/Shipment/Details?InfodisNumber=1494115&amp;DomainCode=PHILIPSM1", "1494115")</f>
        <v>1494115</v>
      </c>
      <c r="B471" s="5" t="s">
        <v>3865</v>
      </c>
      <c r="C471" s="5" t="s">
        <v>2353</v>
      </c>
      <c r="D471" s="5" t="s">
        <v>2354</v>
      </c>
      <c r="E471" s="5" t="s">
        <v>2355</v>
      </c>
      <c r="F471" s="5" t="s">
        <v>3866</v>
      </c>
      <c r="G471" s="5" t="s">
        <v>667</v>
      </c>
      <c r="H471" s="5" t="s">
        <v>79</v>
      </c>
      <c r="I471" s="5" t="s">
        <v>1813</v>
      </c>
      <c r="J471" s="5" t="s">
        <v>2367</v>
      </c>
      <c r="K471" s="5" t="s">
        <v>3867</v>
      </c>
      <c r="L471" s="5" t="s">
        <v>55</v>
      </c>
      <c r="M471" s="5" t="s">
        <v>84</v>
      </c>
      <c r="N471" s="5"/>
      <c r="O471" s="5"/>
      <c r="P471" s="5" t="s">
        <v>1853</v>
      </c>
      <c r="Q471" s="5"/>
      <c r="R471" s="5" t="s">
        <v>3868</v>
      </c>
      <c r="S471" s="6">
        <v>44076</v>
      </c>
      <c r="T471" s="6">
        <v>44077</v>
      </c>
      <c r="U471" s="5"/>
      <c r="V471" s="6">
        <v>44080</v>
      </c>
      <c r="W471" s="5"/>
      <c r="X471" s="5"/>
      <c r="Y471" s="5" t="s">
        <v>3615</v>
      </c>
      <c r="Z471" s="5" t="s">
        <v>3615</v>
      </c>
      <c r="AA471" s="5" t="s">
        <v>603</v>
      </c>
      <c r="AB471" s="5" t="s">
        <v>67</v>
      </c>
      <c r="AC471" s="5" t="s">
        <v>67</v>
      </c>
      <c r="AD471" s="5" t="s">
        <v>68</v>
      </c>
      <c r="AE471" s="5"/>
      <c r="AF471" s="5" t="s">
        <v>2179</v>
      </c>
      <c r="AG471" s="5" t="s">
        <v>2180</v>
      </c>
      <c r="AH471" s="5" t="s">
        <v>2179</v>
      </c>
      <c r="AI471" s="5" t="s">
        <v>605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14.5</v>
      </c>
      <c r="AP471" s="5">
        <v>0.189</v>
      </c>
      <c r="AQ471" s="5" t="s">
        <v>713</v>
      </c>
      <c r="AR471" s="5" t="s">
        <v>1104</v>
      </c>
      <c r="AS471" s="5" t="s">
        <v>713</v>
      </c>
      <c r="AT471" s="5"/>
      <c r="AU471" s="5"/>
      <c r="AV471" s="5">
        <v>-1</v>
      </c>
      <c r="AW471" s="5" t="s">
        <v>3848</v>
      </c>
    </row>
    <row r="472" spans="1:49" x14ac:dyDescent="0.55000000000000004">
      <c r="A472" s="5" t="str">
        <f>HYPERLINK("https://www.infodis.net/philips/net/Shipment/Details?InfodisNumber=1529466&amp;DomainCode=PHILIPSM1", "1529466")</f>
        <v>1529466</v>
      </c>
      <c r="B472" s="5" t="s">
        <v>3869</v>
      </c>
      <c r="C472" s="5" t="s">
        <v>2080</v>
      </c>
      <c r="D472" s="5" t="s">
        <v>2081</v>
      </c>
      <c r="E472" s="5" t="s">
        <v>1428</v>
      </c>
      <c r="F472" s="5" t="s">
        <v>3870</v>
      </c>
      <c r="G472" s="5" t="s">
        <v>1430</v>
      </c>
      <c r="H472" s="5" t="s">
        <v>244</v>
      </c>
      <c r="I472" s="5" t="s">
        <v>2084</v>
      </c>
      <c r="J472" s="5" t="s">
        <v>3871</v>
      </c>
      <c r="K472" s="5" t="s">
        <v>3872</v>
      </c>
      <c r="L472" s="5" t="s">
        <v>125</v>
      </c>
      <c r="M472" s="5" t="s">
        <v>60</v>
      </c>
      <c r="N472" s="5"/>
      <c r="O472" s="5"/>
      <c r="P472" s="5" t="s">
        <v>1432</v>
      </c>
      <c r="Q472" s="5" t="s">
        <v>3873</v>
      </c>
      <c r="R472" s="5" t="s">
        <v>3874</v>
      </c>
      <c r="S472" s="6">
        <v>44110</v>
      </c>
      <c r="T472" s="6">
        <v>44110</v>
      </c>
      <c r="U472" s="6">
        <v>44112</v>
      </c>
      <c r="V472" s="6">
        <v>44115</v>
      </c>
      <c r="W472" s="6">
        <v>44115</v>
      </c>
      <c r="X472" s="5"/>
      <c r="Y472" s="5" t="s">
        <v>2387</v>
      </c>
      <c r="Z472" s="5" t="s">
        <v>2387</v>
      </c>
      <c r="AA472" s="5" t="s">
        <v>603</v>
      </c>
      <c r="AB472" s="5" t="s">
        <v>67</v>
      </c>
      <c r="AC472" s="5" t="s">
        <v>67</v>
      </c>
      <c r="AD472" s="5" t="s">
        <v>68</v>
      </c>
      <c r="AE472" s="5"/>
      <c r="AF472" s="5" t="s">
        <v>2399</v>
      </c>
      <c r="AG472" s="5" t="s">
        <v>2400</v>
      </c>
      <c r="AH472" s="5" t="s">
        <v>2399</v>
      </c>
      <c r="AI472" s="5" t="s">
        <v>605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174.1</v>
      </c>
      <c r="AP472" s="5">
        <v>1.133</v>
      </c>
      <c r="AQ472" s="5" t="s">
        <v>713</v>
      </c>
      <c r="AR472" s="5" t="s">
        <v>1104</v>
      </c>
      <c r="AS472" s="5"/>
      <c r="AT472" s="5"/>
      <c r="AU472" s="5"/>
      <c r="AV472" s="5">
        <v>-1</v>
      </c>
      <c r="AW472" s="5" t="s">
        <v>3752</v>
      </c>
    </row>
    <row r="473" spans="1:49" x14ac:dyDescent="0.55000000000000004">
      <c r="A473" s="5" t="str">
        <f>HYPERLINK("https://www.infodis.net/philips/net/Shipment/Details?InfodisNumber=1366321&amp;DomainCode=PHILIPSM1", "1366321")</f>
        <v>1366321</v>
      </c>
      <c r="B473" s="5" t="s">
        <v>3875</v>
      </c>
      <c r="C473" s="5" t="s">
        <v>2080</v>
      </c>
      <c r="D473" s="5" t="s">
        <v>2081</v>
      </c>
      <c r="E473" s="5" t="s">
        <v>2089</v>
      </c>
      <c r="F473" s="5" t="s">
        <v>3713</v>
      </c>
      <c r="G473" s="5" t="s">
        <v>1430</v>
      </c>
      <c r="H473" s="5" t="s">
        <v>244</v>
      </c>
      <c r="I473" s="5" t="s">
        <v>2084</v>
      </c>
      <c r="J473" s="5" t="s">
        <v>2357</v>
      </c>
      <c r="K473" s="5" t="s">
        <v>2248</v>
      </c>
      <c r="L473" s="5" t="s">
        <v>230</v>
      </c>
      <c r="M473" s="5" t="s">
        <v>84</v>
      </c>
      <c r="N473" s="5"/>
      <c r="O473" s="5"/>
      <c r="P473" s="5" t="s">
        <v>1432</v>
      </c>
      <c r="Q473" s="5" t="s">
        <v>3876</v>
      </c>
      <c r="R473" s="5" t="s">
        <v>2293</v>
      </c>
      <c r="S473" s="6">
        <v>43957</v>
      </c>
      <c r="T473" s="6">
        <v>43957</v>
      </c>
      <c r="U473" s="6">
        <v>43957</v>
      </c>
      <c r="V473" s="6">
        <v>43958</v>
      </c>
      <c r="W473" s="6">
        <v>43965</v>
      </c>
      <c r="X473" s="5"/>
      <c r="Y473" s="5" t="s">
        <v>2387</v>
      </c>
      <c r="Z473" s="5" t="s">
        <v>2387</v>
      </c>
      <c r="AA473" s="5" t="s">
        <v>603</v>
      </c>
      <c r="AB473" s="5" t="s">
        <v>67</v>
      </c>
      <c r="AC473" s="5" t="s">
        <v>67</v>
      </c>
      <c r="AD473" s="5" t="s">
        <v>68</v>
      </c>
      <c r="AE473" s="5"/>
      <c r="AF473" s="5" t="s">
        <v>2610</v>
      </c>
      <c r="AG473" s="5" t="s">
        <v>2611</v>
      </c>
      <c r="AH473" s="5" t="s">
        <v>2610</v>
      </c>
      <c r="AI473" s="5" t="s">
        <v>605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5.4</v>
      </c>
      <c r="AP473" s="5">
        <v>0.104</v>
      </c>
      <c r="AQ473" s="5" t="s">
        <v>713</v>
      </c>
      <c r="AR473" s="5" t="s">
        <v>1104</v>
      </c>
      <c r="AS473" s="5"/>
      <c r="AT473" s="5"/>
      <c r="AU473" s="5"/>
      <c r="AV473" s="5">
        <v>-1</v>
      </c>
      <c r="AW473" s="5" t="s">
        <v>3715</v>
      </c>
    </row>
    <row r="474" spans="1:49" x14ac:dyDescent="0.55000000000000004">
      <c r="A474" s="5" t="str">
        <f>HYPERLINK("https://www.infodis.net/philips/net/Shipment/Details?InfodisNumber=1530754&amp;DomainCode=PHILIPSM1", "1530754")</f>
        <v>1530754</v>
      </c>
      <c r="B474" s="5" t="s">
        <v>3877</v>
      </c>
      <c r="C474" s="5" t="s">
        <v>3659</v>
      </c>
      <c r="D474" s="5" t="s">
        <v>3660</v>
      </c>
      <c r="E474" s="5" t="s">
        <v>3659</v>
      </c>
      <c r="F474" s="5" t="s">
        <v>3696</v>
      </c>
      <c r="G474" s="5" t="s">
        <v>3662</v>
      </c>
      <c r="H474" s="5" t="s">
        <v>180</v>
      </c>
      <c r="I474" s="5" t="s">
        <v>2057</v>
      </c>
      <c r="J474" s="5" t="s">
        <v>2553</v>
      </c>
      <c r="K474" s="5" t="s">
        <v>3697</v>
      </c>
      <c r="L474" s="5" t="s">
        <v>846</v>
      </c>
      <c r="M474" s="5" t="s">
        <v>60</v>
      </c>
      <c r="N474" s="5"/>
      <c r="O474" s="5"/>
      <c r="P474" s="5" t="s">
        <v>3663</v>
      </c>
      <c r="Q474" s="5" t="s">
        <v>3878</v>
      </c>
      <c r="R474" s="5" t="s">
        <v>1557</v>
      </c>
      <c r="S474" s="6">
        <v>44110</v>
      </c>
      <c r="T474" s="6">
        <v>44110</v>
      </c>
      <c r="U474" s="6">
        <v>44110</v>
      </c>
      <c r="V474" s="6">
        <v>44113</v>
      </c>
      <c r="W474" s="6">
        <v>44119</v>
      </c>
      <c r="X474" s="5"/>
      <c r="Y474" s="5" t="s">
        <v>2387</v>
      </c>
      <c r="Z474" s="5" t="s">
        <v>2387</v>
      </c>
      <c r="AA474" s="5" t="s">
        <v>603</v>
      </c>
      <c r="AB474" s="5" t="s">
        <v>67</v>
      </c>
      <c r="AC474" s="5" t="s">
        <v>67</v>
      </c>
      <c r="AD474" s="5" t="s">
        <v>68</v>
      </c>
      <c r="AE474" s="5"/>
      <c r="AF474" s="5" t="s">
        <v>2179</v>
      </c>
      <c r="AG474" s="5" t="s">
        <v>2180</v>
      </c>
      <c r="AH474" s="5" t="s">
        <v>2179</v>
      </c>
      <c r="AI474" s="5" t="s">
        <v>605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69.599999999999994</v>
      </c>
      <c r="AP474" s="5">
        <v>0.60599999999999998</v>
      </c>
      <c r="AQ474" s="5" t="s">
        <v>713</v>
      </c>
      <c r="AR474" s="5" t="s">
        <v>1104</v>
      </c>
      <c r="AS474" s="5"/>
      <c r="AT474" s="5"/>
      <c r="AU474" s="5"/>
      <c r="AV474" s="5">
        <v>-1</v>
      </c>
      <c r="AW474" s="5" t="s">
        <v>1498</v>
      </c>
    </row>
    <row r="475" spans="1:49" x14ac:dyDescent="0.55000000000000004">
      <c r="A475" s="5" t="str">
        <f>HYPERLINK("https://www.infodis.net/philips/net/Shipment/Details?InfodisNumber=1550762&amp;DomainCode=PHILIPSM1", "1550762")</f>
        <v>1550762</v>
      </c>
      <c r="B475" s="5" t="s">
        <v>3879</v>
      </c>
      <c r="C475" s="5" t="s">
        <v>2491</v>
      </c>
      <c r="D475" s="5" t="s">
        <v>2492</v>
      </c>
      <c r="E475" s="5" t="s">
        <v>2491</v>
      </c>
      <c r="F475" s="5" t="s">
        <v>3754</v>
      </c>
      <c r="G475" s="5" t="s">
        <v>1431</v>
      </c>
      <c r="H475" s="5" t="s">
        <v>180</v>
      </c>
      <c r="I475" s="5" t="s">
        <v>2494</v>
      </c>
      <c r="J475" s="5" t="s">
        <v>3755</v>
      </c>
      <c r="K475" s="5" t="s">
        <v>3756</v>
      </c>
      <c r="L475" s="5" t="s">
        <v>3757</v>
      </c>
      <c r="M475" s="5" t="s">
        <v>60</v>
      </c>
      <c r="N475" s="5"/>
      <c r="O475" s="5"/>
      <c r="P475" s="5" t="s">
        <v>1434</v>
      </c>
      <c r="Q475" s="5" t="s">
        <v>3880</v>
      </c>
      <c r="R475" s="5" t="s">
        <v>2922</v>
      </c>
      <c r="S475" s="6">
        <v>44127</v>
      </c>
      <c r="T475" s="6">
        <v>44130</v>
      </c>
      <c r="U475" s="6">
        <v>44131</v>
      </c>
      <c r="V475" s="6">
        <v>44131</v>
      </c>
      <c r="W475" s="6">
        <v>44132</v>
      </c>
      <c r="X475" s="5"/>
      <c r="Y475" s="5" t="s">
        <v>2387</v>
      </c>
      <c r="Z475" s="5" t="s">
        <v>2387</v>
      </c>
      <c r="AA475" s="5" t="s">
        <v>603</v>
      </c>
      <c r="AB475" s="5" t="s">
        <v>67</v>
      </c>
      <c r="AC475" s="5" t="s">
        <v>67</v>
      </c>
      <c r="AD475" s="5" t="s">
        <v>68</v>
      </c>
      <c r="AE475" s="5"/>
      <c r="AF475" s="5" t="s">
        <v>2610</v>
      </c>
      <c r="AG475" s="5" t="s">
        <v>2611</v>
      </c>
      <c r="AH475" s="5" t="s">
        <v>2610</v>
      </c>
      <c r="AI475" s="5" t="s">
        <v>605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5</v>
      </c>
      <c r="AP475" s="5">
        <v>5.8000000000000003E-2</v>
      </c>
      <c r="AQ475" s="5" t="s">
        <v>713</v>
      </c>
      <c r="AR475" s="5" t="s">
        <v>1104</v>
      </c>
      <c r="AS475" s="5"/>
      <c r="AT475" s="5"/>
      <c r="AU475" s="5"/>
      <c r="AV475" s="5">
        <v>-1</v>
      </c>
      <c r="AW475" s="5" t="s">
        <v>3752</v>
      </c>
    </row>
    <row r="476" spans="1:49" x14ac:dyDescent="0.55000000000000004">
      <c r="A476" s="5" t="str">
        <f>HYPERLINK("https://www.infodis.net/philips/net/Shipment/Details?InfodisNumber=4540600&amp;DomainCode=DAP", "4540600")</f>
        <v>4540600</v>
      </c>
      <c r="B476" s="5" t="s">
        <v>3881</v>
      </c>
      <c r="C476" s="5" t="s">
        <v>2125</v>
      </c>
      <c r="D476" s="5" t="s">
        <v>2126</v>
      </c>
      <c r="E476" s="5" t="s">
        <v>393</v>
      </c>
      <c r="F476" s="5" t="s">
        <v>214</v>
      </c>
      <c r="G476" s="5" t="s">
        <v>394</v>
      </c>
      <c r="H476" s="5" t="s">
        <v>79</v>
      </c>
      <c r="I476" s="5" t="s">
        <v>587</v>
      </c>
      <c r="J476" s="5" t="s">
        <v>2367</v>
      </c>
      <c r="K476" s="5" t="s">
        <v>216</v>
      </c>
      <c r="L476" s="5" t="s">
        <v>55</v>
      </c>
      <c r="M476" s="5" t="s">
        <v>60</v>
      </c>
      <c r="N476" s="5"/>
      <c r="O476" s="5"/>
      <c r="P476" s="5" t="s">
        <v>398</v>
      </c>
      <c r="Q476" s="5" t="s">
        <v>3882</v>
      </c>
      <c r="R476" s="5" t="s">
        <v>222</v>
      </c>
      <c r="S476" s="6">
        <v>44127</v>
      </c>
      <c r="T476" s="6">
        <v>44131</v>
      </c>
      <c r="U476" s="5"/>
      <c r="V476" s="6">
        <v>44134</v>
      </c>
      <c r="W476" s="6">
        <v>44134</v>
      </c>
      <c r="X476" s="6">
        <v>44138</v>
      </c>
      <c r="Y476" s="5" t="s">
        <v>3291</v>
      </c>
      <c r="Z476" s="5" t="s">
        <v>2051</v>
      </c>
      <c r="AA476" s="5" t="s">
        <v>2051</v>
      </c>
      <c r="AB476" s="5" t="s">
        <v>67</v>
      </c>
      <c r="AC476" s="5" t="s">
        <v>67</v>
      </c>
      <c r="AD476" s="5" t="s">
        <v>67</v>
      </c>
      <c r="AE476" s="5"/>
      <c r="AF476" s="5" t="s">
        <v>2179</v>
      </c>
      <c r="AG476" s="5" t="s">
        <v>2180</v>
      </c>
      <c r="AH476" s="5" t="s">
        <v>2179</v>
      </c>
      <c r="AI476" s="5" t="s">
        <v>73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611</v>
      </c>
      <c r="AP476" s="5">
        <v>2.09</v>
      </c>
      <c r="AQ476" s="5" t="s">
        <v>713</v>
      </c>
      <c r="AR476" s="5" t="s">
        <v>1104</v>
      </c>
      <c r="AS476" s="5" t="s">
        <v>713</v>
      </c>
      <c r="AT476" s="6">
        <v>44130</v>
      </c>
      <c r="AU476" s="5" t="s">
        <v>3774</v>
      </c>
      <c r="AV476" s="5">
        <v>32</v>
      </c>
      <c r="AW476" s="5" t="s">
        <v>3730</v>
      </c>
    </row>
    <row r="477" spans="1:49" x14ac:dyDescent="0.55000000000000004">
      <c r="A477" s="5" t="str">
        <f>HYPERLINK("https://www.infodis.net/philips/net/Shipment/Details?InfodisNumber=4540383&amp;DomainCode=DAP", "4540383")</f>
        <v>4540383</v>
      </c>
      <c r="B477" s="5" t="s">
        <v>3883</v>
      </c>
      <c r="C477" s="5" t="s">
        <v>212</v>
      </c>
      <c r="D477" s="5" t="s">
        <v>213</v>
      </c>
      <c r="E477" s="5" t="s">
        <v>214</v>
      </c>
      <c r="F477" s="5" t="s">
        <v>2069</v>
      </c>
      <c r="G477" s="5" t="s">
        <v>216</v>
      </c>
      <c r="H477" s="5" t="s">
        <v>55</v>
      </c>
      <c r="I477" s="5" t="s">
        <v>2367</v>
      </c>
      <c r="J477" s="5" t="s">
        <v>293</v>
      </c>
      <c r="K477" s="5" t="s">
        <v>937</v>
      </c>
      <c r="L477" s="5" t="s">
        <v>938</v>
      </c>
      <c r="M477" s="5" t="s">
        <v>60</v>
      </c>
      <c r="N477" s="5"/>
      <c r="O477" s="5"/>
      <c r="P477" s="5" t="s">
        <v>2369</v>
      </c>
      <c r="Q477" s="5" t="s">
        <v>3884</v>
      </c>
      <c r="R477" s="5" t="s">
        <v>2424</v>
      </c>
      <c r="S477" s="6">
        <v>44126</v>
      </c>
      <c r="T477" s="6">
        <v>44127</v>
      </c>
      <c r="U477" s="6">
        <v>44127</v>
      </c>
      <c r="V477" s="6">
        <v>44130</v>
      </c>
      <c r="W477" s="5"/>
      <c r="X477" s="5"/>
      <c r="Y477" s="5" t="s">
        <v>2398</v>
      </c>
      <c r="Z477" s="5" t="s">
        <v>2398</v>
      </c>
      <c r="AA477" s="5" t="s">
        <v>2398</v>
      </c>
      <c r="AB477" s="5" t="s">
        <v>67</v>
      </c>
      <c r="AC477" s="5" t="s">
        <v>67</v>
      </c>
      <c r="AD477" s="5" t="s">
        <v>67</v>
      </c>
      <c r="AE477" s="5"/>
      <c r="AF477" s="5" t="s">
        <v>2179</v>
      </c>
      <c r="AG477" s="5" t="s">
        <v>2180</v>
      </c>
      <c r="AH477" s="5" t="s">
        <v>2179</v>
      </c>
      <c r="AI477" s="5" t="s">
        <v>73</v>
      </c>
      <c r="AJ477" s="5">
        <v>0</v>
      </c>
      <c r="AK477" s="5">
        <v>0</v>
      </c>
      <c r="AL477" s="5">
        <v>0</v>
      </c>
      <c r="AM477" s="5">
        <v>0</v>
      </c>
      <c r="AN477" s="5">
        <v>1</v>
      </c>
      <c r="AO477" s="5">
        <v>126</v>
      </c>
      <c r="AP477" s="5">
        <v>1.1519999999999999</v>
      </c>
      <c r="AQ477" s="5" t="s">
        <v>713</v>
      </c>
      <c r="AR477" s="5" t="s">
        <v>1104</v>
      </c>
      <c r="AS477" s="5" t="s">
        <v>713</v>
      </c>
      <c r="AT477" s="6">
        <v>44131</v>
      </c>
      <c r="AU477" s="5" t="s">
        <v>3885</v>
      </c>
      <c r="AV477" s="5">
        <v>31</v>
      </c>
      <c r="AW477" s="5" t="s">
        <v>3886</v>
      </c>
    </row>
    <row r="478" spans="1:49" x14ac:dyDescent="0.55000000000000004">
      <c r="A478" s="5" t="str">
        <f>HYPERLINK("https://www.infodis.net/philips/net/Shipment/Details?InfodisNumber=1547327&amp;DomainCode=PHILIPSM1", "1547327")</f>
        <v>1547327</v>
      </c>
      <c r="B478" s="5" t="s">
        <v>3887</v>
      </c>
      <c r="C478" s="5" t="s">
        <v>2491</v>
      </c>
      <c r="D478" s="5" t="s">
        <v>2492</v>
      </c>
      <c r="E478" s="5" t="s">
        <v>2491</v>
      </c>
      <c r="F478" s="5" t="s">
        <v>3748</v>
      </c>
      <c r="G478" s="5" t="s">
        <v>1431</v>
      </c>
      <c r="H478" s="5" t="s">
        <v>180</v>
      </c>
      <c r="I478" s="5" t="s">
        <v>2494</v>
      </c>
      <c r="J478" s="5" t="s">
        <v>1729</v>
      </c>
      <c r="K478" s="5" t="s">
        <v>3749</v>
      </c>
      <c r="L478" s="5" t="s">
        <v>1657</v>
      </c>
      <c r="M478" s="5" t="s">
        <v>60</v>
      </c>
      <c r="N478" s="5"/>
      <c r="O478" s="5"/>
      <c r="P478" s="5" t="s">
        <v>1434</v>
      </c>
      <c r="Q478" s="5" t="s">
        <v>3888</v>
      </c>
      <c r="R478" s="5" t="s">
        <v>3751</v>
      </c>
      <c r="S478" s="6">
        <v>44125</v>
      </c>
      <c r="T478" s="6">
        <v>44125</v>
      </c>
      <c r="U478" s="6">
        <v>44132</v>
      </c>
      <c r="V478" s="6">
        <v>44125</v>
      </c>
      <c r="W478" s="6">
        <v>44139</v>
      </c>
      <c r="X478" s="5"/>
      <c r="Y478" s="5" t="s">
        <v>2387</v>
      </c>
      <c r="Z478" s="5" t="s">
        <v>2387</v>
      </c>
      <c r="AA478" s="5" t="s">
        <v>603</v>
      </c>
      <c r="AB478" s="5" t="s">
        <v>67</v>
      </c>
      <c r="AC478" s="5" t="s">
        <v>67</v>
      </c>
      <c r="AD478" s="5" t="s">
        <v>68</v>
      </c>
      <c r="AE478" s="5"/>
      <c r="AF478" s="5" t="s">
        <v>2499</v>
      </c>
      <c r="AG478" s="5" t="s">
        <v>2500</v>
      </c>
      <c r="AH478" s="5" t="s">
        <v>2499</v>
      </c>
      <c r="AI478" s="5" t="s">
        <v>605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439.1</v>
      </c>
      <c r="AP478" s="5">
        <v>3.883</v>
      </c>
      <c r="AQ478" s="5" t="s">
        <v>713</v>
      </c>
      <c r="AR478" s="5" t="s">
        <v>1104</v>
      </c>
      <c r="AS478" s="5"/>
      <c r="AT478" s="5"/>
      <c r="AU478" s="5"/>
      <c r="AV478" s="5">
        <v>-1</v>
      </c>
      <c r="AW478" s="5" t="s">
        <v>3752</v>
      </c>
    </row>
    <row r="479" spans="1:49" x14ac:dyDescent="0.55000000000000004">
      <c r="A479" s="5" t="str">
        <f>HYPERLINK("https://www.infodis.net/philips/net/Shipment/Details?InfodisNumber=6216016&amp;DomainCode=PHILIPSR1", "6216016")</f>
        <v>6216016</v>
      </c>
      <c r="B479" s="5" t="s">
        <v>3889</v>
      </c>
      <c r="C479" s="5" t="s">
        <v>2426</v>
      </c>
      <c r="D479" s="5" t="s">
        <v>2427</v>
      </c>
      <c r="E479" s="5" t="s">
        <v>458</v>
      </c>
      <c r="F479" s="5" t="s">
        <v>2679</v>
      </c>
      <c r="G479" s="5" t="s">
        <v>610</v>
      </c>
      <c r="H479" s="5" t="s">
        <v>180</v>
      </c>
      <c r="I479" s="5" t="s">
        <v>652</v>
      </c>
      <c r="J479" s="5" t="s">
        <v>2495</v>
      </c>
      <c r="K479" s="5" t="s">
        <v>2496</v>
      </c>
      <c r="L479" s="5" t="s">
        <v>73</v>
      </c>
      <c r="M479" s="5" t="s">
        <v>84</v>
      </c>
      <c r="N479" s="5"/>
      <c r="O479" s="5"/>
      <c r="P479" s="5" t="s">
        <v>613</v>
      </c>
      <c r="Q479" s="5" t="s">
        <v>3890</v>
      </c>
      <c r="R479" s="5" t="s">
        <v>2495</v>
      </c>
      <c r="S479" s="6">
        <v>43871</v>
      </c>
      <c r="T479" s="6">
        <v>43872</v>
      </c>
      <c r="U479" s="6">
        <v>43871</v>
      </c>
      <c r="V479" s="6">
        <v>43873</v>
      </c>
      <c r="W479" s="6">
        <v>43877</v>
      </c>
      <c r="X479" s="5"/>
      <c r="Y479" s="5" t="s">
        <v>2476</v>
      </c>
      <c r="Z479" s="5" t="s">
        <v>2476</v>
      </c>
      <c r="AA479" s="5" t="s">
        <v>66</v>
      </c>
      <c r="AB479" s="5" t="s">
        <v>67</v>
      </c>
      <c r="AC479" s="5" t="s">
        <v>67</v>
      </c>
      <c r="AD479" s="5" t="s">
        <v>68</v>
      </c>
      <c r="AE479" s="5"/>
      <c r="AF479" s="5" t="s">
        <v>2610</v>
      </c>
      <c r="AG479" s="5" t="s">
        <v>2611</v>
      </c>
      <c r="AH479" s="5" t="s">
        <v>2610</v>
      </c>
      <c r="AI479" s="5" t="s">
        <v>252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17.239999999999998</v>
      </c>
      <c r="AP479" s="5">
        <v>0.14599999999999999</v>
      </c>
      <c r="AQ479" s="5" t="s">
        <v>713</v>
      </c>
      <c r="AR479" s="5" t="s">
        <v>1104</v>
      </c>
      <c r="AS479" s="5" t="s">
        <v>713</v>
      </c>
      <c r="AT479" s="6">
        <v>43872</v>
      </c>
      <c r="AU479" s="5" t="s">
        <v>3891</v>
      </c>
      <c r="AV479" s="5">
        <v>290</v>
      </c>
      <c r="AW479" s="5" t="s">
        <v>3892</v>
      </c>
    </row>
    <row r="480" spans="1:49" x14ac:dyDescent="0.55000000000000004">
      <c r="A480" s="5" t="str">
        <f>HYPERLINK("https://www.infodis.net/philips/net/Shipment/Details?InfodisNumber=1545719&amp;DomainCode=PHILIPSM1", "1545719")</f>
        <v>1545719</v>
      </c>
      <c r="B480" s="5" t="s">
        <v>3893</v>
      </c>
      <c r="C480" s="5" t="s">
        <v>2080</v>
      </c>
      <c r="D480" s="5" t="s">
        <v>2081</v>
      </c>
      <c r="E480" s="5" t="s">
        <v>2089</v>
      </c>
      <c r="F480" s="5"/>
      <c r="G480" s="5" t="s">
        <v>1430</v>
      </c>
      <c r="H480" s="5" t="s">
        <v>244</v>
      </c>
      <c r="I480" s="5" t="s">
        <v>2084</v>
      </c>
      <c r="J480" s="5" t="s">
        <v>3894</v>
      </c>
      <c r="K480" s="5" t="s">
        <v>3895</v>
      </c>
      <c r="L480" s="5" t="s">
        <v>881</v>
      </c>
      <c r="M480" s="5" t="s">
        <v>60</v>
      </c>
      <c r="N480" s="5"/>
      <c r="O480" s="5"/>
      <c r="P480" s="5" t="s">
        <v>1432</v>
      </c>
      <c r="Q480" s="5" t="s">
        <v>3896</v>
      </c>
      <c r="R480" s="5" t="s">
        <v>3897</v>
      </c>
      <c r="S480" s="6">
        <v>44125</v>
      </c>
      <c r="T480" s="6">
        <v>44125</v>
      </c>
      <c r="U480" s="6">
        <v>44131</v>
      </c>
      <c r="V480" s="6">
        <v>44125</v>
      </c>
      <c r="W480" s="6">
        <v>44131</v>
      </c>
      <c r="X480" s="5"/>
      <c r="Y480" s="5" t="s">
        <v>2387</v>
      </c>
      <c r="Z480" s="5" t="s">
        <v>2387</v>
      </c>
      <c r="AA480" s="5" t="s">
        <v>603</v>
      </c>
      <c r="AB480" s="5" t="s">
        <v>67</v>
      </c>
      <c r="AC480" s="5" t="s">
        <v>67</v>
      </c>
      <c r="AD480" s="5" t="s">
        <v>68</v>
      </c>
      <c r="AE480" s="5"/>
      <c r="AF480" s="5" t="s">
        <v>2388</v>
      </c>
      <c r="AG480" s="5" t="s">
        <v>2389</v>
      </c>
      <c r="AH480" s="5" t="s">
        <v>2388</v>
      </c>
      <c r="AI480" s="5" t="s">
        <v>605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1</v>
      </c>
      <c r="AP480" s="5">
        <v>2.7E-2</v>
      </c>
      <c r="AQ480" s="5" t="s">
        <v>713</v>
      </c>
      <c r="AR480" s="5" t="s">
        <v>1104</v>
      </c>
      <c r="AS480" s="5"/>
      <c r="AT480" s="5"/>
      <c r="AU480" s="5"/>
      <c r="AV480" s="5">
        <v>-1</v>
      </c>
      <c r="AW480" s="5" t="s">
        <v>3898</v>
      </c>
    </row>
    <row r="481" spans="1:49" x14ac:dyDescent="0.55000000000000004">
      <c r="A481" s="5" t="str">
        <f>HYPERLINK("https://www.infodis.net/philips/net/Shipment/Details?InfodisNumber=6396827&amp;DomainCode=PHILIPSR1", "6396827")</f>
        <v>6396827</v>
      </c>
      <c r="B481" s="5" t="s">
        <v>3899</v>
      </c>
      <c r="C481" s="5" t="s">
        <v>2426</v>
      </c>
      <c r="D481" s="5" t="s">
        <v>2427</v>
      </c>
      <c r="E481" s="5" t="s">
        <v>458</v>
      </c>
      <c r="F481" s="5" t="s">
        <v>2679</v>
      </c>
      <c r="G481" s="5" t="s">
        <v>610</v>
      </c>
      <c r="H481" s="5" t="s">
        <v>180</v>
      </c>
      <c r="I481" s="5" t="s">
        <v>652</v>
      </c>
      <c r="J481" s="5" t="s">
        <v>2495</v>
      </c>
      <c r="K481" s="5" t="s">
        <v>2496</v>
      </c>
      <c r="L481" s="5" t="s">
        <v>73</v>
      </c>
      <c r="M481" s="5" t="s">
        <v>84</v>
      </c>
      <c r="N481" s="5"/>
      <c r="O481" s="5"/>
      <c r="P481" s="5" t="s">
        <v>613</v>
      </c>
      <c r="Q481" s="5" t="s">
        <v>3900</v>
      </c>
      <c r="R481" s="5" t="s">
        <v>2495</v>
      </c>
      <c r="S481" s="6">
        <v>43930</v>
      </c>
      <c r="T481" s="6">
        <v>43931</v>
      </c>
      <c r="U481" s="6">
        <v>43930</v>
      </c>
      <c r="V481" s="6">
        <v>43934</v>
      </c>
      <c r="W481" s="6">
        <v>43936</v>
      </c>
      <c r="X481" s="5"/>
      <c r="Y481" s="5" t="s">
        <v>2476</v>
      </c>
      <c r="Z481" s="5" t="s">
        <v>2476</v>
      </c>
      <c r="AA481" s="5" t="s">
        <v>66</v>
      </c>
      <c r="AB481" s="5" t="s">
        <v>67</v>
      </c>
      <c r="AC481" s="5" t="s">
        <v>67</v>
      </c>
      <c r="AD481" s="5" t="s">
        <v>68</v>
      </c>
      <c r="AE481" s="5"/>
      <c r="AF481" s="5" t="s">
        <v>2179</v>
      </c>
      <c r="AG481" s="5" t="s">
        <v>2180</v>
      </c>
      <c r="AH481" s="5" t="s">
        <v>2179</v>
      </c>
      <c r="AI481" s="5" t="s">
        <v>252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2.72</v>
      </c>
      <c r="AP481" s="5">
        <v>4.2000000000000003E-2</v>
      </c>
      <c r="AQ481" s="5" t="s">
        <v>713</v>
      </c>
      <c r="AR481" s="5" t="s">
        <v>1104</v>
      </c>
      <c r="AS481" s="5" t="s">
        <v>713</v>
      </c>
      <c r="AT481" s="6">
        <v>43931</v>
      </c>
      <c r="AU481" s="5"/>
      <c r="AV481" s="5">
        <v>231</v>
      </c>
      <c r="AW481" s="5" t="s">
        <v>3901</v>
      </c>
    </row>
    <row r="482" spans="1:49" x14ac:dyDescent="0.55000000000000004">
      <c r="A482" s="5" t="str">
        <f>HYPERLINK("https://www.infodis.net/philips/net/Shipment/Details?InfodisNumber=4538963&amp;DomainCode=DAP", "4538963")</f>
        <v>4538963</v>
      </c>
      <c r="B482" s="5" t="s">
        <v>3902</v>
      </c>
      <c r="C482" s="5" t="s">
        <v>212</v>
      </c>
      <c r="D482" s="5" t="s">
        <v>213</v>
      </c>
      <c r="E482" s="5" t="s">
        <v>214</v>
      </c>
      <c r="F482" s="5" t="s">
        <v>2069</v>
      </c>
      <c r="G482" s="5" t="s">
        <v>216</v>
      </c>
      <c r="H482" s="5" t="s">
        <v>55</v>
      </c>
      <c r="I482" s="5" t="s">
        <v>2367</v>
      </c>
      <c r="J482" s="5" t="s">
        <v>293</v>
      </c>
      <c r="K482" s="5" t="s">
        <v>937</v>
      </c>
      <c r="L482" s="5" t="s">
        <v>938</v>
      </c>
      <c r="M482" s="5" t="s">
        <v>60</v>
      </c>
      <c r="N482" s="5"/>
      <c r="O482" s="5"/>
      <c r="P482" s="5" t="s">
        <v>2369</v>
      </c>
      <c r="Q482" s="5" t="s">
        <v>3903</v>
      </c>
      <c r="R482" s="5" t="s">
        <v>2424</v>
      </c>
      <c r="S482" s="6">
        <v>44125</v>
      </c>
      <c r="T482" s="6">
        <v>44126</v>
      </c>
      <c r="U482" s="6">
        <v>44125</v>
      </c>
      <c r="V482" s="6">
        <v>44129</v>
      </c>
      <c r="W482" s="6">
        <v>44128</v>
      </c>
      <c r="X482" s="6">
        <v>44131</v>
      </c>
      <c r="Y482" s="5" t="s">
        <v>2398</v>
      </c>
      <c r="Z482" s="5" t="s">
        <v>2398</v>
      </c>
      <c r="AA482" s="5" t="s">
        <v>2398</v>
      </c>
      <c r="AB482" s="5" t="s">
        <v>67</v>
      </c>
      <c r="AC482" s="5" t="s">
        <v>67</v>
      </c>
      <c r="AD482" s="5" t="s">
        <v>67</v>
      </c>
      <c r="AE482" s="5"/>
      <c r="AF482" s="5" t="s">
        <v>2179</v>
      </c>
      <c r="AG482" s="5" t="s">
        <v>2180</v>
      </c>
      <c r="AH482" s="5" t="s">
        <v>2179</v>
      </c>
      <c r="AI482" s="5" t="s">
        <v>73</v>
      </c>
      <c r="AJ482" s="5">
        <v>0</v>
      </c>
      <c r="AK482" s="5">
        <v>0</v>
      </c>
      <c r="AL482" s="5">
        <v>0</v>
      </c>
      <c r="AM482" s="5">
        <v>0</v>
      </c>
      <c r="AN482" s="5">
        <v>1</v>
      </c>
      <c r="AO482" s="5">
        <v>242</v>
      </c>
      <c r="AP482" s="5">
        <v>2.3330000000000002</v>
      </c>
      <c r="AQ482" s="5" t="s">
        <v>713</v>
      </c>
      <c r="AR482" s="5" t="s">
        <v>1104</v>
      </c>
      <c r="AS482" s="5" t="s">
        <v>713</v>
      </c>
      <c r="AT482" s="6">
        <v>44131</v>
      </c>
      <c r="AU482" s="5" t="s">
        <v>3885</v>
      </c>
      <c r="AV482" s="5">
        <v>31</v>
      </c>
      <c r="AW482" s="5" t="s">
        <v>3886</v>
      </c>
    </row>
    <row r="483" spans="1:49" x14ac:dyDescent="0.55000000000000004">
      <c r="A483" s="5" t="str">
        <f>HYPERLINK("https://www.infodis.net/philips/net/Shipment/Details?InfodisNumber=1545640&amp;DomainCode=PHILIPSM1", "1545640")</f>
        <v>1545640</v>
      </c>
      <c r="B483" s="5" t="s">
        <v>3904</v>
      </c>
      <c r="C483" s="5" t="s">
        <v>2491</v>
      </c>
      <c r="D483" s="5" t="s">
        <v>2492</v>
      </c>
      <c r="E483" s="5" t="s">
        <v>2491</v>
      </c>
      <c r="F483" s="5" t="s">
        <v>3905</v>
      </c>
      <c r="G483" s="5" t="s">
        <v>1431</v>
      </c>
      <c r="H483" s="5" t="s">
        <v>180</v>
      </c>
      <c r="I483" s="5" t="s">
        <v>2494</v>
      </c>
      <c r="J483" s="5" t="s">
        <v>3906</v>
      </c>
      <c r="K483" s="5" t="s">
        <v>3907</v>
      </c>
      <c r="L483" s="5" t="s">
        <v>230</v>
      </c>
      <c r="M483" s="5" t="s">
        <v>60</v>
      </c>
      <c r="N483" s="5"/>
      <c r="O483" s="5"/>
      <c r="P483" s="5" t="s">
        <v>1434</v>
      </c>
      <c r="Q483" s="5" t="s">
        <v>3908</v>
      </c>
      <c r="R483" s="5" t="s">
        <v>3909</v>
      </c>
      <c r="S483" s="6">
        <v>44124</v>
      </c>
      <c r="T483" s="6">
        <v>44124</v>
      </c>
      <c r="U483" s="6">
        <v>44125</v>
      </c>
      <c r="V483" s="6">
        <v>44125</v>
      </c>
      <c r="W483" s="6">
        <v>44145</v>
      </c>
      <c r="X483" s="5"/>
      <c r="Y483" s="5" t="s">
        <v>2387</v>
      </c>
      <c r="Z483" s="5" t="s">
        <v>2387</v>
      </c>
      <c r="AA483" s="5" t="s">
        <v>603</v>
      </c>
      <c r="AB483" s="5" t="s">
        <v>67</v>
      </c>
      <c r="AC483" s="5" t="s">
        <v>67</v>
      </c>
      <c r="AD483" s="5" t="s">
        <v>68</v>
      </c>
      <c r="AE483" s="5"/>
      <c r="AF483" s="5" t="s">
        <v>2610</v>
      </c>
      <c r="AG483" s="5" t="s">
        <v>2611</v>
      </c>
      <c r="AH483" s="5" t="s">
        <v>2610</v>
      </c>
      <c r="AI483" s="5" t="s">
        <v>605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0.8</v>
      </c>
      <c r="AP483" s="5">
        <v>3.2000000000000001E-2</v>
      </c>
      <c r="AQ483" s="5" t="s">
        <v>713</v>
      </c>
      <c r="AR483" s="5" t="s">
        <v>1104</v>
      </c>
      <c r="AS483" s="5"/>
      <c r="AT483" s="5"/>
      <c r="AU483" s="5"/>
      <c r="AV483" s="5">
        <v>-1</v>
      </c>
      <c r="AW483" s="5" t="s">
        <v>3752</v>
      </c>
    </row>
    <row r="484" spans="1:49" x14ac:dyDescent="0.55000000000000004">
      <c r="A484" s="5" t="str">
        <f>HYPERLINK("https://www.infodis.net/philips/net/Shipment/Details?InfodisNumber=1545632&amp;DomainCode=PHILIPSM1", "1545632")</f>
        <v>1545632</v>
      </c>
      <c r="B484" s="5" t="s">
        <v>3910</v>
      </c>
      <c r="C484" s="5" t="s">
        <v>2491</v>
      </c>
      <c r="D484" s="5" t="s">
        <v>2492</v>
      </c>
      <c r="E484" s="5" t="s">
        <v>2491</v>
      </c>
      <c r="F484" s="5" t="s">
        <v>3911</v>
      </c>
      <c r="G484" s="5" t="s">
        <v>1431</v>
      </c>
      <c r="H484" s="5" t="s">
        <v>180</v>
      </c>
      <c r="I484" s="5" t="s">
        <v>2494</v>
      </c>
      <c r="J484" s="5" t="s">
        <v>2938</v>
      </c>
      <c r="K484" s="5" t="s">
        <v>3912</v>
      </c>
      <c r="L484" s="5" t="s">
        <v>384</v>
      </c>
      <c r="M484" s="5" t="s">
        <v>60</v>
      </c>
      <c r="N484" s="5"/>
      <c r="O484" s="5"/>
      <c r="P484" s="5" t="s">
        <v>1434</v>
      </c>
      <c r="Q484" s="5" t="s">
        <v>3913</v>
      </c>
      <c r="R484" s="5" t="s">
        <v>3914</v>
      </c>
      <c r="S484" s="6">
        <v>44124</v>
      </c>
      <c r="T484" s="6">
        <v>44124</v>
      </c>
      <c r="U484" s="6">
        <v>44132</v>
      </c>
      <c r="V484" s="6">
        <v>44127</v>
      </c>
      <c r="W484" s="6">
        <v>44140</v>
      </c>
      <c r="X484" s="5"/>
      <c r="Y484" s="5" t="s">
        <v>2387</v>
      </c>
      <c r="Z484" s="5" t="s">
        <v>2387</v>
      </c>
      <c r="AA484" s="5" t="s">
        <v>603</v>
      </c>
      <c r="AB484" s="5" t="s">
        <v>67</v>
      </c>
      <c r="AC484" s="5" t="s">
        <v>67</v>
      </c>
      <c r="AD484" s="5" t="s">
        <v>68</v>
      </c>
      <c r="AE484" s="5"/>
      <c r="AF484" s="5" t="s">
        <v>2179</v>
      </c>
      <c r="AG484" s="5" t="s">
        <v>2180</v>
      </c>
      <c r="AH484" s="5" t="s">
        <v>2179</v>
      </c>
      <c r="AI484" s="5" t="s">
        <v>605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79.8</v>
      </c>
      <c r="AP484" s="5">
        <v>1.381</v>
      </c>
      <c r="AQ484" s="5" t="s">
        <v>713</v>
      </c>
      <c r="AR484" s="5" t="s">
        <v>1104</v>
      </c>
      <c r="AS484" s="5"/>
      <c r="AT484" s="5"/>
      <c r="AU484" s="5"/>
      <c r="AV484" s="5">
        <v>-1</v>
      </c>
      <c r="AW484" s="5" t="s">
        <v>3752</v>
      </c>
    </row>
    <row r="485" spans="1:49" x14ac:dyDescent="0.55000000000000004">
      <c r="A485" s="5" t="str">
        <f>HYPERLINK("https://www.infodis.net/philips/net/Shipment/Details?InfodisNumber=4538048&amp;DomainCode=DAP", "4538048")</f>
        <v>4538048</v>
      </c>
      <c r="B485" s="5" t="s">
        <v>3915</v>
      </c>
      <c r="C485" s="5" t="s">
        <v>2067</v>
      </c>
      <c r="D485" s="5" t="s">
        <v>2068</v>
      </c>
      <c r="E485" s="5" t="s">
        <v>94</v>
      </c>
      <c r="F485" s="5" t="s">
        <v>363</v>
      </c>
      <c r="G485" s="5" t="s">
        <v>82</v>
      </c>
      <c r="H485" s="5" t="s">
        <v>83</v>
      </c>
      <c r="I485" s="5" t="s">
        <v>2141</v>
      </c>
      <c r="J485" s="5" t="s">
        <v>1704</v>
      </c>
      <c r="K485" s="5" t="s">
        <v>131</v>
      </c>
      <c r="L485" s="5" t="s">
        <v>132</v>
      </c>
      <c r="M485" s="5" t="s">
        <v>60</v>
      </c>
      <c r="N485" s="5"/>
      <c r="O485" s="5"/>
      <c r="P485" s="5" t="s">
        <v>87</v>
      </c>
      <c r="Q485" s="5"/>
      <c r="R485" s="5" t="s">
        <v>134</v>
      </c>
      <c r="S485" s="6">
        <v>44124</v>
      </c>
      <c r="T485" s="6">
        <v>44124</v>
      </c>
      <c r="U485" s="6">
        <v>44124</v>
      </c>
      <c r="V485" s="6">
        <v>44127</v>
      </c>
      <c r="W485" s="5"/>
      <c r="X485" s="5"/>
      <c r="Y485" s="5" t="s">
        <v>2398</v>
      </c>
      <c r="Z485" s="5" t="s">
        <v>2398</v>
      </c>
      <c r="AA485" s="5" t="s">
        <v>2398</v>
      </c>
      <c r="AB485" s="5" t="s">
        <v>67</v>
      </c>
      <c r="AC485" s="5" t="s">
        <v>67</v>
      </c>
      <c r="AD485" s="5" t="s">
        <v>67</v>
      </c>
      <c r="AE485" s="5"/>
      <c r="AF485" s="5" t="s">
        <v>2179</v>
      </c>
      <c r="AG485" s="5" t="s">
        <v>2180</v>
      </c>
      <c r="AH485" s="5" t="s">
        <v>2179</v>
      </c>
      <c r="AI485" s="5" t="s">
        <v>73</v>
      </c>
      <c r="AJ485" s="5">
        <v>0</v>
      </c>
      <c r="AK485" s="5">
        <v>0</v>
      </c>
      <c r="AL485" s="5">
        <v>0</v>
      </c>
      <c r="AM485" s="5">
        <v>0</v>
      </c>
      <c r="AN485" s="5">
        <v>10</v>
      </c>
      <c r="AO485" s="5">
        <v>2400</v>
      </c>
      <c r="AP485" s="5">
        <v>-1</v>
      </c>
      <c r="AQ485" s="5" t="s">
        <v>713</v>
      </c>
      <c r="AR485" s="5" t="s">
        <v>1104</v>
      </c>
      <c r="AS485" s="5"/>
      <c r="AT485" s="5"/>
      <c r="AU485" s="5"/>
      <c r="AV485" s="5">
        <v>-1</v>
      </c>
      <c r="AW485" s="5" t="s">
        <v>1368</v>
      </c>
    </row>
    <row r="486" spans="1:49" x14ac:dyDescent="0.55000000000000004">
      <c r="A486" s="5" t="str">
        <f>HYPERLINK("https://www.infodis.net/philips/net/Shipment/Details?InfodisNumber=4538047&amp;DomainCode=DAP", "4538047")</f>
        <v>4538047</v>
      </c>
      <c r="B486" s="5" t="s">
        <v>3916</v>
      </c>
      <c r="C486" s="5" t="s">
        <v>2067</v>
      </c>
      <c r="D486" s="5" t="s">
        <v>2068</v>
      </c>
      <c r="E486" s="5" t="s">
        <v>94</v>
      </c>
      <c r="F486" s="5" t="s">
        <v>363</v>
      </c>
      <c r="G486" s="5" t="s">
        <v>82</v>
      </c>
      <c r="H486" s="5" t="s">
        <v>83</v>
      </c>
      <c r="I486" s="5" t="s">
        <v>2141</v>
      </c>
      <c r="J486" s="5" t="s">
        <v>1704</v>
      </c>
      <c r="K486" s="5" t="s">
        <v>131</v>
      </c>
      <c r="L486" s="5" t="s">
        <v>132</v>
      </c>
      <c r="M486" s="5" t="s">
        <v>60</v>
      </c>
      <c r="N486" s="5"/>
      <c r="O486" s="5"/>
      <c r="P486" s="5" t="s">
        <v>87</v>
      </c>
      <c r="Q486" s="5"/>
      <c r="R486" s="5" t="s">
        <v>134</v>
      </c>
      <c r="S486" s="6">
        <v>44124</v>
      </c>
      <c r="T486" s="6">
        <v>44124</v>
      </c>
      <c r="U486" s="6">
        <v>44124</v>
      </c>
      <c r="V486" s="6">
        <v>44127</v>
      </c>
      <c r="W486" s="5"/>
      <c r="X486" s="5"/>
      <c r="Y486" s="5" t="s">
        <v>2398</v>
      </c>
      <c r="Z486" s="5" t="s">
        <v>2398</v>
      </c>
      <c r="AA486" s="5" t="s">
        <v>2398</v>
      </c>
      <c r="AB486" s="5" t="s">
        <v>67</v>
      </c>
      <c r="AC486" s="5" t="s">
        <v>67</v>
      </c>
      <c r="AD486" s="5" t="s">
        <v>67</v>
      </c>
      <c r="AE486" s="5"/>
      <c r="AF486" s="5" t="s">
        <v>2179</v>
      </c>
      <c r="AG486" s="5" t="s">
        <v>2180</v>
      </c>
      <c r="AH486" s="5" t="s">
        <v>2179</v>
      </c>
      <c r="AI486" s="5" t="s">
        <v>73</v>
      </c>
      <c r="AJ486" s="5">
        <v>0</v>
      </c>
      <c r="AK486" s="5">
        <v>0</v>
      </c>
      <c r="AL486" s="5">
        <v>0</v>
      </c>
      <c r="AM486" s="5">
        <v>0</v>
      </c>
      <c r="AN486" s="5">
        <v>10</v>
      </c>
      <c r="AO486" s="5">
        <v>2000</v>
      </c>
      <c r="AP486" s="5">
        <v>14.4</v>
      </c>
      <c r="AQ486" s="5" t="s">
        <v>713</v>
      </c>
      <c r="AR486" s="5" t="s">
        <v>1104</v>
      </c>
      <c r="AS486" s="5"/>
      <c r="AT486" s="5"/>
      <c r="AU486" s="5"/>
      <c r="AV486" s="5">
        <v>-1</v>
      </c>
      <c r="AW486" s="5" t="s">
        <v>1368</v>
      </c>
    </row>
    <row r="487" spans="1:49" x14ac:dyDescent="0.55000000000000004">
      <c r="A487" s="5" t="str">
        <f>HYPERLINK("https://www.infodis.net/philips/net/Shipment/Details?InfodisNumber=4538052&amp;DomainCode=DAP", "4538052")</f>
        <v>4538052</v>
      </c>
      <c r="B487" s="5" t="s">
        <v>3917</v>
      </c>
      <c r="C487" s="5" t="s">
        <v>2067</v>
      </c>
      <c r="D487" s="5" t="s">
        <v>2068</v>
      </c>
      <c r="E487" s="5" t="s">
        <v>94</v>
      </c>
      <c r="F487" s="5" t="s">
        <v>363</v>
      </c>
      <c r="G487" s="5" t="s">
        <v>82</v>
      </c>
      <c r="H487" s="5" t="s">
        <v>83</v>
      </c>
      <c r="I487" s="5" t="s">
        <v>2141</v>
      </c>
      <c r="J487" s="5" t="s">
        <v>1704</v>
      </c>
      <c r="K487" s="5" t="s">
        <v>131</v>
      </c>
      <c r="L487" s="5" t="s">
        <v>132</v>
      </c>
      <c r="M487" s="5" t="s">
        <v>60</v>
      </c>
      <c r="N487" s="5"/>
      <c r="O487" s="5"/>
      <c r="P487" s="5" t="s">
        <v>87</v>
      </c>
      <c r="Q487" s="5"/>
      <c r="R487" s="5" t="s">
        <v>134</v>
      </c>
      <c r="S487" s="6">
        <v>44124</v>
      </c>
      <c r="T487" s="6">
        <v>44124</v>
      </c>
      <c r="U487" s="6">
        <v>44124</v>
      </c>
      <c r="V487" s="6">
        <v>44127</v>
      </c>
      <c r="W487" s="5"/>
      <c r="X487" s="5"/>
      <c r="Y487" s="5" t="s">
        <v>2398</v>
      </c>
      <c r="Z487" s="5" t="s">
        <v>2398</v>
      </c>
      <c r="AA487" s="5" t="s">
        <v>2398</v>
      </c>
      <c r="AB487" s="5" t="s">
        <v>67</v>
      </c>
      <c r="AC487" s="5" t="s">
        <v>67</v>
      </c>
      <c r="AD487" s="5" t="s">
        <v>67</v>
      </c>
      <c r="AE487" s="5"/>
      <c r="AF487" s="5" t="s">
        <v>2179</v>
      </c>
      <c r="AG487" s="5" t="s">
        <v>2180</v>
      </c>
      <c r="AH487" s="5" t="s">
        <v>2179</v>
      </c>
      <c r="AI487" s="5" t="s">
        <v>73</v>
      </c>
      <c r="AJ487" s="5">
        <v>0</v>
      </c>
      <c r="AK487" s="5">
        <v>0</v>
      </c>
      <c r="AL487" s="5">
        <v>0</v>
      </c>
      <c r="AM487" s="5">
        <v>0</v>
      </c>
      <c r="AN487" s="5">
        <v>10</v>
      </c>
      <c r="AO487" s="5">
        <v>2400</v>
      </c>
      <c r="AP487" s="5">
        <v>-1</v>
      </c>
      <c r="AQ487" s="5" t="s">
        <v>713</v>
      </c>
      <c r="AR487" s="5" t="s">
        <v>1104</v>
      </c>
      <c r="AS487" s="5"/>
      <c r="AT487" s="5"/>
      <c r="AU487" s="5"/>
      <c r="AV487" s="5">
        <v>-1</v>
      </c>
      <c r="AW487" s="5" t="s">
        <v>1368</v>
      </c>
    </row>
    <row r="488" spans="1:49" x14ac:dyDescent="0.55000000000000004">
      <c r="A488" s="5" t="str">
        <f>HYPERLINK("https://www.infodis.net/philips/net/Shipment/Details?InfodisNumber=4538056&amp;DomainCode=DAP", "4538056")</f>
        <v>4538056</v>
      </c>
      <c r="B488" s="5" t="s">
        <v>3918</v>
      </c>
      <c r="C488" s="5" t="s">
        <v>2067</v>
      </c>
      <c r="D488" s="5" t="s">
        <v>2068</v>
      </c>
      <c r="E488" s="5" t="s">
        <v>94</v>
      </c>
      <c r="F488" s="5" t="s">
        <v>363</v>
      </c>
      <c r="G488" s="5" t="s">
        <v>82</v>
      </c>
      <c r="H488" s="5" t="s">
        <v>83</v>
      </c>
      <c r="I488" s="5" t="s">
        <v>2141</v>
      </c>
      <c r="J488" s="5" t="s">
        <v>1704</v>
      </c>
      <c r="K488" s="5" t="s">
        <v>131</v>
      </c>
      <c r="L488" s="5" t="s">
        <v>132</v>
      </c>
      <c r="M488" s="5" t="s">
        <v>60</v>
      </c>
      <c r="N488" s="5"/>
      <c r="O488" s="5"/>
      <c r="P488" s="5" t="s">
        <v>87</v>
      </c>
      <c r="Q488" s="5"/>
      <c r="R488" s="5" t="s">
        <v>134</v>
      </c>
      <c r="S488" s="6">
        <v>44124</v>
      </c>
      <c r="T488" s="6">
        <v>44124</v>
      </c>
      <c r="U488" s="6">
        <v>44124</v>
      </c>
      <c r="V488" s="6">
        <v>44127</v>
      </c>
      <c r="W488" s="5"/>
      <c r="X488" s="5"/>
      <c r="Y488" s="5" t="s">
        <v>2398</v>
      </c>
      <c r="Z488" s="5" t="s">
        <v>2398</v>
      </c>
      <c r="AA488" s="5" t="s">
        <v>2398</v>
      </c>
      <c r="AB488" s="5" t="s">
        <v>67</v>
      </c>
      <c r="AC488" s="5" t="s">
        <v>67</v>
      </c>
      <c r="AD488" s="5" t="s">
        <v>67</v>
      </c>
      <c r="AE488" s="5"/>
      <c r="AF488" s="5" t="s">
        <v>2179</v>
      </c>
      <c r="AG488" s="5" t="s">
        <v>2180</v>
      </c>
      <c r="AH488" s="5" t="s">
        <v>2179</v>
      </c>
      <c r="AI488" s="5" t="s">
        <v>73</v>
      </c>
      <c r="AJ488" s="5">
        <v>0</v>
      </c>
      <c r="AK488" s="5">
        <v>0</v>
      </c>
      <c r="AL488" s="5">
        <v>0</v>
      </c>
      <c r="AM488" s="5">
        <v>0</v>
      </c>
      <c r="AN488" s="5">
        <v>10</v>
      </c>
      <c r="AO488" s="5">
        <v>2400</v>
      </c>
      <c r="AP488" s="5">
        <v>-1</v>
      </c>
      <c r="AQ488" s="5" t="s">
        <v>713</v>
      </c>
      <c r="AR488" s="5" t="s">
        <v>1104</v>
      </c>
      <c r="AS488" s="5"/>
      <c r="AT488" s="5"/>
      <c r="AU488" s="5"/>
      <c r="AV488" s="5">
        <v>-1</v>
      </c>
      <c r="AW488" s="5" t="s">
        <v>1368</v>
      </c>
    </row>
    <row r="489" spans="1:49" x14ac:dyDescent="0.55000000000000004">
      <c r="A489" s="5" t="str">
        <f>HYPERLINK("https://www.infodis.net/philips/net/Shipment/Details?InfodisNumber=1542561&amp;DomainCode=PHILIPSM1", "1542561")</f>
        <v>1542561</v>
      </c>
      <c r="B489" s="5" t="s">
        <v>3919</v>
      </c>
      <c r="C489" s="5" t="s">
        <v>2491</v>
      </c>
      <c r="D489" s="5" t="s">
        <v>2492</v>
      </c>
      <c r="E489" s="5" t="s">
        <v>2491</v>
      </c>
      <c r="F489" s="5" t="s">
        <v>3920</v>
      </c>
      <c r="G489" s="5" t="s">
        <v>1431</v>
      </c>
      <c r="H489" s="5" t="s">
        <v>180</v>
      </c>
      <c r="I489" s="5" t="s">
        <v>2494</v>
      </c>
      <c r="J489" s="5" t="s">
        <v>3921</v>
      </c>
      <c r="K489" s="5" t="s">
        <v>3922</v>
      </c>
      <c r="L489" s="5" t="s">
        <v>3923</v>
      </c>
      <c r="M489" s="5" t="s">
        <v>60</v>
      </c>
      <c r="N489" s="5"/>
      <c r="O489" s="5"/>
      <c r="P489" s="5" t="s">
        <v>1434</v>
      </c>
      <c r="Q489" s="5" t="s">
        <v>3924</v>
      </c>
      <c r="R489" s="5" t="s">
        <v>3925</v>
      </c>
      <c r="S489" s="6">
        <v>44123</v>
      </c>
      <c r="T489" s="6">
        <v>44123</v>
      </c>
      <c r="U489" s="6">
        <v>44127</v>
      </c>
      <c r="V489" s="6">
        <v>44124</v>
      </c>
      <c r="W489" s="6">
        <v>44128</v>
      </c>
      <c r="X489" s="5"/>
      <c r="Y489" s="5" t="s">
        <v>2387</v>
      </c>
      <c r="Z489" s="5" t="s">
        <v>2387</v>
      </c>
      <c r="AA489" s="5" t="s">
        <v>603</v>
      </c>
      <c r="AB489" s="5" t="s">
        <v>67</v>
      </c>
      <c r="AC489" s="5" t="s">
        <v>67</v>
      </c>
      <c r="AD489" s="5" t="s">
        <v>68</v>
      </c>
      <c r="AE489" s="5"/>
      <c r="AF489" s="5" t="s">
        <v>2610</v>
      </c>
      <c r="AG489" s="5" t="s">
        <v>2611</v>
      </c>
      <c r="AH489" s="5" t="s">
        <v>2610</v>
      </c>
      <c r="AI489" s="5" t="s">
        <v>605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30.2</v>
      </c>
      <c r="AP489" s="5">
        <v>0.109</v>
      </c>
      <c r="AQ489" s="5" t="s">
        <v>713</v>
      </c>
      <c r="AR489" s="5" t="s">
        <v>1104</v>
      </c>
      <c r="AS489" s="5"/>
      <c r="AT489" s="5"/>
      <c r="AU489" s="5"/>
      <c r="AV489" s="5">
        <v>-1</v>
      </c>
      <c r="AW489" s="5" t="s">
        <v>3752</v>
      </c>
    </row>
    <row r="490" spans="1:49" x14ac:dyDescent="0.55000000000000004">
      <c r="A490" s="5" t="str">
        <f>HYPERLINK("https://www.infodis.net/philips/net/Shipment/Details?InfodisNumber=4543833&amp;DomainCode=DAP", "4543833")</f>
        <v>4543833</v>
      </c>
      <c r="B490" s="5" t="s">
        <v>3926</v>
      </c>
      <c r="C490" s="5" t="s">
        <v>2344</v>
      </c>
      <c r="D490" s="5" t="s">
        <v>2345</v>
      </c>
      <c r="E490" s="5" t="s">
        <v>191</v>
      </c>
      <c r="F490" s="5" t="s">
        <v>191</v>
      </c>
      <c r="G490" s="5" t="s">
        <v>281</v>
      </c>
      <c r="H490" s="5" t="s">
        <v>79</v>
      </c>
      <c r="I490" s="5" t="s">
        <v>268</v>
      </c>
      <c r="J490" s="5" t="s">
        <v>2341</v>
      </c>
      <c r="K490" s="5" t="s">
        <v>219</v>
      </c>
      <c r="L490" s="5" t="s">
        <v>180</v>
      </c>
      <c r="M490" s="5" t="s">
        <v>84</v>
      </c>
      <c r="N490" s="5"/>
      <c r="O490" s="5"/>
      <c r="P490" s="5" t="s">
        <v>286</v>
      </c>
      <c r="Q490" s="5"/>
      <c r="R490" s="5" t="s">
        <v>223</v>
      </c>
      <c r="S490" s="6">
        <v>44132</v>
      </c>
      <c r="T490" s="6">
        <v>44133</v>
      </c>
      <c r="U490" s="5"/>
      <c r="V490" s="6">
        <v>44136</v>
      </c>
      <c r="W490" s="5"/>
      <c r="X490" s="5"/>
      <c r="Y490" s="5" t="s">
        <v>66</v>
      </c>
      <c r="Z490" s="5" t="s">
        <v>2371</v>
      </c>
      <c r="AA490" s="5" t="s">
        <v>2371</v>
      </c>
      <c r="AB490" s="5" t="s">
        <v>68</v>
      </c>
      <c r="AC490" s="5" t="s">
        <v>67</v>
      </c>
      <c r="AD490" s="5" t="s">
        <v>67</v>
      </c>
      <c r="AE490" s="5"/>
      <c r="AF490" s="5" t="s">
        <v>2179</v>
      </c>
      <c r="AG490" s="5" t="s">
        <v>2180</v>
      </c>
      <c r="AH490" s="5" t="s">
        <v>2179</v>
      </c>
      <c r="AI490" s="5" t="s">
        <v>73</v>
      </c>
      <c r="AJ490" s="5">
        <v>0</v>
      </c>
      <c r="AK490" s="5">
        <v>0</v>
      </c>
      <c r="AL490" s="5">
        <v>0</v>
      </c>
      <c r="AM490" s="5">
        <v>0</v>
      </c>
      <c r="AN490" s="5">
        <v>6</v>
      </c>
      <c r="AO490" s="5">
        <v>1080</v>
      </c>
      <c r="AP490" s="5">
        <v>8.64</v>
      </c>
      <c r="AQ490" s="5" t="s">
        <v>713</v>
      </c>
      <c r="AR490" s="5" t="s">
        <v>1104</v>
      </c>
      <c r="AS490" s="5"/>
      <c r="AT490" s="5"/>
      <c r="AU490" s="5"/>
      <c r="AV490" s="5">
        <v>-1</v>
      </c>
      <c r="AW490" s="5" t="s">
        <v>1368</v>
      </c>
    </row>
    <row r="491" spans="1:49" x14ac:dyDescent="0.55000000000000004">
      <c r="A491" s="5" t="str">
        <f>HYPERLINK("https://www.infodis.net/philips/net/Shipment/Details?InfodisNumber=1411955&amp;DomainCode=PHILIPSM1", "1411955")</f>
        <v>1411955</v>
      </c>
      <c r="B491" s="5" t="s">
        <v>3927</v>
      </c>
      <c r="C491" s="5" t="s">
        <v>3928</v>
      </c>
      <c r="D491" s="5" t="s">
        <v>3929</v>
      </c>
      <c r="E491" s="5" t="s">
        <v>3928</v>
      </c>
      <c r="F491" s="5" t="s">
        <v>3930</v>
      </c>
      <c r="G491" s="5" t="s">
        <v>433</v>
      </c>
      <c r="H491" s="5" t="s">
        <v>79</v>
      </c>
      <c r="I491" s="5"/>
      <c r="J491" s="5" t="s">
        <v>2367</v>
      </c>
      <c r="K491" s="5" t="s">
        <v>3867</v>
      </c>
      <c r="L491" s="5" t="s">
        <v>55</v>
      </c>
      <c r="M491" s="5" t="s">
        <v>1489</v>
      </c>
      <c r="N491" s="5"/>
      <c r="O491" s="5"/>
      <c r="P491" s="5" t="s">
        <v>3931</v>
      </c>
      <c r="Q491" s="5"/>
      <c r="R491" s="5" t="s">
        <v>3868</v>
      </c>
      <c r="S491" s="6">
        <v>44130</v>
      </c>
      <c r="T491" s="6">
        <v>44131</v>
      </c>
      <c r="U491" s="5"/>
      <c r="V491" s="6">
        <v>44134</v>
      </c>
      <c r="W491" s="5"/>
      <c r="X491" s="5"/>
      <c r="Y491" s="5" t="s">
        <v>3932</v>
      </c>
      <c r="Z491" s="5" t="s">
        <v>3932</v>
      </c>
      <c r="AA491" s="5" t="s">
        <v>3932</v>
      </c>
      <c r="AB491" s="5" t="s">
        <v>67</v>
      </c>
      <c r="AC491" s="5" t="s">
        <v>67</v>
      </c>
      <c r="AD491" s="5" t="s">
        <v>67</v>
      </c>
      <c r="AE491" s="5"/>
      <c r="AF491" s="5" t="s">
        <v>2179</v>
      </c>
      <c r="AG491" s="5" t="s">
        <v>2180</v>
      </c>
      <c r="AH491" s="5" t="s">
        <v>2179</v>
      </c>
      <c r="AI491" s="5" t="s">
        <v>3933</v>
      </c>
      <c r="AJ491" s="5">
        <v>0</v>
      </c>
      <c r="AK491" s="5">
        <v>0</v>
      </c>
      <c r="AL491" s="5">
        <v>0</v>
      </c>
      <c r="AM491" s="5">
        <v>0</v>
      </c>
      <c r="AN491" s="5">
        <v>5</v>
      </c>
      <c r="AO491" s="5">
        <v>1000</v>
      </c>
      <c r="AP491" s="5">
        <v>6.72</v>
      </c>
      <c r="AQ491" s="5" t="s">
        <v>713</v>
      </c>
      <c r="AR491" s="5" t="s">
        <v>1104</v>
      </c>
      <c r="AS491" s="5"/>
      <c r="AT491" s="5"/>
      <c r="AU491" s="5"/>
      <c r="AV491" s="5">
        <v>-1</v>
      </c>
      <c r="AW491" s="5" t="s">
        <v>3934</v>
      </c>
    </row>
    <row r="492" spans="1:49" x14ac:dyDescent="0.55000000000000004">
      <c r="A492" s="5" t="str">
        <f>HYPERLINK("https://www.infodis.net/philips/net/Shipment/Details?InfodisNumber=1550869&amp;DomainCode=PHILIPSM1", "1550869")</f>
        <v>1550869</v>
      </c>
      <c r="B492" s="5" t="s">
        <v>3935</v>
      </c>
      <c r="C492" s="5" t="s">
        <v>2491</v>
      </c>
      <c r="D492" s="5" t="s">
        <v>2492</v>
      </c>
      <c r="E492" s="5" t="s">
        <v>2491</v>
      </c>
      <c r="F492" s="5" t="s">
        <v>3936</v>
      </c>
      <c r="G492" s="5" t="s">
        <v>1431</v>
      </c>
      <c r="H492" s="5" t="s">
        <v>180</v>
      </c>
      <c r="I492" s="5" t="s">
        <v>2494</v>
      </c>
      <c r="J492" s="5" t="s">
        <v>3937</v>
      </c>
      <c r="K492" s="5" t="s">
        <v>3938</v>
      </c>
      <c r="L492" s="5" t="s">
        <v>3939</v>
      </c>
      <c r="M492" s="5" t="s">
        <v>60</v>
      </c>
      <c r="N492" s="5"/>
      <c r="O492" s="5"/>
      <c r="P492" s="5" t="s">
        <v>1434</v>
      </c>
      <c r="Q492" s="5" t="s">
        <v>3940</v>
      </c>
      <c r="R492" s="5" t="s">
        <v>3941</v>
      </c>
      <c r="S492" s="6">
        <v>44130</v>
      </c>
      <c r="T492" s="6">
        <v>44131</v>
      </c>
      <c r="U492" s="5"/>
      <c r="V492" s="6">
        <v>44134</v>
      </c>
      <c r="W492" s="5"/>
      <c r="X492" s="5"/>
      <c r="Y492" s="5" t="s">
        <v>2387</v>
      </c>
      <c r="Z492" s="5" t="s">
        <v>2387</v>
      </c>
      <c r="AA492" s="5" t="s">
        <v>603</v>
      </c>
      <c r="AB492" s="5" t="s">
        <v>67</v>
      </c>
      <c r="AC492" s="5" t="s">
        <v>67</v>
      </c>
      <c r="AD492" s="5" t="s">
        <v>68</v>
      </c>
      <c r="AE492" s="5"/>
      <c r="AF492" s="5" t="s">
        <v>2179</v>
      </c>
      <c r="AG492" s="5" t="s">
        <v>2180</v>
      </c>
      <c r="AH492" s="5" t="s">
        <v>2179</v>
      </c>
      <c r="AI492" s="5" t="s">
        <v>605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7.7</v>
      </c>
      <c r="AP492" s="5">
        <v>8.199999999999999E-2</v>
      </c>
      <c r="AQ492" s="5" t="s">
        <v>713</v>
      </c>
      <c r="AR492" s="5" t="s">
        <v>1104</v>
      </c>
      <c r="AS492" s="5"/>
      <c r="AT492" s="5"/>
      <c r="AU492" s="5"/>
      <c r="AV492" s="5">
        <v>-1</v>
      </c>
      <c r="AW492" s="5" t="s">
        <v>1498</v>
      </c>
    </row>
    <row r="493" spans="1:49" x14ac:dyDescent="0.55000000000000004">
      <c r="A493" s="5" t="str">
        <f>HYPERLINK("https://www.infodis.net/philips/net/Shipment/Details?InfodisNumber=1550924&amp;DomainCode=PHILIPSM1", "1550924")</f>
        <v>1550924</v>
      </c>
      <c r="B493" s="5" t="s">
        <v>3942</v>
      </c>
      <c r="C493" s="5" t="s">
        <v>2491</v>
      </c>
      <c r="D493" s="5" t="s">
        <v>2492</v>
      </c>
      <c r="E493" s="5" t="s">
        <v>2491</v>
      </c>
      <c r="F493" s="5" t="s">
        <v>3459</v>
      </c>
      <c r="G493" s="5" t="s">
        <v>1431</v>
      </c>
      <c r="H493" s="5" t="s">
        <v>180</v>
      </c>
      <c r="I493" s="5" t="s">
        <v>2494</v>
      </c>
      <c r="J493" s="5" t="s">
        <v>3460</v>
      </c>
      <c r="K493" s="5" t="s">
        <v>3461</v>
      </c>
      <c r="L493" s="5" t="s">
        <v>3462</v>
      </c>
      <c r="M493" s="5" t="s">
        <v>60</v>
      </c>
      <c r="N493" s="5"/>
      <c r="O493" s="5"/>
      <c r="P493" s="5" t="s">
        <v>1434</v>
      </c>
      <c r="Q493" s="5" t="s">
        <v>3943</v>
      </c>
      <c r="R493" s="5" t="s">
        <v>2922</v>
      </c>
      <c r="S493" s="6">
        <v>44130</v>
      </c>
      <c r="T493" s="6">
        <v>44131</v>
      </c>
      <c r="U493" s="6">
        <v>44132</v>
      </c>
      <c r="V493" s="6">
        <v>44131</v>
      </c>
      <c r="W493" s="6">
        <v>44143</v>
      </c>
      <c r="X493" s="5"/>
      <c r="Y493" s="5" t="s">
        <v>2387</v>
      </c>
      <c r="Z493" s="5" t="s">
        <v>2387</v>
      </c>
      <c r="AA493" s="5" t="s">
        <v>603</v>
      </c>
      <c r="AB493" s="5" t="s">
        <v>67</v>
      </c>
      <c r="AC493" s="5" t="s">
        <v>67</v>
      </c>
      <c r="AD493" s="5" t="s">
        <v>68</v>
      </c>
      <c r="AE493" s="5"/>
      <c r="AF493" s="5" t="s">
        <v>2499</v>
      </c>
      <c r="AG493" s="5" t="s">
        <v>2500</v>
      </c>
      <c r="AH493" s="5" t="s">
        <v>2499</v>
      </c>
      <c r="AI493" s="5" t="s">
        <v>605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339.3</v>
      </c>
      <c r="AP493" s="5">
        <v>2.5009999999999999</v>
      </c>
      <c r="AQ493" s="5" t="s">
        <v>713</v>
      </c>
      <c r="AR493" s="5" t="s">
        <v>1104</v>
      </c>
      <c r="AS493" s="5"/>
      <c r="AT493" s="5"/>
      <c r="AU493" s="5"/>
      <c r="AV493" s="5">
        <v>-1</v>
      </c>
      <c r="AW493" s="5" t="s">
        <v>1498</v>
      </c>
    </row>
    <row r="494" spans="1:49" x14ac:dyDescent="0.55000000000000004">
      <c r="A494" s="5" t="str">
        <f>HYPERLINK("https://www.infodis.net/philips/net/Shipment/Details?InfodisNumber=4551614&amp;DomainCode=DAP", "4551614")</f>
        <v>4551614</v>
      </c>
      <c r="B494" s="5" t="s">
        <v>3944</v>
      </c>
      <c r="C494" s="5" t="s">
        <v>2344</v>
      </c>
      <c r="D494" s="5" t="s">
        <v>2345</v>
      </c>
      <c r="E494" s="5" t="s">
        <v>191</v>
      </c>
      <c r="F494" s="5" t="s">
        <v>191</v>
      </c>
      <c r="G494" s="5" t="s">
        <v>281</v>
      </c>
      <c r="H494" s="5" t="s">
        <v>79</v>
      </c>
      <c r="I494" s="5" t="s">
        <v>268</v>
      </c>
      <c r="J494" s="5" t="s">
        <v>2341</v>
      </c>
      <c r="K494" s="5" t="s">
        <v>219</v>
      </c>
      <c r="L494" s="5" t="s">
        <v>180</v>
      </c>
      <c r="M494" s="5" t="s">
        <v>84</v>
      </c>
      <c r="N494" s="5"/>
      <c r="O494" s="5"/>
      <c r="P494" s="5" t="s">
        <v>286</v>
      </c>
      <c r="Q494" s="5"/>
      <c r="R494" s="5" t="s">
        <v>223</v>
      </c>
      <c r="S494" s="6">
        <v>44141</v>
      </c>
      <c r="T494" s="6">
        <v>44145</v>
      </c>
      <c r="U494" s="5"/>
      <c r="V494" s="6">
        <v>44148</v>
      </c>
      <c r="W494" s="5"/>
      <c r="X494" s="5"/>
      <c r="Y494" s="5" t="s">
        <v>66</v>
      </c>
      <c r="Z494" s="5" t="s">
        <v>2371</v>
      </c>
      <c r="AA494" s="5" t="s">
        <v>2371</v>
      </c>
      <c r="AB494" s="5" t="s">
        <v>68</v>
      </c>
      <c r="AC494" s="5" t="s">
        <v>67</v>
      </c>
      <c r="AD494" s="5" t="s">
        <v>67</v>
      </c>
      <c r="AE494" s="5"/>
      <c r="AF494" s="5" t="s">
        <v>2179</v>
      </c>
      <c r="AG494" s="5" t="s">
        <v>2180</v>
      </c>
      <c r="AH494" s="5" t="s">
        <v>2179</v>
      </c>
      <c r="AI494" s="5" t="s">
        <v>73</v>
      </c>
      <c r="AJ494" s="5">
        <v>0</v>
      </c>
      <c r="AK494" s="5">
        <v>0</v>
      </c>
      <c r="AL494" s="5">
        <v>0</v>
      </c>
      <c r="AM494" s="5">
        <v>0</v>
      </c>
      <c r="AN494" s="5">
        <v>12</v>
      </c>
      <c r="AO494" s="5">
        <v>2160</v>
      </c>
      <c r="AP494" s="5">
        <v>17.28</v>
      </c>
      <c r="AQ494" s="5" t="s">
        <v>713</v>
      </c>
      <c r="AR494" s="5" t="s">
        <v>1104</v>
      </c>
      <c r="AS494" s="5"/>
      <c r="AT494" s="5"/>
      <c r="AU494" s="5"/>
      <c r="AV494" s="5">
        <v>-1</v>
      </c>
      <c r="AW494" s="5" t="s">
        <v>1368</v>
      </c>
    </row>
    <row r="495" spans="1:49" x14ac:dyDescent="0.55000000000000004">
      <c r="A495" s="5" t="str">
        <f>HYPERLINK("https://www.infodis.net/philips/net/Shipment/Details?InfodisNumber=4550039&amp;DomainCode=DAP", "4550039")</f>
        <v>4550039</v>
      </c>
      <c r="B495" s="5" t="s">
        <v>3945</v>
      </c>
      <c r="C495" s="5" t="s">
        <v>2502</v>
      </c>
      <c r="D495" s="5" t="s">
        <v>2503</v>
      </c>
      <c r="E495" s="5" t="s">
        <v>256</v>
      </c>
      <c r="F495" s="5" t="s">
        <v>256</v>
      </c>
      <c r="G495" s="5" t="s">
        <v>1179</v>
      </c>
      <c r="H495" s="5" t="s">
        <v>180</v>
      </c>
      <c r="I495" s="5" t="s">
        <v>2368</v>
      </c>
      <c r="J495" s="5" t="s">
        <v>2626</v>
      </c>
      <c r="K495" s="5" t="s">
        <v>259</v>
      </c>
      <c r="L495" s="5" t="s">
        <v>260</v>
      </c>
      <c r="M495" s="5" t="s">
        <v>60</v>
      </c>
      <c r="N495" s="5"/>
      <c r="O495" s="5"/>
      <c r="P495" s="5" t="s">
        <v>1181</v>
      </c>
      <c r="Q495" s="5"/>
      <c r="R495" s="5" t="s">
        <v>262</v>
      </c>
      <c r="S495" s="6">
        <v>44140</v>
      </c>
      <c r="T495" s="6">
        <v>44140</v>
      </c>
      <c r="U495" s="5"/>
      <c r="V495" s="6">
        <v>44143</v>
      </c>
      <c r="W495" s="5"/>
      <c r="X495" s="5"/>
      <c r="Y495" s="5" t="s">
        <v>2398</v>
      </c>
      <c r="Z495" s="5" t="s">
        <v>2398</v>
      </c>
      <c r="AA495" s="5" t="s">
        <v>2398</v>
      </c>
      <c r="AB495" s="5" t="s">
        <v>67</v>
      </c>
      <c r="AC495" s="5" t="s">
        <v>67</v>
      </c>
      <c r="AD495" s="5" t="s">
        <v>67</v>
      </c>
      <c r="AE495" s="5"/>
      <c r="AF495" s="5" t="s">
        <v>2179</v>
      </c>
      <c r="AG495" s="5" t="s">
        <v>2180</v>
      </c>
      <c r="AH495" s="5" t="s">
        <v>2179</v>
      </c>
      <c r="AI495" s="5" t="s">
        <v>73</v>
      </c>
      <c r="AJ495" s="5">
        <v>0</v>
      </c>
      <c r="AK495" s="5">
        <v>0</v>
      </c>
      <c r="AL495" s="5">
        <v>0</v>
      </c>
      <c r="AM495" s="5">
        <v>0</v>
      </c>
      <c r="AN495" s="5">
        <v>1</v>
      </c>
      <c r="AO495" s="5">
        <v>498</v>
      </c>
      <c r="AP495" s="5">
        <v>1.552</v>
      </c>
      <c r="AQ495" s="5" t="s">
        <v>713</v>
      </c>
      <c r="AR495" s="5" t="s">
        <v>1104</v>
      </c>
      <c r="AS495" s="5"/>
      <c r="AT495" s="5"/>
      <c r="AU495" s="5"/>
      <c r="AV495" s="5">
        <v>-1</v>
      </c>
      <c r="AW495" s="5" t="s">
        <v>1110</v>
      </c>
    </row>
    <row r="496" spans="1:49" x14ac:dyDescent="0.55000000000000004">
      <c r="A496" s="5" t="str">
        <f>HYPERLINK("https://www.infodis.net/philips/net/Shipment/Details?InfodisNumber=4324882&amp;DomainCode=DAP", "4324882")</f>
        <v>4324882</v>
      </c>
      <c r="B496" s="5" t="s">
        <v>3946</v>
      </c>
      <c r="C496" s="5" t="s">
        <v>2125</v>
      </c>
      <c r="D496" s="5" t="s">
        <v>2126</v>
      </c>
      <c r="E496" s="5" t="s">
        <v>393</v>
      </c>
      <c r="F496" s="5" t="s">
        <v>3947</v>
      </c>
      <c r="G496" s="5" t="s">
        <v>394</v>
      </c>
      <c r="H496" s="5" t="s">
        <v>79</v>
      </c>
      <c r="I496" s="5" t="s">
        <v>587</v>
      </c>
      <c r="J496" s="5" t="s">
        <v>1070</v>
      </c>
      <c r="K496" s="5" t="s">
        <v>3948</v>
      </c>
      <c r="L496" s="5" t="s">
        <v>180</v>
      </c>
      <c r="M496" s="5" t="s">
        <v>84</v>
      </c>
      <c r="N496" s="5"/>
      <c r="O496" s="5"/>
      <c r="P496" s="5" t="s">
        <v>398</v>
      </c>
      <c r="Q496" s="5"/>
      <c r="R496" s="5" t="s">
        <v>3947</v>
      </c>
      <c r="S496" s="6">
        <v>43763</v>
      </c>
      <c r="T496" s="6">
        <v>43767</v>
      </c>
      <c r="U496" s="6">
        <v>43773</v>
      </c>
      <c r="V496" s="6">
        <v>43770</v>
      </c>
      <c r="W496" s="6">
        <v>43768</v>
      </c>
      <c r="X496" s="6">
        <v>43769</v>
      </c>
      <c r="Y496" s="5" t="s">
        <v>3291</v>
      </c>
      <c r="Z496" s="5" t="s">
        <v>2411</v>
      </c>
      <c r="AA496" s="5" t="s">
        <v>2411</v>
      </c>
      <c r="AB496" s="5" t="s">
        <v>67</v>
      </c>
      <c r="AC496" s="5" t="s">
        <v>67</v>
      </c>
      <c r="AD496" s="5" t="s">
        <v>67</v>
      </c>
      <c r="AE496" s="5"/>
      <c r="AF496" s="5" t="s">
        <v>2179</v>
      </c>
      <c r="AG496" s="5" t="s">
        <v>2180</v>
      </c>
      <c r="AH496" s="5" t="s">
        <v>2179</v>
      </c>
      <c r="AI496" s="5" t="s">
        <v>73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64</v>
      </c>
      <c r="AP496" s="5">
        <v>0.48</v>
      </c>
      <c r="AQ496" s="5" t="s">
        <v>713</v>
      </c>
      <c r="AR496" s="5" t="s">
        <v>1104</v>
      </c>
      <c r="AS496" s="5" t="s">
        <v>713</v>
      </c>
      <c r="AT496" s="6">
        <v>43773</v>
      </c>
      <c r="AU496" s="5" t="s">
        <v>3949</v>
      </c>
      <c r="AV496" s="5">
        <v>389</v>
      </c>
      <c r="AW496" s="5" t="s">
        <v>3950</v>
      </c>
    </row>
    <row r="497" spans="1:49" x14ac:dyDescent="0.55000000000000004">
      <c r="A497" s="5" t="str">
        <f>HYPERLINK("https://www.infodis.net/philips/net/Shipment/Details?InfodisNumber=4555723&amp;DomainCode=DAP", "4555723")</f>
        <v>4555723</v>
      </c>
      <c r="B497" s="5" t="s">
        <v>3951</v>
      </c>
      <c r="C497" s="5" t="s">
        <v>2339</v>
      </c>
      <c r="D497" s="5" t="s">
        <v>2340</v>
      </c>
      <c r="E497" s="5" t="s">
        <v>191</v>
      </c>
      <c r="F497" s="5" t="s">
        <v>2814</v>
      </c>
      <c r="G497" s="5" t="s">
        <v>219</v>
      </c>
      <c r="H497" s="5" t="s">
        <v>180</v>
      </c>
      <c r="I497" s="5" t="s">
        <v>2341</v>
      </c>
      <c r="J497" s="5" t="s">
        <v>2791</v>
      </c>
      <c r="K497" s="5" t="s">
        <v>1679</v>
      </c>
      <c r="L497" s="5" t="s">
        <v>384</v>
      </c>
      <c r="M497" s="5" t="s">
        <v>385</v>
      </c>
      <c r="N497" s="5"/>
      <c r="O497" s="5"/>
      <c r="P497" s="5" t="s">
        <v>223</v>
      </c>
      <c r="Q497" s="5"/>
      <c r="R497" s="5" t="s">
        <v>389</v>
      </c>
      <c r="S497" s="6">
        <v>44146</v>
      </c>
      <c r="T497" s="6">
        <v>44147</v>
      </c>
      <c r="U497" s="5"/>
      <c r="V497" s="6">
        <v>44150</v>
      </c>
      <c r="W497" s="5"/>
      <c r="X497" s="5"/>
      <c r="Y497" s="5" t="s">
        <v>2398</v>
      </c>
      <c r="Z497" s="5" t="s">
        <v>2398</v>
      </c>
      <c r="AA497" s="5" t="s">
        <v>66</v>
      </c>
      <c r="AB497" s="5" t="s">
        <v>67</v>
      </c>
      <c r="AC497" s="5" t="s">
        <v>67</v>
      </c>
      <c r="AD497" s="5" t="s">
        <v>68</v>
      </c>
      <c r="AE497" s="5"/>
      <c r="AF497" s="5" t="s">
        <v>2179</v>
      </c>
      <c r="AG497" s="5" t="s">
        <v>2180</v>
      </c>
      <c r="AH497" s="5" t="s">
        <v>2179</v>
      </c>
      <c r="AI497" s="5" t="s">
        <v>73</v>
      </c>
      <c r="AJ497" s="5">
        <v>0</v>
      </c>
      <c r="AK497" s="5">
        <v>0</v>
      </c>
      <c r="AL497" s="5">
        <v>0</v>
      </c>
      <c r="AM497" s="5">
        <v>0</v>
      </c>
      <c r="AN497" s="5">
        <v>4</v>
      </c>
      <c r="AO497" s="5">
        <v>900</v>
      </c>
      <c r="AP497" s="5">
        <v>-1</v>
      </c>
      <c r="AQ497" s="5" t="s">
        <v>713</v>
      </c>
      <c r="AR497" s="5" t="s">
        <v>1104</v>
      </c>
      <c r="AS497" s="5"/>
      <c r="AT497" s="5"/>
      <c r="AU497" s="5"/>
      <c r="AV497" s="5">
        <v>-1</v>
      </c>
      <c r="AW497" s="5" t="s">
        <v>1368</v>
      </c>
    </row>
    <row r="498" spans="1:49" x14ac:dyDescent="0.55000000000000004">
      <c r="A498" s="5" t="str">
        <f>HYPERLINK("https://www.infodis.net/philips/net/Shipment/Details?InfodisNumber=1401853&amp;DomainCode=PHILIPSM1", "1401853")</f>
        <v>1401853</v>
      </c>
      <c r="B498" s="5" t="s">
        <v>3952</v>
      </c>
      <c r="C498" s="5" t="s">
        <v>2353</v>
      </c>
      <c r="D498" s="5" t="s">
        <v>2354</v>
      </c>
      <c r="E498" s="5" t="s">
        <v>2353</v>
      </c>
      <c r="F498" s="5" t="s">
        <v>3953</v>
      </c>
      <c r="G498" s="5" t="s">
        <v>667</v>
      </c>
      <c r="H498" s="5" t="s">
        <v>79</v>
      </c>
      <c r="I498" s="5" t="s">
        <v>1813</v>
      </c>
      <c r="J498" s="5" t="s">
        <v>2607</v>
      </c>
      <c r="K498" s="5" t="s">
        <v>3954</v>
      </c>
      <c r="L498" s="5" t="s">
        <v>132</v>
      </c>
      <c r="M498" s="5" t="s">
        <v>60</v>
      </c>
      <c r="N498" s="5"/>
      <c r="O498" s="5"/>
      <c r="P498" s="5" t="s">
        <v>1853</v>
      </c>
      <c r="Q498" s="5" t="s">
        <v>3955</v>
      </c>
      <c r="R498" s="5" t="s">
        <v>3956</v>
      </c>
      <c r="S498" s="6">
        <v>43994</v>
      </c>
      <c r="T498" s="6">
        <v>43994</v>
      </c>
      <c r="U498" s="6">
        <v>43995</v>
      </c>
      <c r="V498" s="6">
        <v>43997</v>
      </c>
      <c r="W498" s="6">
        <v>43997</v>
      </c>
      <c r="X498" s="5"/>
      <c r="Y498" s="5" t="s">
        <v>2387</v>
      </c>
      <c r="Z498" s="5" t="s">
        <v>2387</v>
      </c>
      <c r="AA498" s="5" t="s">
        <v>603</v>
      </c>
      <c r="AB498" s="5" t="s">
        <v>67</v>
      </c>
      <c r="AC498" s="5" t="s">
        <v>67</v>
      </c>
      <c r="AD498" s="5" t="s">
        <v>68</v>
      </c>
      <c r="AE498" s="5"/>
      <c r="AF498" s="5" t="s">
        <v>2179</v>
      </c>
      <c r="AG498" s="5" t="s">
        <v>2180</v>
      </c>
      <c r="AH498" s="5" t="s">
        <v>2179</v>
      </c>
      <c r="AI498" s="5" t="s">
        <v>605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41</v>
      </c>
      <c r="AP498" s="5">
        <v>0.27200000000000002</v>
      </c>
      <c r="AQ498" s="5" t="s">
        <v>713</v>
      </c>
      <c r="AR498" s="5" t="s">
        <v>1104</v>
      </c>
      <c r="AS498" s="5"/>
      <c r="AT498" s="5"/>
      <c r="AU498" s="5"/>
      <c r="AV498" s="5">
        <v>-1</v>
      </c>
      <c r="AW498" s="5" t="s">
        <v>3715</v>
      </c>
    </row>
    <row r="499" spans="1:49" x14ac:dyDescent="0.55000000000000004">
      <c r="A499" s="5" t="str">
        <f>HYPERLINK("https://www.infodis.net/philips/net/Shipment/Details?InfodisNumber=1414215&amp;DomainCode=PHILIPSM1", "1414215")</f>
        <v>1414215</v>
      </c>
      <c r="B499" s="5" t="s">
        <v>3957</v>
      </c>
      <c r="C499" s="5" t="s">
        <v>2491</v>
      </c>
      <c r="D499" s="5" t="s">
        <v>2492</v>
      </c>
      <c r="E499" s="5" t="s">
        <v>2491</v>
      </c>
      <c r="F499" s="5" t="s">
        <v>3806</v>
      </c>
      <c r="G499" s="5" t="s">
        <v>1431</v>
      </c>
      <c r="H499" s="5" t="s">
        <v>180</v>
      </c>
      <c r="I499" s="5" t="s">
        <v>2494</v>
      </c>
      <c r="J499" s="5" t="s">
        <v>2454</v>
      </c>
      <c r="K499" s="5" t="s">
        <v>2985</v>
      </c>
      <c r="L499" s="5" t="s">
        <v>443</v>
      </c>
      <c r="M499" s="5" t="s">
        <v>60</v>
      </c>
      <c r="N499" s="5"/>
      <c r="O499" s="5"/>
      <c r="P499" s="5" t="s">
        <v>1434</v>
      </c>
      <c r="Q499" s="5" t="s">
        <v>3958</v>
      </c>
      <c r="R499" s="5" t="s">
        <v>3808</v>
      </c>
      <c r="S499" s="6">
        <v>44005</v>
      </c>
      <c r="T499" s="6">
        <v>44005</v>
      </c>
      <c r="U499" s="6">
        <v>44005</v>
      </c>
      <c r="V499" s="6">
        <v>44006</v>
      </c>
      <c r="W499" s="6">
        <v>44012</v>
      </c>
      <c r="X499" s="5"/>
      <c r="Y499" s="5" t="s">
        <v>2387</v>
      </c>
      <c r="Z499" s="5" t="s">
        <v>2387</v>
      </c>
      <c r="AA499" s="5" t="s">
        <v>603</v>
      </c>
      <c r="AB499" s="5" t="s">
        <v>67</v>
      </c>
      <c r="AC499" s="5" t="s">
        <v>67</v>
      </c>
      <c r="AD499" s="5" t="s">
        <v>68</v>
      </c>
      <c r="AE499" s="5"/>
      <c r="AF499" s="5" t="s">
        <v>2610</v>
      </c>
      <c r="AG499" s="5" t="s">
        <v>2611</v>
      </c>
      <c r="AH499" s="5" t="s">
        <v>2610</v>
      </c>
      <c r="AI499" s="5" t="s">
        <v>605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27.7</v>
      </c>
      <c r="AP499" s="5">
        <v>0.108</v>
      </c>
      <c r="AQ499" s="5" t="s">
        <v>713</v>
      </c>
      <c r="AR499" s="5" t="s">
        <v>1104</v>
      </c>
      <c r="AS499" s="5"/>
      <c r="AT499" s="5"/>
      <c r="AU499" s="5"/>
      <c r="AV499" s="5">
        <v>-1</v>
      </c>
      <c r="AW499" s="5" t="s">
        <v>3672</v>
      </c>
    </row>
    <row r="500" spans="1:49" x14ac:dyDescent="0.55000000000000004">
      <c r="A500" s="5" t="str">
        <f>HYPERLINK("https://www.infodis.net/philips/net/Shipment/Details?InfodisNumber=4549190&amp;DomainCode=DAP", "4549190")</f>
        <v>4549190</v>
      </c>
      <c r="B500" s="5" t="s">
        <v>3959</v>
      </c>
      <c r="C500" s="5" t="s">
        <v>212</v>
      </c>
      <c r="D500" s="5" t="s">
        <v>213</v>
      </c>
      <c r="E500" s="5" t="s">
        <v>214</v>
      </c>
      <c r="F500" s="5" t="s">
        <v>2069</v>
      </c>
      <c r="G500" s="5" t="s">
        <v>216</v>
      </c>
      <c r="H500" s="5" t="s">
        <v>55</v>
      </c>
      <c r="I500" s="5" t="s">
        <v>2367</v>
      </c>
      <c r="J500" s="5" t="s">
        <v>293</v>
      </c>
      <c r="K500" s="5" t="s">
        <v>937</v>
      </c>
      <c r="L500" s="5" t="s">
        <v>938</v>
      </c>
      <c r="M500" s="5" t="s">
        <v>60</v>
      </c>
      <c r="N500" s="5"/>
      <c r="O500" s="5"/>
      <c r="P500" s="5" t="s">
        <v>2369</v>
      </c>
      <c r="Q500" s="5" t="s">
        <v>3960</v>
      </c>
      <c r="R500" s="5" t="s">
        <v>2424</v>
      </c>
      <c r="S500" s="6">
        <v>44138</v>
      </c>
      <c r="T500" s="6">
        <v>44139</v>
      </c>
      <c r="U500" s="6">
        <v>44139</v>
      </c>
      <c r="V500" s="6">
        <v>44142</v>
      </c>
      <c r="W500" s="6">
        <v>44141</v>
      </c>
      <c r="X500" s="6">
        <v>44144</v>
      </c>
      <c r="Y500" s="5" t="s">
        <v>2398</v>
      </c>
      <c r="Z500" s="5" t="s">
        <v>2398</v>
      </c>
      <c r="AA500" s="5" t="s">
        <v>2398</v>
      </c>
      <c r="AB500" s="5" t="s">
        <v>67</v>
      </c>
      <c r="AC500" s="5" t="s">
        <v>67</v>
      </c>
      <c r="AD500" s="5" t="s">
        <v>67</v>
      </c>
      <c r="AE500" s="5"/>
      <c r="AF500" s="5" t="s">
        <v>2179</v>
      </c>
      <c r="AG500" s="5" t="s">
        <v>2180</v>
      </c>
      <c r="AH500" s="5" t="s">
        <v>2179</v>
      </c>
      <c r="AI500" s="5" t="s">
        <v>73</v>
      </c>
      <c r="AJ500" s="5">
        <v>0</v>
      </c>
      <c r="AK500" s="5">
        <v>0</v>
      </c>
      <c r="AL500" s="5">
        <v>0</v>
      </c>
      <c r="AM500" s="5">
        <v>0</v>
      </c>
      <c r="AN500" s="5">
        <v>1</v>
      </c>
      <c r="AO500" s="5">
        <v>249</v>
      </c>
      <c r="AP500" s="5">
        <v>2.286</v>
      </c>
      <c r="AQ500" s="5" t="s">
        <v>713</v>
      </c>
      <c r="AR500" s="5" t="s">
        <v>1104</v>
      </c>
      <c r="AS500" s="5" t="s">
        <v>713</v>
      </c>
      <c r="AT500" s="6">
        <v>44147</v>
      </c>
      <c r="AU500" s="5" t="s">
        <v>3961</v>
      </c>
      <c r="AV500" s="5">
        <v>15</v>
      </c>
      <c r="AW500" s="5" t="s">
        <v>3962</v>
      </c>
    </row>
    <row r="501" spans="1:49" x14ac:dyDescent="0.55000000000000004">
      <c r="A501" s="5" t="str">
        <f>HYPERLINK("https://www.infodis.net/philips/net/Shipment/Details?InfodisNumber=1401849&amp;DomainCode=PHILIPSM1", "1401849")</f>
        <v>1401849</v>
      </c>
      <c r="B501" s="5" t="s">
        <v>3963</v>
      </c>
      <c r="C501" s="5" t="s">
        <v>2353</v>
      </c>
      <c r="D501" s="5" t="s">
        <v>2354</v>
      </c>
      <c r="E501" s="5" t="s">
        <v>2353</v>
      </c>
      <c r="F501" s="5" t="s">
        <v>3953</v>
      </c>
      <c r="G501" s="5" t="s">
        <v>667</v>
      </c>
      <c r="H501" s="5" t="s">
        <v>79</v>
      </c>
      <c r="I501" s="5" t="s">
        <v>1813</v>
      </c>
      <c r="J501" s="5" t="s">
        <v>2607</v>
      </c>
      <c r="K501" s="5" t="s">
        <v>3954</v>
      </c>
      <c r="L501" s="5" t="s">
        <v>132</v>
      </c>
      <c r="M501" s="5" t="s">
        <v>60</v>
      </c>
      <c r="N501" s="5"/>
      <c r="O501" s="5"/>
      <c r="P501" s="5" t="s">
        <v>1853</v>
      </c>
      <c r="Q501" s="5" t="s">
        <v>3964</v>
      </c>
      <c r="R501" s="5" t="s">
        <v>3956</v>
      </c>
      <c r="S501" s="6">
        <v>43994</v>
      </c>
      <c r="T501" s="6">
        <v>43994</v>
      </c>
      <c r="U501" s="6">
        <v>43995</v>
      </c>
      <c r="V501" s="6">
        <v>43997</v>
      </c>
      <c r="W501" s="6">
        <v>43997</v>
      </c>
      <c r="X501" s="5"/>
      <c r="Y501" s="5" t="s">
        <v>2387</v>
      </c>
      <c r="Z501" s="5" t="s">
        <v>2387</v>
      </c>
      <c r="AA501" s="5" t="s">
        <v>603</v>
      </c>
      <c r="AB501" s="5" t="s">
        <v>67</v>
      </c>
      <c r="AC501" s="5" t="s">
        <v>67</v>
      </c>
      <c r="AD501" s="5" t="s">
        <v>68</v>
      </c>
      <c r="AE501" s="5"/>
      <c r="AF501" s="5" t="s">
        <v>2179</v>
      </c>
      <c r="AG501" s="5" t="s">
        <v>2180</v>
      </c>
      <c r="AH501" s="5" t="s">
        <v>2179</v>
      </c>
      <c r="AI501" s="5" t="s">
        <v>605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146</v>
      </c>
      <c r="AP501" s="5">
        <v>1.1890000000000001</v>
      </c>
      <c r="AQ501" s="5" t="s">
        <v>713</v>
      </c>
      <c r="AR501" s="5" t="s">
        <v>1104</v>
      </c>
      <c r="AS501" s="5"/>
      <c r="AT501" s="5"/>
      <c r="AU501" s="5"/>
      <c r="AV501" s="5">
        <v>-1</v>
      </c>
      <c r="AW501" s="5" t="s">
        <v>3715</v>
      </c>
    </row>
    <row r="502" spans="1:49" x14ac:dyDescent="0.55000000000000004">
      <c r="A502" s="5" t="str">
        <f>HYPERLINK("https://www.infodis.net/philips/net/Shipment/Details?InfodisNumber=4550976&amp;DomainCode=DAP", "4550976")</f>
        <v>4550976</v>
      </c>
      <c r="B502" s="5" t="s">
        <v>3965</v>
      </c>
      <c r="C502" s="5" t="s">
        <v>2502</v>
      </c>
      <c r="D502" s="5" t="s">
        <v>2503</v>
      </c>
      <c r="E502" s="5" t="s">
        <v>256</v>
      </c>
      <c r="F502" s="5" t="s">
        <v>256</v>
      </c>
      <c r="G502" s="5" t="s">
        <v>1179</v>
      </c>
      <c r="H502" s="5" t="s">
        <v>180</v>
      </c>
      <c r="I502" s="5" t="s">
        <v>2368</v>
      </c>
      <c r="J502" s="5" t="s">
        <v>2626</v>
      </c>
      <c r="K502" s="5" t="s">
        <v>259</v>
      </c>
      <c r="L502" s="5" t="s">
        <v>260</v>
      </c>
      <c r="M502" s="5" t="s">
        <v>60</v>
      </c>
      <c r="N502" s="5"/>
      <c r="O502" s="5"/>
      <c r="P502" s="5" t="s">
        <v>1181</v>
      </c>
      <c r="Q502" s="5"/>
      <c r="R502" s="5" t="s">
        <v>262</v>
      </c>
      <c r="S502" s="6">
        <v>44141</v>
      </c>
      <c r="T502" s="6">
        <v>44141</v>
      </c>
      <c r="U502" s="5"/>
      <c r="V502" s="6">
        <v>44144</v>
      </c>
      <c r="W502" s="5"/>
      <c r="X502" s="5"/>
      <c r="Y502" s="5" t="s">
        <v>2398</v>
      </c>
      <c r="Z502" s="5" t="s">
        <v>2398</v>
      </c>
      <c r="AA502" s="5" t="s">
        <v>2398</v>
      </c>
      <c r="AB502" s="5" t="s">
        <v>67</v>
      </c>
      <c r="AC502" s="5" t="s">
        <v>67</v>
      </c>
      <c r="AD502" s="5" t="s">
        <v>67</v>
      </c>
      <c r="AE502" s="5"/>
      <c r="AF502" s="5" t="s">
        <v>2179</v>
      </c>
      <c r="AG502" s="5" t="s">
        <v>2180</v>
      </c>
      <c r="AH502" s="5" t="s">
        <v>2179</v>
      </c>
      <c r="AI502" s="5" t="s">
        <v>73</v>
      </c>
      <c r="AJ502" s="5">
        <v>0</v>
      </c>
      <c r="AK502" s="5">
        <v>0</v>
      </c>
      <c r="AL502" s="5">
        <v>0</v>
      </c>
      <c r="AM502" s="5">
        <v>0</v>
      </c>
      <c r="AN502" s="5">
        <v>1</v>
      </c>
      <c r="AO502" s="5">
        <v>112</v>
      </c>
      <c r="AP502" s="5">
        <v>0.44</v>
      </c>
      <c r="AQ502" s="5" t="s">
        <v>713</v>
      </c>
      <c r="AR502" s="5" t="s">
        <v>1104</v>
      </c>
      <c r="AS502" s="5"/>
      <c r="AT502" s="5"/>
      <c r="AU502" s="5"/>
      <c r="AV502" s="5">
        <v>-1</v>
      </c>
      <c r="AW502" s="5" t="s">
        <v>1110</v>
      </c>
    </row>
    <row r="503" spans="1:49" x14ac:dyDescent="0.55000000000000004">
      <c r="A503" s="5" t="str">
        <f>HYPERLINK("https://www.infodis.net/philips/net/Shipment/Details?InfodisNumber=4543756&amp;DomainCode=DAP", "4543756")</f>
        <v>4543756</v>
      </c>
      <c r="B503" s="5" t="s">
        <v>3966</v>
      </c>
      <c r="C503" s="5" t="s">
        <v>2502</v>
      </c>
      <c r="D503" s="5" t="s">
        <v>2503</v>
      </c>
      <c r="E503" s="5" t="s">
        <v>256</v>
      </c>
      <c r="F503" s="5" t="s">
        <v>256</v>
      </c>
      <c r="G503" s="5" t="s">
        <v>1179</v>
      </c>
      <c r="H503" s="5" t="s">
        <v>180</v>
      </c>
      <c r="I503" s="5" t="s">
        <v>2368</v>
      </c>
      <c r="J503" s="5" t="s">
        <v>2626</v>
      </c>
      <c r="K503" s="5" t="s">
        <v>259</v>
      </c>
      <c r="L503" s="5" t="s">
        <v>260</v>
      </c>
      <c r="M503" s="5" t="s">
        <v>60</v>
      </c>
      <c r="N503" s="5"/>
      <c r="O503" s="5"/>
      <c r="P503" s="5" t="s">
        <v>1181</v>
      </c>
      <c r="Q503" s="5"/>
      <c r="R503" s="5" t="s">
        <v>262</v>
      </c>
      <c r="S503" s="6">
        <v>44131</v>
      </c>
      <c r="T503" s="6">
        <v>44131</v>
      </c>
      <c r="U503" s="6">
        <v>44134</v>
      </c>
      <c r="V503" s="6">
        <v>44134</v>
      </c>
      <c r="W503" s="5"/>
      <c r="X503" s="5"/>
      <c r="Y503" s="5" t="s">
        <v>2398</v>
      </c>
      <c r="Z503" s="5" t="s">
        <v>2398</v>
      </c>
      <c r="AA503" s="5" t="s">
        <v>2398</v>
      </c>
      <c r="AB503" s="5" t="s">
        <v>67</v>
      </c>
      <c r="AC503" s="5" t="s">
        <v>67</v>
      </c>
      <c r="AD503" s="5" t="s">
        <v>67</v>
      </c>
      <c r="AE503" s="5"/>
      <c r="AF503" s="5" t="s">
        <v>2179</v>
      </c>
      <c r="AG503" s="5" t="s">
        <v>2180</v>
      </c>
      <c r="AH503" s="5" t="s">
        <v>2179</v>
      </c>
      <c r="AI503" s="5" t="s">
        <v>73</v>
      </c>
      <c r="AJ503" s="5">
        <v>0</v>
      </c>
      <c r="AK503" s="5">
        <v>0</v>
      </c>
      <c r="AL503" s="5">
        <v>0</v>
      </c>
      <c r="AM503" s="5">
        <v>0</v>
      </c>
      <c r="AN503" s="5">
        <v>1</v>
      </c>
      <c r="AO503" s="5">
        <v>107</v>
      </c>
      <c r="AP503" s="5">
        <v>-1</v>
      </c>
      <c r="AQ503" s="5" t="s">
        <v>713</v>
      </c>
      <c r="AR503" s="5" t="s">
        <v>1104</v>
      </c>
      <c r="AS503" s="5"/>
      <c r="AT503" s="5"/>
      <c r="AU503" s="5"/>
      <c r="AV503" s="5">
        <v>-1</v>
      </c>
      <c r="AW503" s="5" t="s">
        <v>1110</v>
      </c>
    </row>
    <row r="504" spans="1:49" x14ac:dyDescent="0.55000000000000004">
      <c r="A504" s="5" t="str">
        <f>HYPERLINK("https://www.infodis.net/philips/net/Shipment/Details?InfodisNumber=4275568&amp;DomainCode=DAP", "4275568")</f>
        <v>4275568</v>
      </c>
      <c r="B504" s="5" t="s">
        <v>3967</v>
      </c>
      <c r="C504" s="5" t="s">
        <v>3968</v>
      </c>
      <c r="D504" s="5" t="s">
        <v>3969</v>
      </c>
      <c r="E504" s="5" t="s">
        <v>3968</v>
      </c>
      <c r="F504" s="5" t="s">
        <v>3970</v>
      </c>
      <c r="G504" s="5" t="s">
        <v>3971</v>
      </c>
      <c r="H504" s="5" t="s">
        <v>647</v>
      </c>
      <c r="I504" s="5" t="s">
        <v>2675</v>
      </c>
      <c r="J504" s="5" t="s">
        <v>2454</v>
      </c>
      <c r="K504" s="5" t="s">
        <v>3972</v>
      </c>
      <c r="L504" s="5" t="s">
        <v>443</v>
      </c>
      <c r="M504" s="5" t="s">
        <v>1489</v>
      </c>
      <c r="N504" s="5"/>
      <c r="O504" s="5" t="s">
        <v>3973</v>
      </c>
      <c r="P504" s="5"/>
      <c r="Q504" s="5"/>
      <c r="R504" s="5" t="s">
        <v>2457</v>
      </c>
      <c r="S504" s="6">
        <v>43703</v>
      </c>
      <c r="T504" s="6">
        <v>43643</v>
      </c>
      <c r="U504" s="6">
        <v>43643</v>
      </c>
      <c r="V504" s="6">
        <v>43646</v>
      </c>
      <c r="W504" s="6">
        <v>43644</v>
      </c>
      <c r="X504" s="6">
        <v>43648</v>
      </c>
      <c r="Y504" s="5" t="s">
        <v>2411</v>
      </c>
      <c r="Z504" s="5" t="s">
        <v>2411</v>
      </c>
      <c r="AA504" s="5" t="s">
        <v>2411</v>
      </c>
      <c r="AB504" s="5" t="s">
        <v>67</v>
      </c>
      <c r="AC504" s="5" t="s">
        <v>67</v>
      </c>
      <c r="AD504" s="5" t="s">
        <v>67</v>
      </c>
      <c r="AE504" s="5"/>
      <c r="AF504" s="5" t="s">
        <v>2179</v>
      </c>
      <c r="AG504" s="5" t="s">
        <v>2180</v>
      </c>
      <c r="AH504" s="5" t="s">
        <v>2179</v>
      </c>
      <c r="AI504" s="5" t="s">
        <v>73</v>
      </c>
      <c r="AJ504" s="5">
        <v>0</v>
      </c>
      <c r="AK504" s="5">
        <v>0</v>
      </c>
      <c r="AL504" s="5">
        <v>0</v>
      </c>
      <c r="AM504" s="5">
        <v>0</v>
      </c>
      <c r="AN504" s="5">
        <v>5</v>
      </c>
      <c r="AO504" s="5">
        <v>430</v>
      </c>
      <c r="AP504" s="5">
        <v>7.1120000000000001</v>
      </c>
      <c r="AQ504" s="5" t="s">
        <v>713</v>
      </c>
      <c r="AR504" s="5" t="s">
        <v>1104</v>
      </c>
      <c r="AS504" s="5" t="s">
        <v>713</v>
      </c>
      <c r="AT504" s="5"/>
      <c r="AU504" s="5"/>
      <c r="AV504" s="5">
        <v>-1</v>
      </c>
      <c r="AW504" s="5" t="s">
        <v>3974</v>
      </c>
    </row>
    <row r="505" spans="1:49" x14ac:dyDescent="0.55000000000000004">
      <c r="A505" s="5" t="str">
        <f>HYPERLINK("https://www.infodis.net/philips/net/Shipment/Details?InfodisNumber=4277024&amp;DomainCode=DAP", "4277024")</f>
        <v>4277024</v>
      </c>
      <c r="B505" s="5" t="s">
        <v>3975</v>
      </c>
      <c r="C505" s="5" t="s">
        <v>3976</v>
      </c>
      <c r="D505" s="5" t="s">
        <v>3977</v>
      </c>
      <c r="E505" s="5" t="s">
        <v>3978</v>
      </c>
      <c r="F505" s="5" t="s">
        <v>77</v>
      </c>
      <c r="G505" s="5" t="s">
        <v>3979</v>
      </c>
      <c r="H505" s="5" t="s">
        <v>846</v>
      </c>
      <c r="I505" s="5" t="s">
        <v>2553</v>
      </c>
      <c r="J505" s="5" t="s">
        <v>2141</v>
      </c>
      <c r="K505" s="5" t="s">
        <v>82</v>
      </c>
      <c r="L505" s="5" t="s">
        <v>83</v>
      </c>
      <c r="M505" s="5" t="s">
        <v>1489</v>
      </c>
      <c r="N505" s="5"/>
      <c r="O505" s="5"/>
      <c r="P505" s="5" t="s">
        <v>3980</v>
      </c>
      <c r="Q505" s="5"/>
      <c r="R505" s="5" t="s">
        <v>87</v>
      </c>
      <c r="S505" s="6">
        <v>43705</v>
      </c>
      <c r="T505" s="6">
        <v>43710</v>
      </c>
      <c r="U505" s="6">
        <v>43710</v>
      </c>
      <c r="V505" s="6">
        <v>43713</v>
      </c>
      <c r="W505" s="6">
        <v>43711</v>
      </c>
      <c r="X505" s="6">
        <v>43720</v>
      </c>
      <c r="Y505" s="5" t="s">
        <v>66</v>
      </c>
      <c r="Z505" s="5" t="s">
        <v>66</v>
      </c>
      <c r="AA505" s="5" t="s">
        <v>66</v>
      </c>
      <c r="AB505" s="5" t="s">
        <v>67</v>
      </c>
      <c r="AC505" s="5" t="s">
        <v>67</v>
      </c>
      <c r="AD505" s="5" t="s">
        <v>67</v>
      </c>
      <c r="AE505" s="5"/>
      <c r="AF505" s="5" t="s">
        <v>2179</v>
      </c>
      <c r="AG505" s="5" t="s">
        <v>2180</v>
      </c>
      <c r="AH505" s="5" t="s">
        <v>2179</v>
      </c>
      <c r="AI505" s="5" t="s">
        <v>73</v>
      </c>
      <c r="AJ505" s="5">
        <v>0</v>
      </c>
      <c r="AK505" s="5">
        <v>0</v>
      </c>
      <c r="AL505" s="5">
        <v>0</v>
      </c>
      <c r="AM505" s="5">
        <v>0</v>
      </c>
      <c r="AN505" s="5">
        <v>1</v>
      </c>
      <c r="AO505" s="5">
        <v>568</v>
      </c>
      <c r="AP505" s="5">
        <v>0.55700000000000005</v>
      </c>
      <c r="AQ505" s="5" t="s">
        <v>713</v>
      </c>
      <c r="AR505" s="5" t="s">
        <v>1104</v>
      </c>
      <c r="AS505" s="5"/>
      <c r="AT505" s="5"/>
      <c r="AU505" s="5"/>
      <c r="AV505" s="5">
        <v>-1</v>
      </c>
      <c r="AW505" s="5" t="s">
        <v>3981</v>
      </c>
    </row>
    <row r="506" spans="1:49" x14ac:dyDescent="0.55000000000000004">
      <c r="A506" s="5" t="str">
        <f>HYPERLINK("https://www.infodis.net/philips/net/Shipment/Details?InfodisNumber=6593810&amp;DomainCode=PHILIPSR1", "6593810")</f>
        <v>6593810</v>
      </c>
      <c r="B506" s="5" t="s">
        <v>3982</v>
      </c>
      <c r="C506" s="5" t="s">
        <v>3983</v>
      </c>
      <c r="D506" s="5" t="s">
        <v>3984</v>
      </c>
      <c r="E506" s="5" t="s">
        <v>3983</v>
      </c>
      <c r="F506" s="5" t="s">
        <v>1664</v>
      </c>
      <c r="G506" s="5" t="s">
        <v>3985</v>
      </c>
      <c r="H506" s="5" t="s">
        <v>100</v>
      </c>
      <c r="I506" s="5" t="s">
        <v>723</v>
      </c>
      <c r="J506" s="5" t="s">
        <v>652</v>
      </c>
      <c r="K506" s="5" t="s">
        <v>1052</v>
      </c>
      <c r="L506" s="5" t="s">
        <v>180</v>
      </c>
      <c r="M506" s="5" t="s">
        <v>84</v>
      </c>
      <c r="N506" s="5"/>
      <c r="O506" s="5"/>
      <c r="P506" s="5" t="s">
        <v>3986</v>
      </c>
      <c r="Q506" s="5" t="s">
        <v>3987</v>
      </c>
      <c r="R506" s="5" t="s">
        <v>1055</v>
      </c>
      <c r="S506" s="6">
        <v>44008</v>
      </c>
      <c r="T506" s="6">
        <v>44012</v>
      </c>
      <c r="U506" s="6">
        <v>44012</v>
      </c>
      <c r="V506" s="6">
        <v>44015</v>
      </c>
      <c r="W506" s="6">
        <v>44013</v>
      </c>
      <c r="X506" s="6">
        <v>44018</v>
      </c>
      <c r="Y506" s="5" t="s">
        <v>3061</v>
      </c>
      <c r="Z506" s="5" t="s">
        <v>3061</v>
      </c>
      <c r="AA506" s="5" t="s">
        <v>3061</v>
      </c>
      <c r="AB506" s="5" t="s">
        <v>67</v>
      </c>
      <c r="AC506" s="5" t="s">
        <v>67</v>
      </c>
      <c r="AD506" s="5" t="s">
        <v>67</v>
      </c>
      <c r="AE506" s="5"/>
      <c r="AF506" s="5" t="s">
        <v>2179</v>
      </c>
      <c r="AG506" s="5" t="s">
        <v>2180</v>
      </c>
      <c r="AH506" s="5" t="s">
        <v>2179</v>
      </c>
      <c r="AI506" s="5" t="s">
        <v>252</v>
      </c>
      <c r="AJ506" s="5">
        <v>0</v>
      </c>
      <c r="AK506" s="5">
        <v>0</v>
      </c>
      <c r="AL506" s="5">
        <v>0</v>
      </c>
      <c r="AM506" s="5">
        <v>0</v>
      </c>
      <c r="AN506" s="5">
        <v>1</v>
      </c>
      <c r="AO506" s="5">
        <v>107</v>
      </c>
      <c r="AP506" s="5">
        <v>1.3939999999999999</v>
      </c>
      <c r="AQ506" s="5" t="s">
        <v>713</v>
      </c>
      <c r="AR506" s="5" t="s">
        <v>1104</v>
      </c>
      <c r="AS506" s="5"/>
      <c r="AT506" s="5"/>
      <c r="AU506" s="5"/>
      <c r="AV506" s="5">
        <v>-1</v>
      </c>
      <c r="AW506" s="5" t="s">
        <v>1269</v>
      </c>
    </row>
    <row r="507" spans="1:49" x14ac:dyDescent="0.55000000000000004">
      <c r="A507" s="5" t="str">
        <f>HYPERLINK("https://www.infodis.net/philips/net/Shipment/Details?InfodisNumber=4543638&amp;DomainCode=DAP", "4543638")</f>
        <v>4543638</v>
      </c>
      <c r="B507" s="5" t="s">
        <v>3988</v>
      </c>
      <c r="C507" s="5" t="s">
        <v>3989</v>
      </c>
      <c r="D507" s="5" t="s">
        <v>3990</v>
      </c>
      <c r="E507" s="5" t="s">
        <v>3989</v>
      </c>
      <c r="F507" s="5" t="s">
        <v>2168</v>
      </c>
      <c r="G507" s="5" t="s">
        <v>3991</v>
      </c>
      <c r="H507" s="5" t="s">
        <v>1263</v>
      </c>
      <c r="I507" s="5" t="s">
        <v>3992</v>
      </c>
      <c r="J507" s="5" t="s">
        <v>268</v>
      </c>
      <c r="K507" s="5" t="s">
        <v>855</v>
      </c>
      <c r="L507" s="5" t="s">
        <v>267</v>
      </c>
      <c r="M507" s="5" t="s">
        <v>1489</v>
      </c>
      <c r="N507" s="5"/>
      <c r="O507" s="5"/>
      <c r="P507" s="5" t="s">
        <v>3993</v>
      </c>
      <c r="Q507" s="5"/>
      <c r="R507" s="5" t="s">
        <v>268</v>
      </c>
      <c r="S507" s="6">
        <v>44131</v>
      </c>
      <c r="T507" s="6">
        <v>44132</v>
      </c>
      <c r="U507" s="5"/>
      <c r="V507" s="6">
        <v>44135</v>
      </c>
      <c r="W507" s="5"/>
      <c r="X507" s="5"/>
      <c r="Y507" s="5" t="s">
        <v>2411</v>
      </c>
      <c r="Z507" s="5" t="s">
        <v>2411</v>
      </c>
      <c r="AA507" s="5" t="s">
        <v>2411</v>
      </c>
      <c r="AB507" s="5" t="s">
        <v>67</v>
      </c>
      <c r="AC507" s="5" t="s">
        <v>67</v>
      </c>
      <c r="AD507" s="5" t="s">
        <v>67</v>
      </c>
      <c r="AE507" s="5"/>
      <c r="AF507" s="5" t="s">
        <v>2179</v>
      </c>
      <c r="AG507" s="5" t="s">
        <v>2180</v>
      </c>
      <c r="AH507" s="5" t="s">
        <v>2179</v>
      </c>
      <c r="AI507" s="5" t="s">
        <v>73</v>
      </c>
      <c r="AJ507" s="5">
        <v>0</v>
      </c>
      <c r="AK507" s="5">
        <v>0</v>
      </c>
      <c r="AL507" s="5">
        <v>0</v>
      </c>
      <c r="AM507" s="5">
        <v>0</v>
      </c>
      <c r="AN507" s="5">
        <v>1</v>
      </c>
      <c r="AO507" s="5">
        <v>20</v>
      </c>
      <c r="AP507" s="5">
        <v>7.2000000000000008E-2</v>
      </c>
      <c r="AQ507" s="5" t="s">
        <v>713</v>
      </c>
      <c r="AR507" s="5" t="s">
        <v>1104</v>
      </c>
      <c r="AS507" s="5"/>
      <c r="AT507" s="5"/>
      <c r="AU507" s="5"/>
      <c r="AV507" s="5">
        <v>-1</v>
      </c>
      <c r="AW507" s="5" t="s">
        <v>1110</v>
      </c>
    </row>
    <row r="508" spans="1:49" x14ac:dyDescent="0.55000000000000004">
      <c r="A508" s="5" t="str">
        <f>HYPERLINK("https://www.infodis.net/philips/net/Shipment/Details?InfodisNumber=4447544&amp;DomainCode=DAP", "4447544")</f>
        <v>4447544</v>
      </c>
      <c r="B508" s="5" t="s">
        <v>3994</v>
      </c>
      <c r="C508" s="5" t="s">
        <v>3683</v>
      </c>
      <c r="D508" s="5" t="s">
        <v>3684</v>
      </c>
      <c r="E508" s="5" t="s">
        <v>3685</v>
      </c>
      <c r="F508" s="5" t="s">
        <v>3686</v>
      </c>
      <c r="G508" s="5" t="s">
        <v>354</v>
      </c>
      <c r="H508" s="5" t="s">
        <v>79</v>
      </c>
      <c r="I508" s="5" t="s">
        <v>1813</v>
      </c>
      <c r="J508" s="5" t="s">
        <v>652</v>
      </c>
      <c r="K508" s="5" t="s">
        <v>2377</v>
      </c>
      <c r="L508" s="5" t="s">
        <v>180</v>
      </c>
      <c r="M508" s="5" t="s">
        <v>1489</v>
      </c>
      <c r="N508" s="5"/>
      <c r="O508" s="5"/>
      <c r="P508" s="5" t="s">
        <v>3687</v>
      </c>
      <c r="Q508" s="5" t="s">
        <v>3995</v>
      </c>
      <c r="R508" s="5" t="s">
        <v>2380</v>
      </c>
      <c r="S508" s="6">
        <v>43980</v>
      </c>
      <c r="T508" s="6">
        <v>43984</v>
      </c>
      <c r="U508" s="6">
        <v>43985</v>
      </c>
      <c r="V508" s="6">
        <v>43987</v>
      </c>
      <c r="W508" s="6">
        <v>43986</v>
      </c>
      <c r="X508" s="6">
        <v>43997</v>
      </c>
      <c r="Y508" s="5" t="s">
        <v>2476</v>
      </c>
      <c r="Z508" s="5" t="s">
        <v>2476</v>
      </c>
      <c r="AA508" s="5" t="s">
        <v>2476</v>
      </c>
      <c r="AB508" s="5" t="s">
        <v>67</v>
      </c>
      <c r="AC508" s="5" t="s">
        <v>67</v>
      </c>
      <c r="AD508" s="5" t="s">
        <v>67</v>
      </c>
      <c r="AE508" s="5"/>
      <c r="AF508" s="5" t="s">
        <v>2179</v>
      </c>
      <c r="AG508" s="5" t="s">
        <v>2180</v>
      </c>
      <c r="AH508" s="5" t="s">
        <v>2179</v>
      </c>
      <c r="AI508" s="5" t="s">
        <v>73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318.99</v>
      </c>
      <c r="AP508" s="5">
        <v>2.0129999999999999</v>
      </c>
      <c r="AQ508" s="5" t="s">
        <v>713</v>
      </c>
      <c r="AR508" s="5" t="s">
        <v>1104</v>
      </c>
      <c r="AS508" s="5"/>
      <c r="AT508" s="5"/>
      <c r="AU508" s="5"/>
      <c r="AV508" s="5">
        <v>-1</v>
      </c>
      <c r="AW508" s="5" t="s">
        <v>2265</v>
      </c>
    </row>
    <row r="509" spans="1:49" x14ac:dyDescent="0.55000000000000004">
      <c r="A509" s="5" t="str">
        <f>HYPERLINK("https://www.infodis.net/philips/net/Shipment/Details?InfodisNumber=4543151&amp;DomainCode=DAP", "4543151")</f>
        <v>4543151</v>
      </c>
      <c r="B509" s="5" t="s">
        <v>3996</v>
      </c>
      <c r="C509" s="5" t="s">
        <v>2125</v>
      </c>
      <c r="D509" s="5" t="s">
        <v>2126</v>
      </c>
      <c r="E509" s="5" t="s">
        <v>393</v>
      </c>
      <c r="F509" s="5" t="s">
        <v>3997</v>
      </c>
      <c r="G509" s="5" t="s">
        <v>394</v>
      </c>
      <c r="H509" s="5" t="s">
        <v>79</v>
      </c>
      <c r="I509" s="5" t="s">
        <v>587</v>
      </c>
      <c r="J509" s="5" t="s">
        <v>2367</v>
      </c>
      <c r="K509" s="5" t="s">
        <v>216</v>
      </c>
      <c r="L509" s="5" t="s">
        <v>55</v>
      </c>
      <c r="M509" s="5" t="s">
        <v>60</v>
      </c>
      <c r="N509" s="5"/>
      <c r="O509" s="5"/>
      <c r="P509" s="5" t="s">
        <v>398</v>
      </c>
      <c r="Q509" s="5" t="s">
        <v>3998</v>
      </c>
      <c r="R509" s="5" t="s">
        <v>496</v>
      </c>
      <c r="S509" s="6">
        <v>44131</v>
      </c>
      <c r="T509" s="6">
        <v>44138</v>
      </c>
      <c r="U509" s="5"/>
      <c r="V509" s="6">
        <v>44141</v>
      </c>
      <c r="W509" s="6">
        <v>44144</v>
      </c>
      <c r="X509" s="6">
        <v>44147</v>
      </c>
      <c r="Y509" s="5" t="s">
        <v>3291</v>
      </c>
      <c r="Z509" s="5" t="s">
        <v>2051</v>
      </c>
      <c r="AA509" s="5" t="s">
        <v>2051</v>
      </c>
      <c r="AB509" s="5" t="s">
        <v>67</v>
      </c>
      <c r="AC509" s="5" t="s">
        <v>67</v>
      </c>
      <c r="AD509" s="5" t="s">
        <v>67</v>
      </c>
      <c r="AE509" s="5"/>
      <c r="AF509" s="5" t="s">
        <v>2179</v>
      </c>
      <c r="AG509" s="5" t="s">
        <v>2180</v>
      </c>
      <c r="AH509" s="5" t="s">
        <v>2179</v>
      </c>
      <c r="AI509" s="5" t="s">
        <v>73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1805</v>
      </c>
      <c r="AP509" s="5">
        <v>11.488</v>
      </c>
      <c r="AQ509" s="5" t="s">
        <v>713</v>
      </c>
      <c r="AR509" s="5" t="s">
        <v>1104</v>
      </c>
      <c r="AS509" s="5" t="s">
        <v>713</v>
      </c>
      <c r="AT509" s="6">
        <v>44130</v>
      </c>
      <c r="AU509" s="5" t="s">
        <v>3774</v>
      </c>
      <c r="AV509" s="5">
        <v>32</v>
      </c>
      <c r="AW509" s="5" t="s">
        <v>3730</v>
      </c>
    </row>
    <row r="510" spans="1:49" x14ac:dyDescent="0.55000000000000004">
      <c r="A510" s="5" t="str">
        <f>HYPERLINK("https://www.infodis.net/philips/net/Shipment/Details?InfodisNumber=1416220&amp;DomainCode=PHILIPSM1", "1416220")</f>
        <v>1416220</v>
      </c>
      <c r="B510" s="5" t="s">
        <v>3999</v>
      </c>
      <c r="C510" s="5" t="s">
        <v>2080</v>
      </c>
      <c r="D510" s="5" t="s">
        <v>2081</v>
      </c>
      <c r="E510" s="5" t="s">
        <v>2082</v>
      </c>
      <c r="F510" s="5" t="s">
        <v>2083</v>
      </c>
      <c r="G510" s="5" t="s">
        <v>1430</v>
      </c>
      <c r="H510" s="5" t="s">
        <v>244</v>
      </c>
      <c r="I510" s="5" t="s">
        <v>2084</v>
      </c>
      <c r="J510" s="5" t="s">
        <v>2085</v>
      </c>
      <c r="K510" s="5" t="s">
        <v>2086</v>
      </c>
      <c r="L510" s="5" t="s">
        <v>2087</v>
      </c>
      <c r="M510" s="5" t="s">
        <v>60</v>
      </c>
      <c r="N510" s="5"/>
      <c r="O510" s="5"/>
      <c r="P510" s="5" t="s">
        <v>1432</v>
      </c>
      <c r="Q510" s="5" t="s">
        <v>4000</v>
      </c>
      <c r="R510" s="5" t="s">
        <v>2086</v>
      </c>
      <c r="S510" s="6">
        <v>44006</v>
      </c>
      <c r="T510" s="6">
        <v>44007</v>
      </c>
      <c r="U510" s="6">
        <v>44007</v>
      </c>
      <c r="V510" s="6">
        <v>44012</v>
      </c>
      <c r="W510" s="6">
        <v>44008</v>
      </c>
      <c r="X510" s="5"/>
      <c r="Y510" s="5" t="s">
        <v>2387</v>
      </c>
      <c r="Z510" s="5" t="s">
        <v>2387</v>
      </c>
      <c r="AA510" s="5" t="s">
        <v>603</v>
      </c>
      <c r="AB510" s="5" t="s">
        <v>67</v>
      </c>
      <c r="AC510" s="5" t="s">
        <v>67</v>
      </c>
      <c r="AD510" s="5" t="s">
        <v>68</v>
      </c>
      <c r="AE510" s="5"/>
      <c r="AF510" s="5" t="s">
        <v>2399</v>
      </c>
      <c r="AG510" s="5" t="s">
        <v>2400</v>
      </c>
      <c r="AH510" s="5" t="s">
        <v>2399</v>
      </c>
      <c r="AI510" s="5" t="s">
        <v>605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71</v>
      </c>
      <c r="AP510" s="5">
        <v>0.47099999999999997</v>
      </c>
      <c r="AQ510" s="5" t="s">
        <v>713</v>
      </c>
      <c r="AR510" s="5" t="s">
        <v>1104</v>
      </c>
      <c r="AS510" s="5"/>
      <c r="AT510" s="5"/>
      <c r="AU510" s="5"/>
      <c r="AV510" s="5">
        <v>-1</v>
      </c>
      <c r="AW510" s="5" t="s">
        <v>3715</v>
      </c>
    </row>
    <row r="511" spans="1:49" x14ac:dyDescent="0.55000000000000004">
      <c r="A511" s="5" t="str">
        <f>HYPERLINK("https://www.infodis.net/philips/net/Shipment/Details?InfodisNumber=1401854&amp;DomainCode=PHILIPSM1", "1401854")</f>
        <v>1401854</v>
      </c>
      <c r="B511" s="5" t="s">
        <v>4001</v>
      </c>
      <c r="C511" s="5" t="s">
        <v>2353</v>
      </c>
      <c r="D511" s="5" t="s">
        <v>2354</v>
      </c>
      <c r="E511" s="5" t="s">
        <v>2353</v>
      </c>
      <c r="F511" s="5" t="s">
        <v>3810</v>
      </c>
      <c r="G511" s="5" t="s">
        <v>667</v>
      </c>
      <c r="H511" s="5" t="s">
        <v>79</v>
      </c>
      <c r="I511" s="5" t="s">
        <v>1813</v>
      </c>
      <c r="J511" s="5" t="s">
        <v>2607</v>
      </c>
      <c r="K511" s="5" t="s">
        <v>1380</v>
      </c>
      <c r="L511" s="5" t="s">
        <v>132</v>
      </c>
      <c r="M511" s="5" t="s">
        <v>60</v>
      </c>
      <c r="N511" s="5"/>
      <c r="O511" s="5"/>
      <c r="P511" s="5" t="s">
        <v>1853</v>
      </c>
      <c r="Q511" s="5" t="s">
        <v>4002</v>
      </c>
      <c r="R511" s="5" t="s">
        <v>2609</v>
      </c>
      <c r="S511" s="6">
        <v>43994</v>
      </c>
      <c r="T511" s="6">
        <v>43994</v>
      </c>
      <c r="U511" s="6">
        <v>43995</v>
      </c>
      <c r="V511" s="6">
        <v>43997</v>
      </c>
      <c r="W511" s="6">
        <v>43997</v>
      </c>
      <c r="X511" s="5"/>
      <c r="Y511" s="5" t="s">
        <v>2387</v>
      </c>
      <c r="Z511" s="5" t="s">
        <v>2387</v>
      </c>
      <c r="AA511" s="5" t="s">
        <v>603</v>
      </c>
      <c r="AB511" s="5" t="s">
        <v>67</v>
      </c>
      <c r="AC511" s="5" t="s">
        <v>67</v>
      </c>
      <c r="AD511" s="5" t="s">
        <v>68</v>
      </c>
      <c r="AE511" s="5"/>
      <c r="AF511" s="5" t="s">
        <v>2179</v>
      </c>
      <c r="AG511" s="5" t="s">
        <v>2180</v>
      </c>
      <c r="AH511" s="5" t="s">
        <v>2179</v>
      </c>
      <c r="AI511" s="5" t="s">
        <v>605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11</v>
      </c>
      <c r="AP511" s="5">
        <v>8.900000000000001E-2</v>
      </c>
      <c r="AQ511" s="5" t="s">
        <v>713</v>
      </c>
      <c r="AR511" s="5" t="s">
        <v>1104</v>
      </c>
      <c r="AS511" s="5"/>
      <c r="AT511" s="5"/>
      <c r="AU511" s="5"/>
      <c r="AV511" s="5">
        <v>-1</v>
      </c>
      <c r="AW511" s="5" t="s">
        <v>3715</v>
      </c>
    </row>
    <row r="512" spans="1:49" x14ac:dyDescent="0.55000000000000004">
      <c r="A512" s="5" t="str">
        <f>HYPERLINK("https://www.infodis.net/philips/net/Shipment/Details?InfodisNumber=1542377&amp;DomainCode=PHILIPSM1", "1542377")</f>
        <v>1542377</v>
      </c>
      <c r="B512" s="5" t="s">
        <v>4003</v>
      </c>
      <c r="C512" s="5" t="s">
        <v>2491</v>
      </c>
      <c r="D512" s="5" t="s">
        <v>2492</v>
      </c>
      <c r="E512" s="5" t="s">
        <v>2491</v>
      </c>
      <c r="F512" s="5" t="s">
        <v>4004</v>
      </c>
      <c r="G512" s="5" t="s">
        <v>1431</v>
      </c>
      <c r="H512" s="5" t="s">
        <v>180</v>
      </c>
      <c r="I512" s="5" t="s">
        <v>2494</v>
      </c>
      <c r="J512" s="5" t="s">
        <v>2308</v>
      </c>
      <c r="K512" s="5" t="s">
        <v>2430</v>
      </c>
      <c r="L512" s="5" t="s">
        <v>2134</v>
      </c>
      <c r="M512" s="5" t="s">
        <v>60</v>
      </c>
      <c r="N512" s="5"/>
      <c r="O512" s="5"/>
      <c r="P512" s="5" t="s">
        <v>1434</v>
      </c>
      <c r="Q512" s="5" t="s">
        <v>4005</v>
      </c>
      <c r="R512" s="5" t="s">
        <v>4006</v>
      </c>
      <c r="S512" s="6">
        <v>44120</v>
      </c>
      <c r="T512" s="6">
        <v>44123</v>
      </c>
      <c r="U512" s="6">
        <v>44132</v>
      </c>
      <c r="V512" s="6">
        <v>44123</v>
      </c>
      <c r="W512" s="6">
        <v>44139</v>
      </c>
      <c r="X512" s="5"/>
      <c r="Y512" s="5" t="s">
        <v>2387</v>
      </c>
      <c r="Z512" s="5" t="s">
        <v>2387</v>
      </c>
      <c r="AA512" s="5" t="s">
        <v>603</v>
      </c>
      <c r="AB512" s="5" t="s">
        <v>67</v>
      </c>
      <c r="AC512" s="5" t="s">
        <v>67</v>
      </c>
      <c r="AD512" s="5" t="s">
        <v>68</v>
      </c>
      <c r="AE512" s="5"/>
      <c r="AF512" s="5" t="s">
        <v>2499</v>
      </c>
      <c r="AG512" s="5" t="s">
        <v>2500</v>
      </c>
      <c r="AH512" s="5" t="s">
        <v>2499</v>
      </c>
      <c r="AI512" s="5" t="s">
        <v>605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352.9</v>
      </c>
      <c r="AP512" s="5">
        <v>5.8529999999999998</v>
      </c>
      <c r="AQ512" s="5" t="s">
        <v>713</v>
      </c>
      <c r="AR512" s="5" t="s">
        <v>1104</v>
      </c>
      <c r="AS512" s="5"/>
      <c r="AT512" s="5"/>
      <c r="AU512" s="5"/>
      <c r="AV512" s="5">
        <v>-1</v>
      </c>
      <c r="AW512" s="5" t="s">
        <v>3752</v>
      </c>
    </row>
    <row r="513" spans="1:49" x14ac:dyDescent="0.55000000000000004">
      <c r="A513" s="5" t="str">
        <f>HYPERLINK("https://www.infodis.net/philips/net/Shipment/Details?InfodisNumber=4535947&amp;DomainCode=DAP", "4535947")</f>
        <v>4535947</v>
      </c>
      <c r="B513" s="5" t="s">
        <v>4007</v>
      </c>
      <c r="C513" s="5" t="s">
        <v>2125</v>
      </c>
      <c r="D513" s="5" t="s">
        <v>2126</v>
      </c>
      <c r="E513" s="5" t="s">
        <v>393</v>
      </c>
      <c r="F513" s="5" t="s">
        <v>3997</v>
      </c>
      <c r="G513" s="5" t="s">
        <v>394</v>
      </c>
      <c r="H513" s="5" t="s">
        <v>79</v>
      </c>
      <c r="I513" s="5" t="s">
        <v>587</v>
      </c>
      <c r="J513" s="5" t="s">
        <v>2367</v>
      </c>
      <c r="K513" s="5" t="s">
        <v>216</v>
      </c>
      <c r="L513" s="5" t="s">
        <v>55</v>
      </c>
      <c r="M513" s="5" t="s">
        <v>60</v>
      </c>
      <c r="N513" s="5"/>
      <c r="O513" s="5"/>
      <c r="P513" s="5" t="s">
        <v>398</v>
      </c>
      <c r="Q513" s="5" t="s">
        <v>4008</v>
      </c>
      <c r="R513" s="5" t="s">
        <v>496</v>
      </c>
      <c r="S513" s="6">
        <v>44120</v>
      </c>
      <c r="T513" s="6">
        <v>44124</v>
      </c>
      <c r="U513" s="5"/>
      <c r="V513" s="6">
        <v>44129</v>
      </c>
      <c r="W513" s="6">
        <v>44128</v>
      </c>
      <c r="X513" s="6">
        <v>44133</v>
      </c>
      <c r="Y513" s="5" t="s">
        <v>3291</v>
      </c>
      <c r="Z513" s="5" t="s">
        <v>2051</v>
      </c>
      <c r="AA513" s="5" t="s">
        <v>2051</v>
      </c>
      <c r="AB513" s="5" t="s">
        <v>67</v>
      </c>
      <c r="AC513" s="5" t="s">
        <v>67</v>
      </c>
      <c r="AD513" s="5" t="s">
        <v>67</v>
      </c>
      <c r="AE513" s="5"/>
      <c r="AF513" s="5" t="s">
        <v>2399</v>
      </c>
      <c r="AG513" s="5" t="s">
        <v>2400</v>
      </c>
      <c r="AH513" s="5" t="s">
        <v>2399</v>
      </c>
      <c r="AI513" s="5" t="s">
        <v>73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2002</v>
      </c>
      <c r="AP513" s="5">
        <v>12.702</v>
      </c>
      <c r="AQ513" s="5" t="s">
        <v>713</v>
      </c>
      <c r="AR513" s="5" t="s">
        <v>1104</v>
      </c>
      <c r="AS513" s="5" t="s">
        <v>713</v>
      </c>
      <c r="AT513" s="6">
        <v>44130</v>
      </c>
      <c r="AU513" s="5" t="s">
        <v>3774</v>
      </c>
      <c r="AV513" s="5">
        <v>32</v>
      </c>
      <c r="AW513" s="5" t="s">
        <v>3730</v>
      </c>
    </row>
    <row r="514" spans="1:49" x14ac:dyDescent="0.55000000000000004">
      <c r="A514" s="5" t="str">
        <f>HYPERLINK("https://www.infodis.net/philips/net/Shipment/Details?InfodisNumber=6241678&amp;DomainCode=PHILIPSR1", "6241678")</f>
        <v>6241678</v>
      </c>
      <c r="B514" s="5" t="s">
        <v>4009</v>
      </c>
      <c r="C514" s="5" t="s">
        <v>2426</v>
      </c>
      <c r="D514" s="5" t="s">
        <v>2427</v>
      </c>
      <c r="E514" s="5" t="s">
        <v>458</v>
      </c>
      <c r="F514" s="5" t="s">
        <v>2679</v>
      </c>
      <c r="G514" s="5" t="s">
        <v>610</v>
      </c>
      <c r="H514" s="5" t="s">
        <v>180</v>
      </c>
      <c r="I514" s="5" t="s">
        <v>652</v>
      </c>
      <c r="J514" s="5" t="s">
        <v>2495</v>
      </c>
      <c r="K514" s="5" t="s">
        <v>2496</v>
      </c>
      <c r="L514" s="5" t="s">
        <v>73</v>
      </c>
      <c r="M514" s="5" t="s">
        <v>84</v>
      </c>
      <c r="N514" s="5"/>
      <c r="O514" s="5"/>
      <c r="P514" s="5" t="s">
        <v>613</v>
      </c>
      <c r="Q514" s="5" t="s">
        <v>4010</v>
      </c>
      <c r="R514" s="5" t="s">
        <v>2495</v>
      </c>
      <c r="S514" s="6">
        <v>43879</v>
      </c>
      <c r="T514" s="6">
        <v>43879</v>
      </c>
      <c r="U514" s="6">
        <v>43879</v>
      </c>
      <c r="V514" s="6">
        <v>43882</v>
      </c>
      <c r="W514" s="6">
        <v>43883</v>
      </c>
      <c r="X514" s="6">
        <v>43885</v>
      </c>
      <c r="Y514" s="5" t="s">
        <v>2476</v>
      </c>
      <c r="Z514" s="5" t="s">
        <v>2476</v>
      </c>
      <c r="AA514" s="5" t="s">
        <v>2476</v>
      </c>
      <c r="AB514" s="5" t="s">
        <v>67</v>
      </c>
      <c r="AC514" s="5" t="s">
        <v>67</v>
      </c>
      <c r="AD514" s="5" t="s">
        <v>67</v>
      </c>
      <c r="AE514" s="5"/>
      <c r="AF514" s="5" t="s">
        <v>2179</v>
      </c>
      <c r="AG514" s="5" t="s">
        <v>2180</v>
      </c>
      <c r="AH514" s="5" t="s">
        <v>2179</v>
      </c>
      <c r="AI514" s="5" t="s">
        <v>252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29.03</v>
      </c>
      <c r="AP514" s="5">
        <v>0.32800000000000001</v>
      </c>
      <c r="AQ514" s="5" t="s">
        <v>713</v>
      </c>
      <c r="AR514" s="5" t="s">
        <v>1104</v>
      </c>
      <c r="AS514" s="5" t="s">
        <v>713</v>
      </c>
      <c r="AT514" s="5"/>
      <c r="AU514" s="5"/>
      <c r="AV514" s="5">
        <v>-1</v>
      </c>
      <c r="AW514" s="5" t="s">
        <v>4011</v>
      </c>
    </row>
    <row r="515" spans="1:49" x14ac:dyDescent="0.55000000000000004">
      <c r="A515" s="5" t="str">
        <f>HYPERLINK("https://www.infodis.net/philips/net/Shipment/Details?InfodisNumber=4397177&amp;DomainCode=DAP", "4397177")</f>
        <v>4397177</v>
      </c>
      <c r="B515" s="5" t="s">
        <v>4012</v>
      </c>
      <c r="C515" s="5" t="s">
        <v>2344</v>
      </c>
      <c r="D515" s="5" t="s">
        <v>2345</v>
      </c>
      <c r="E515" s="5" t="s">
        <v>2344</v>
      </c>
      <c r="F515" s="5" t="s">
        <v>2346</v>
      </c>
      <c r="G515" s="5" t="s">
        <v>281</v>
      </c>
      <c r="H515" s="5" t="s">
        <v>79</v>
      </c>
      <c r="I515" s="5" t="s">
        <v>282</v>
      </c>
      <c r="J515" s="5" t="s">
        <v>2739</v>
      </c>
      <c r="K515" s="5" t="s">
        <v>295</v>
      </c>
      <c r="L515" s="5" t="s">
        <v>296</v>
      </c>
      <c r="M515" s="5" t="s">
        <v>84</v>
      </c>
      <c r="N515" s="5"/>
      <c r="O515" s="5"/>
      <c r="P515" s="5" t="s">
        <v>286</v>
      </c>
      <c r="Q515" s="5" t="s">
        <v>4013</v>
      </c>
      <c r="R515" s="5" t="s">
        <v>300</v>
      </c>
      <c r="S515" s="6">
        <v>43881</v>
      </c>
      <c r="T515" s="6">
        <v>43882</v>
      </c>
      <c r="U515" s="5"/>
      <c r="V515" s="6">
        <v>43885</v>
      </c>
      <c r="W515" s="6">
        <v>43892</v>
      </c>
      <c r="X515" s="6">
        <v>43893</v>
      </c>
      <c r="Y515" s="5" t="s">
        <v>66</v>
      </c>
      <c r="Z515" s="5" t="s">
        <v>2411</v>
      </c>
      <c r="AA515" s="5" t="s">
        <v>2411</v>
      </c>
      <c r="AB515" s="5" t="s">
        <v>68</v>
      </c>
      <c r="AC515" s="5" t="s">
        <v>67</v>
      </c>
      <c r="AD515" s="5" t="s">
        <v>67</v>
      </c>
      <c r="AE515" s="5"/>
      <c r="AF515" s="5" t="s">
        <v>2179</v>
      </c>
      <c r="AG515" s="5" t="s">
        <v>2180</v>
      </c>
      <c r="AH515" s="5" t="s">
        <v>2179</v>
      </c>
      <c r="AI515" s="5" t="s">
        <v>73</v>
      </c>
      <c r="AJ515" s="5">
        <v>0</v>
      </c>
      <c r="AK515" s="5">
        <v>0</v>
      </c>
      <c r="AL515" s="5">
        <v>0</v>
      </c>
      <c r="AM515" s="5">
        <v>0</v>
      </c>
      <c r="AN515" s="5">
        <v>8</v>
      </c>
      <c r="AO515" s="5">
        <v>1209.5999999999999</v>
      </c>
      <c r="AP515" s="5">
        <v>7.68</v>
      </c>
      <c r="AQ515" s="5" t="s">
        <v>713</v>
      </c>
      <c r="AR515" s="5" t="s">
        <v>1104</v>
      </c>
      <c r="AS515" s="5" t="s">
        <v>713</v>
      </c>
      <c r="AT515" s="5"/>
      <c r="AU515" s="5"/>
      <c r="AV515" s="5">
        <v>-1</v>
      </c>
      <c r="AW515" s="5" t="s">
        <v>4014</v>
      </c>
    </row>
    <row r="516" spans="1:49" x14ac:dyDescent="0.55000000000000004">
      <c r="A516" s="5" t="str">
        <f>HYPERLINK("https://www.infodis.net/philips/net/Shipment/Details?InfodisNumber=4531701&amp;DomainCode=DAP", "4531701")</f>
        <v>4531701</v>
      </c>
      <c r="B516" s="5" t="s">
        <v>4015</v>
      </c>
      <c r="C516" s="5" t="s">
        <v>2502</v>
      </c>
      <c r="D516" s="5" t="s">
        <v>2503</v>
      </c>
      <c r="E516" s="5" t="s">
        <v>2504</v>
      </c>
      <c r="F516" s="5" t="s">
        <v>2826</v>
      </c>
      <c r="G516" s="5" t="s">
        <v>1179</v>
      </c>
      <c r="H516" s="5" t="s">
        <v>180</v>
      </c>
      <c r="I516" s="5" t="s">
        <v>194</v>
      </c>
      <c r="J516" s="5" t="s">
        <v>2827</v>
      </c>
      <c r="K516" s="5" t="s">
        <v>2828</v>
      </c>
      <c r="L516" s="5" t="s">
        <v>357</v>
      </c>
      <c r="M516" s="5" t="s">
        <v>358</v>
      </c>
      <c r="N516" s="5"/>
      <c r="O516" s="5"/>
      <c r="P516" s="5" t="s">
        <v>1181</v>
      </c>
      <c r="Q516" s="5"/>
      <c r="R516" s="5" t="s">
        <v>526</v>
      </c>
      <c r="S516" s="6">
        <v>44113</v>
      </c>
      <c r="T516" s="6">
        <v>44113</v>
      </c>
      <c r="U516" s="5"/>
      <c r="V516" s="6">
        <v>44114</v>
      </c>
      <c r="W516" s="5"/>
      <c r="X516" s="5"/>
      <c r="Y516" s="5" t="s">
        <v>2476</v>
      </c>
      <c r="Z516" s="5" t="s">
        <v>2476</v>
      </c>
      <c r="AA516" s="5" t="s">
        <v>2476</v>
      </c>
      <c r="AB516" s="5" t="s">
        <v>67</v>
      </c>
      <c r="AC516" s="5" t="s">
        <v>67</v>
      </c>
      <c r="AD516" s="5" t="s">
        <v>67</v>
      </c>
      <c r="AE516" s="5"/>
      <c r="AF516" s="5" t="s">
        <v>2829</v>
      </c>
      <c r="AG516" s="5" t="s">
        <v>2830</v>
      </c>
      <c r="AH516" s="5" t="s">
        <v>2829</v>
      </c>
      <c r="AI516" s="5" t="s">
        <v>73</v>
      </c>
      <c r="AJ516" s="5">
        <v>0</v>
      </c>
      <c r="AK516" s="5">
        <v>0</v>
      </c>
      <c r="AL516" s="5">
        <v>0</v>
      </c>
      <c r="AM516" s="5">
        <v>0</v>
      </c>
      <c r="AN516" s="5">
        <v>10</v>
      </c>
      <c r="AO516" s="5">
        <v>1258</v>
      </c>
      <c r="AP516" s="5">
        <v>18.036000000000001</v>
      </c>
      <c r="AQ516" s="5" t="s">
        <v>713</v>
      </c>
      <c r="AR516" s="5" t="s">
        <v>1104</v>
      </c>
      <c r="AS516" s="5"/>
      <c r="AT516" s="5"/>
      <c r="AU516" s="5"/>
      <c r="AV516" s="5">
        <v>-1</v>
      </c>
      <c r="AW516" s="5" t="s">
        <v>1110</v>
      </c>
    </row>
    <row r="517" spans="1:49" x14ac:dyDescent="0.55000000000000004">
      <c r="A517" s="5" t="str">
        <f>HYPERLINK("https://www.infodis.net/philips/net/Shipment/Details?InfodisNumber=1536262&amp;DomainCode=PHILIPSM1", "1536262")</f>
        <v>1536262</v>
      </c>
      <c r="B517" s="5" t="s">
        <v>4016</v>
      </c>
      <c r="C517" s="5" t="s">
        <v>3659</v>
      </c>
      <c r="D517" s="5" t="s">
        <v>3660</v>
      </c>
      <c r="E517" s="5" t="s">
        <v>3659</v>
      </c>
      <c r="F517" s="5" t="s">
        <v>4017</v>
      </c>
      <c r="G517" s="5" t="s">
        <v>3662</v>
      </c>
      <c r="H517" s="5" t="s">
        <v>180</v>
      </c>
      <c r="I517" s="5" t="s">
        <v>2057</v>
      </c>
      <c r="J517" s="5" t="s">
        <v>157</v>
      </c>
      <c r="K517" s="5" t="s">
        <v>4018</v>
      </c>
      <c r="L517" s="5" t="s">
        <v>159</v>
      </c>
      <c r="M517" s="5" t="s">
        <v>60</v>
      </c>
      <c r="N517" s="5"/>
      <c r="O517" s="5"/>
      <c r="P517" s="5" t="s">
        <v>3663</v>
      </c>
      <c r="Q517" s="5" t="s">
        <v>4019</v>
      </c>
      <c r="R517" s="5" t="s">
        <v>4020</v>
      </c>
      <c r="S517" s="6">
        <v>44113</v>
      </c>
      <c r="T517" s="6">
        <v>44113</v>
      </c>
      <c r="U517" s="6">
        <v>44118</v>
      </c>
      <c r="V517" s="6">
        <v>44116</v>
      </c>
      <c r="W517" s="6">
        <v>44122</v>
      </c>
      <c r="X517" s="6">
        <v>44132</v>
      </c>
      <c r="Y517" s="5" t="s">
        <v>2387</v>
      </c>
      <c r="Z517" s="5" t="s">
        <v>2387</v>
      </c>
      <c r="AA517" s="5" t="s">
        <v>2387</v>
      </c>
      <c r="AB517" s="5" t="s">
        <v>67</v>
      </c>
      <c r="AC517" s="5" t="s">
        <v>67</v>
      </c>
      <c r="AD517" s="5" t="s">
        <v>67</v>
      </c>
      <c r="AE517" s="5"/>
      <c r="AF517" s="5" t="s">
        <v>2179</v>
      </c>
      <c r="AG517" s="5" t="s">
        <v>2180</v>
      </c>
      <c r="AH517" s="5" t="s">
        <v>2179</v>
      </c>
      <c r="AI517" s="5" t="s">
        <v>605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171.4</v>
      </c>
      <c r="AP517" s="5">
        <v>3.4710000000000001</v>
      </c>
      <c r="AQ517" s="5" t="s">
        <v>713</v>
      </c>
      <c r="AR517" s="5" t="s">
        <v>1104</v>
      </c>
      <c r="AS517" s="5"/>
      <c r="AT517" s="5"/>
      <c r="AU517" s="5"/>
      <c r="AV517" s="5">
        <v>-1</v>
      </c>
      <c r="AW517" s="5" t="s">
        <v>1498</v>
      </c>
    </row>
    <row r="518" spans="1:49" x14ac:dyDescent="0.55000000000000004">
      <c r="A518" s="5" t="str">
        <f>HYPERLINK("https://www.infodis.net/philips/net/Shipment/Details?InfodisNumber=1534490&amp;DomainCode=PHILIPSM1", "1534490")</f>
        <v>1534490</v>
      </c>
      <c r="B518" s="5" t="s">
        <v>4021</v>
      </c>
      <c r="C518" s="5" t="s">
        <v>2491</v>
      </c>
      <c r="D518" s="5" t="s">
        <v>2492</v>
      </c>
      <c r="E518" s="5" t="s">
        <v>2491</v>
      </c>
      <c r="F518" s="5" t="s">
        <v>4004</v>
      </c>
      <c r="G518" s="5" t="s">
        <v>1431</v>
      </c>
      <c r="H518" s="5" t="s">
        <v>180</v>
      </c>
      <c r="I518" s="5" t="s">
        <v>2494</v>
      </c>
      <c r="J518" s="5" t="s">
        <v>2308</v>
      </c>
      <c r="K518" s="5" t="s">
        <v>2430</v>
      </c>
      <c r="L518" s="5" t="s">
        <v>2134</v>
      </c>
      <c r="M518" s="5" t="s">
        <v>60</v>
      </c>
      <c r="N518" s="5"/>
      <c r="O518" s="5"/>
      <c r="P518" s="5" t="s">
        <v>1434</v>
      </c>
      <c r="Q518" s="5" t="s">
        <v>4022</v>
      </c>
      <c r="R518" s="5" t="s">
        <v>4006</v>
      </c>
      <c r="S518" s="6">
        <v>44112</v>
      </c>
      <c r="T518" s="6">
        <v>44112</v>
      </c>
      <c r="U518" s="6">
        <v>44113</v>
      </c>
      <c r="V518" s="6">
        <v>44115</v>
      </c>
      <c r="W518" s="6">
        <v>44121</v>
      </c>
      <c r="X518" s="5"/>
      <c r="Y518" s="5" t="s">
        <v>2387</v>
      </c>
      <c r="Z518" s="5" t="s">
        <v>2387</v>
      </c>
      <c r="AA518" s="5" t="s">
        <v>603</v>
      </c>
      <c r="AB518" s="5" t="s">
        <v>67</v>
      </c>
      <c r="AC518" s="5" t="s">
        <v>67</v>
      </c>
      <c r="AD518" s="5" t="s">
        <v>68</v>
      </c>
      <c r="AE518" s="5"/>
      <c r="AF518" s="5" t="s">
        <v>2179</v>
      </c>
      <c r="AG518" s="5" t="s">
        <v>2180</v>
      </c>
      <c r="AH518" s="5" t="s">
        <v>2179</v>
      </c>
      <c r="AI518" s="5" t="s">
        <v>605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266.7</v>
      </c>
      <c r="AP518" s="5">
        <v>4.1150000000000002</v>
      </c>
      <c r="AQ518" s="5" t="s">
        <v>713</v>
      </c>
      <c r="AR518" s="5" t="s">
        <v>1104</v>
      </c>
      <c r="AS518" s="5"/>
      <c r="AT518" s="5"/>
      <c r="AU518" s="5"/>
      <c r="AV518" s="5">
        <v>-1</v>
      </c>
      <c r="AW518" s="5" t="s">
        <v>3752</v>
      </c>
    </row>
    <row r="519" spans="1:49" x14ac:dyDescent="0.55000000000000004">
      <c r="A519" s="5" t="str">
        <f>HYPERLINK("https://www.infodis.net/philips/net/Shipment/Details?InfodisNumber=1532858&amp;DomainCode=PHILIPSM1", "1532858")</f>
        <v>1532858</v>
      </c>
      <c r="B519" s="5" t="s">
        <v>4023</v>
      </c>
      <c r="C519" s="5" t="s">
        <v>2491</v>
      </c>
      <c r="D519" s="5" t="s">
        <v>2492</v>
      </c>
      <c r="E519" s="5" t="s">
        <v>2491</v>
      </c>
      <c r="F519" s="5" t="s">
        <v>3748</v>
      </c>
      <c r="G519" s="5" t="s">
        <v>1431</v>
      </c>
      <c r="H519" s="5" t="s">
        <v>180</v>
      </c>
      <c r="I519" s="5" t="s">
        <v>2494</v>
      </c>
      <c r="J519" s="5" t="s">
        <v>1729</v>
      </c>
      <c r="K519" s="5" t="s">
        <v>3749</v>
      </c>
      <c r="L519" s="5" t="s">
        <v>1657</v>
      </c>
      <c r="M519" s="5" t="s">
        <v>60</v>
      </c>
      <c r="N519" s="5"/>
      <c r="O519" s="5"/>
      <c r="P519" s="5" t="s">
        <v>1434</v>
      </c>
      <c r="Q519" s="5" t="s">
        <v>4024</v>
      </c>
      <c r="R519" s="5" t="s">
        <v>3751</v>
      </c>
      <c r="S519" s="6">
        <v>44111</v>
      </c>
      <c r="T519" s="6">
        <v>44112</v>
      </c>
      <c r="U519" s="6">
        <v>44112</v>
      </c>
      <c r="V519" s="6">
        <v>44115</v>
      </c>
      <c r="W519" s="6">
        <v>44119</v>
      </c>
      <c r="X519" s="5"/>
      <c r="Y519" s="5" t="s">
        <v>2387</v>
      </c>
      <c r="Z519" s="5" t="s">
        <v>2387</v>
      </c>
      <c r="AA519" s="5" t="s">
        <v>603</v>
      </c>
      <c r="AB519" s="5" t="s">
        <v>67</v>
      </c>
      <c r="AC519" s="5" t="s">
        <v>67</v>
      </c>
      <c r="AD519" s="5" t="s">
        <v>68</v>
      </c>
      <c r="AE519" s="5"/>
      <c r="AF519" s="5" t="s">
        <v>2179</v>
      </c>
      <c r="AG519" s="5" t="s">
        <v>2180</v>
      </c>
      <c r="AH519" s="5" t="s">
        <v>2179</v>
      </c>
      <c r="AI519" s="5" t="s">
        <v>605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441.8</v>
      </c>
      <c r="AP519" s="5">
        <v>4.2270000000000003</v>
      </c>
      <c r="AQ519" s="5" t="s">
        <v>713</v>
      </c>
      <c r="AR519" s="5" t="s">
        <v>1104</v>
      </c>
      <c r="AS519" s="5"/>
      <c r="AT519" s="5"/>
      <c r="AU519" s="5"/>
      <c r="AV519" s="5">
        <v>-1</v>
      </c>
      <c r="AW519" s="5" t="s">
        <v>3752</v>
      </c>
    </row>
    <row r="520" spans="1:49" x14ac:dyDescent="0.55000000000000004">
      <c r="A520" s="5" t="str">
        <f>HYPERLINK("https://www.infodis.net/philips/net/Shipment/Details?InfodisNumber=1532793&amp;DomainCode=PHILIPSM1", "1532793")</f>
        <v>1532793</v>
      </c>
      <c r="B520" s="5" t="s">
        <v>4025</v>
      </c>
      <c r="C520" s="5" t="s">
        <v>2491</v>
      </c>
      <c r="D520" s="5" t="s">
        <v>2492</v>
      </c>
      <c r="E520" s="5" t="s">
        <v>2491</v>
      </c>
      <c r="F520" s="5" t="s">
        <v>3754</v>
      </c>
      <c r="G520" s="5" t="s">
        <v>1431</v>
      </c>
      <c r="H520" s="5" t="s">
        <v>180</v>
      </c>
      <c r="I520" s="5" t="s">
        <v>2494</v>
      </c>
      <c r="J520" s="5" t="s">
        <v>3755</v>
      </c>
      <c r="K520" s="5" t="s">
        <v>3756</v>
      </c>
      <c r="L520" s="5" t="s">
        <v>3757</v>
      </c>
      <c r="M520" s="5" t="s">
        <v>60</v>
      </c>
      <c r="N520" s="5"/>
      <c r="O520" s="5"/>
      <c r="P520" s="5" t="s">
        <v>1434</v>
      </c>
      <c r="Q520" s="5"/>
      <c r="R520" s="5" t="s">
        <v>2922</v>
      </c>
      <c r="S520" s="6">
        <v>44111</v>
      </c>
      <c r="T520" s="6">
        <v>44111</v>
      </c>
      <c r="U520" s="5"/>
      <c r="V520" s="6">
        <v>44112</v>
      </c>
      <c r="W520" s="5"/>
      <c r="X520" s="5"/>
      <c r="Y520" s="5" t="s">
        <v>2387</v>
      </c>
      <c r="Z520" s="5" t="s">
        <v>2387</v>
      </c>
      <c r="AA520" s="5" t="s">
        <v>603</v>
      </c>
      <c r="AB520" s="5" t="s">
        <v>67</v>
      </c>
      <c r="AC520" s="5" t="s">
        <v>67</v>
      </c>
      <c r="AD520" s="5" t="s">
        <v>68</v>
      </c>
      <c r="AE520" s="5"/>
      <c r="AF520" s="5" t="s">
        <v>2610</v>
      </c>
      <c r="AG520" s="5" t="s">
        <v>2611</v>
      </c>
      <c r="AH520" s="5" t="s">
        <v>2610</v>
      </c>
      <c r="AI520" s="5" t="s">
        <v>605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16.78</v>
      </c>
      <c r="AP520" s="5">
        <v>0.13700000000000001</v>
      </c>
      <c r="AQ520" s="5" t="s">
        <v>713</v>
      </c>
      <c r="AR520" s="5" t="s">
        <v>1104</v>
      </c>
      <c r="AS520" s="5"/>
      <c r="AT520" s="5"/>
      <c r="AU520" s="5"/>
      <c r="AV520" s="5">
        <v>-1</v>
      </c>
      <c r="AW520" s="5" t="s">
        <v>3752</v>
      </c>
    </row>
    <row r="521" spans="1:49" x14ac:dyDescent="0.55000000000000004">
      <c r="A521" s="5" t="str">
        <f>HYPERLINK("https://www.infodis.net/philips/net/Shipment/Details?InfodisNumber=1532784&amp;DomainCode=PHILIPSM1", "1532784")</f>
        <v>1532784</v>
      </c>
      <c r="B521" s="5" t="s">
        <v>4026</v>
      </c>
      <c r="C521" s="5" t="s">
        <v>2491</v>
      </c>
      <c r="D521" s="5" t="s">
        <v>2492</v>
      </c>
      <c r="E521" s="5" t="s">
        <v>2491</v>
      </c>
      <c r="F521" s="5" t="s">
        <v>3905</v>
      </c>
      <c r="G521" s="5" t="s">
        <v>1431</v>
      </c>
      <c r="H521" s="5" t="s">
        <v>180</v>
      </c>
      <c r="I521" s="5" t="s">
        <v>2494</v>
      </c>
      <c r="J521" s="5" t="s">
        <v>3906</v>
      </c>
      <c r="K521" s="5" t="s">
        <v>3907</v>
      </c>
      <c r="L521" s="5" t="s">
        <v>230</v>
      </c>
      <c r="M521" s="5" t="s">
        <v>60</v>
      </c>
      <c r="N521" s="5"/>
      <c r="O521" s="5"/>
      <c r="P521" s="5" t="s">
        <v>1434</v>
      </c>
      <c r="Q521" s="5" t="s">
        <v>4027</v>
      </c>
      <c r="R521" s="5" t="s">
        <v>3909</v>
      </c>
      <c r="S521" s="6">
        <v>44111</v>
      </c>
      <c r="T521" s="6">
        <v>44111</v>
      </c>
      <c r="U521" s="6">
        <v>44113</v>
      </c>
      <c r="V521" s="6">
        <v>44111</v>
      </c>
      <c r="W521" s="6">
        <v>44141</v>
      </c>
      <c r="X521" s="5"/>
      <c r="Y521" s="5" t="s">
        <v>2387</v>
      </c>
      <c r="Z521" s="5" t="s">
        <v>2387</v>
      </c>
      <c r="AA521" s="5" t="s">
        <v>603</v>
      </c>
      <c r="AB521" s="5" t="s">
        <v>67</v>
      </c>
      <c r="AC521" s="5" t="s">
        <v>67</v>
      </c>
      <c r="AD521" s="5" t="s">
        <v>68</v>
      </c>
      <c r="AE521" s="5"/>
      <c r="AF521" s="5" t="s">
        <v>2499</v>
      </c>
      <c r="AG521" s="5" t="s">
        <v>2500</v>
      </c>
      <c r="AH521" s="5" t="s">
        <v>2499</v>
      </c>
      <c r="AI521" s="5" t="s">
        <v>605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109</v>
      </c>
      <c r="AP521" s="5">
        <v>1.5389999999999999</v>
      </c>
      <c r="AQ521" s="5" t="s">
        <v>713</v>
      </c>
      <c r="AR521" s="5" t="s">
        <v>1104</v>
      </c>
      <c r="AS521" s="5"/>
      <c r="AT521" s="5"/>
      <c r="AU521" s="5"/>
      <c r="AV521" s="5">
        <v>-1</v>
      </c>
      <c r="AW521" s="5" t="s">
        <v>3752</v>
      </c>
    </row>
    <row r="522" spans="1:49" x14ac:dyDescent="0.55000000000000004">
      <c r="A522" s="5" t="str">
        <f>HYPERLINK("https://www.infodis.net/philips/net/Shipment/Details?InfodisNumber=1530822&amp;DomainCode=PHILIPSM1", "1530822")</f>
        <v>1530822</v>
      </c>
      <c r="B522" s="5" t="s">
        <v>4028</v>
      </c>
      <c r="C522" s="5" t="s">
        <v>3659</v>
      </c>
      <c r="D522" s="5" t="s">
        <v>3660</v>
      </c>
      <c r="E522" s="5" t="s">
        <v>3659</v>
      </c>
      <c r="F522" s="5" t="s">
        <v>4029</v>
      </c>
      <c r="G522" s="5" t="s">
        <v>3662</v>
      </c>
      <c r="H522" s="5" t="s">
        <v>180</v>
      </c>
      <c r="I522" s="5" t="s">
        <v>2057</v>
      </c>
      <c r="J522" s="5" t="s">
        <v>2396</v>
      </c>
      <c r="K522" s="5" t="s">
        <v>4030</v>
      </c>
      <c r="L522" s="5" t="s">
        <v>79</v>
      </c>
      <c r="M522" s="5" t="s">
        <v>60</v>
      </c>
      <c r="N522" s="5"/>
      <c r="O522" s="5"/>
      <c r="P522" s="5" t="s">
        <v>3663</v>
      </c>
      <c r="Q522" s="5" t="s">
        <v>4031</v>
      </c>
      <c r="R522" s="5" t="s">
        <v>575</v>
      </c>
      <c r="S522" s="6">
        <v>44110</v>
      </c>
      <c r="T522" s="6">
        <v>44109</v>
      </c>
      <c r="U522" s="6">
        <v>44109</v>
      </c>
      <c r="V522" s="6">
        <v>44112</v>
      </c>
      <c r="W522" s="6">
        <v>44112</v>
      </c>
      <c r="X522" s="6">
        <v>44117</v>
      </c>
      <c r="Y522" s="5" t="s">
        <v>2387</v>
      </c>
      <c r="Z522" s="5" t="s">
        <v>2387</v>
      </c>
      <c r="AA522" s="5" t="s">
        <v>2387</v>
      </c>
      <c r="AB522" s="5" t="s">
        <v>67</v>
      </c>
      <c r="AC522" s="5" t="s">
        <v>67</v>
      </c>
      <c r="AD522" s="5" t="s">
        <v>67</v>
      </c>
      <c r="AE522" s="5"/>
      <c r="AF522" s="5" t="s">
        <v>2179</v>
      </c>
      <c r="AG522" s="5" t="s">
        <v>2180</v>
      </c>
      <c r="AH522" s="5" t="s">
        <v>2179</v>
      </c>
      <c r="AI522" s="5" t="s">
        <v>605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1.6</v>
      </c>
      <c r="AP522" s="5">
        <v>2.9000000000000001E-2</v>
      </c>
      <c r="AQ522" s="5" t="s">
        <v>713</v>
      </c>
      <c r="AR522" s="5" t="s">
        <v>1104</v>
      </c>
      <c r="AS522" s="5"/>
      <c r="AT522" s="5"/>
      <c r="AU522" s="5"/>
      <c r="AV522" s="5">
        <v>-1</v>
      </c>
      <c r="AW522" s="5" t="s">
        <v>1498</v>
      </c>
    </row>
    <row r="523" spans="1:49" x14ac:dyDescent="0.55000000000000004">
      <c r="A523" s="5" t="str">
        <f>HYPERLINK("https://www.infodis.net/philips/net/Shipment/Details?InfodisNumber=4529238&amp;DomainCode=DAP", "4529238")</f>
        <v>4529238</v>
      </c>
      <c r="B523" s="5" t="s">
        <v>4032</v>
      </c>
      <c r="C523" s="5" t="s">
        <v>4033</v>
      </c>
      <c r="D523" s="5" t="s">
        <v>4034</v>
      </c>
      <c r="E523" s="5" t="s">
        <v>4033</v>
      </c>
      <c r="F523" s="5" t="s">
        <v>167</v>
      </c>
      <c r="G523" s="5" t="s">
        <v>2535</v>
      </c>
      <c r="H523" s="5" t="s">
        <v>772</v>
      </c>
      <c r="I523" s="5" t="s">
        <v>194</v>
      </c>
      <c r="J523" s="5" t="s">
        <v>2405</v>
      </c>
      <c r="K523" s="5" t="s">
        <v>1125</v>
      </c>
      <c r="L523" s="5" t="s">
        <v>172</v>
      </c>
      <c r="M523" s="5" t="s">
        <v>60</v>
      </c>
      <c r="N523" s="5"/>
      <c r="O523" s="5"/>
      <c r="P523" s="5" t="s">
        <v>4035</v>
      </c>
      <c r="Q523" s="5" t="s">
        <v>4036</v>
      </c>
      <c r="R523" s="5" t="s">
        <v>1128</v>
      </c>
      <c r="S523" s="6">
        <v>44110</v>
      </c>
      <c r="T523" s="6">
        <v>44110</v>
      </c>
      <c r="U523" s="6">
        <v>44118</v>
      </c>
      <c r="V523" s="6">
        <v>44119</v>
      </c>
      <c r="W523" s="5"/>
      <c r="X523" s="5"/>
      <c r="Y523" s="5" t="s">
        <v>2411</v>
      </c>
      <c r="Z523" s="5" t="s">
        <v>2411</v>
      </c>
      <c r="AA523" s="5" t="s">
        <v>2411</v>
      </c>
      <c r="AB523" s="5" t="s">
        <v>67</v>
      </c>
      <c r="AC523" s="5" t="s">
        <v>67</v>
      </c>
      <c r="AD523" s="5" t="s">
        <v>67</v>
      </c>
      <c r="AE523" s="5"/>
      <c r="AF523" s="5" t="s">
        <v>2179</v>
      </c>
      <c r="AG523" s="5" t="s">
        <v>2180</v>
      </c>
      <c r="AH523" s="5" t="s">
        <v>2179</v>
      </c>
      <c r="AI523" s="5" t="s">
        <v>73</v>
      </c>
      <c r="AJ523" s="5">
        <v>0</v>
      </c>
      <c r="AK523" s="5">
        <v>0</v>
      </c>
      <c r="AL523" s="5">
        <v>0</v>
      </c>
      <c r="AM523" s="5">
        <v>0</v>
      </c>
      <c r="AN523" s="5">
        <v>2</v>
      </c>
      <c r="AO523" s="5">
        <v>446.33</v>
      </c>
      <c r="AP523" s="5">
        <v>3.02</v>
      </c>
      <c r="AQ523" s="5" t="s">
        <v>713</v>
      </c>
      <c r="AR523" s="5" t="s">
        <v>1104</v>
      </c>
      <c r="AS523" s="5"/>
      <c r="AT523" s="5"/>
      <c r="AU523" s="5"/>
      <c r="AV523" s="5">
        <v>-1</v>
      </c>
      <c r="AW523" s="5" t="s">
        <v>1368</v>
      </c>
    </row>
    <row r="524" spans="1:49" x14ac:dyDescent="0.55000000000000004">
      <c r="A524" s="5" t="str">
        <f>HYPERLINK("https://www.infodis.net/philips/net/Shipment/Details?InfodisNumber=4529236&amp;DomainCode=DAP", "4529236")</f>
        <v>4529236</v>
      </c>
      <c r="B524" s="5" t="s">
        <v>4037</v>
      </c>
      <c r="C524" s="5" t="s">
        <v>2502</v>
      </c>
      <c r="D524" s="5" t="s">
        <v>2503</v>
      </c>
      <c r="E524" s="5" t="s">
        <v>2504</v>
      </c>
      <c r="F524" s="5" t="s">
        <v>3333</v>
      </c>
      <c r="G524" s="5" t="s">
        <v>1179</v>
      </c>
      <c r="H524" s="5" t="s">
        <v>180</v>
      </c>
      <c r="I524" s="5" t="s">
        <v>2368</v>
      </c>
      <c r="J524" s="5" t="s">
        <v>681</v>
      </c>
      <c r="K524" s="5" t="s">
        <v>3334</v>
      </c>
      <c r="L524" s="5" t="s">
        <v>380</v>
      </c>
      <c r="M524" s="5" t="s">
        <v>60</v>
      </c>
      <c r="N524" s="5"/>
      <c r="O524" s="5"/>
      <c r="P524" s="5" t="s">
        <v>1181</v>
      </c>
      <c r="Q524" s="5"/>
      <c r="R524" s="5" t="s">
        <v>3335</v>
      </c>
      <c r="S524" s="6">
        <v>44110</v>
      </c>
      <c r="T524" s="6">
        <v>44110</v>
      </c>
      <c r="U524" s="5"/>
      <c r="V524" s="6">
        <v>44113</v>
      </c>
      <c r="W524" s="5"/>
      <c r="X524" s="5"/>
      <c r="Y524" s="5" t="s">
        <v>2476</v>
      </c>
      <c r="Z524" s="5" t="s">
        <v>2476</v>
      </c>
      <c r="AA524" s="5" t="s">
        <v>2476</v>
      </c>
      <c r="AB524" s="5" t="s">
        <v>67</v>
      </c>
      <c r="AC524" s="5" t="s">
        <v>67</v>
      </c>
      <c r="AD524" s="5" t="s">
        <v>67</v>
      </c>
      <c r="AE524" s="5"/>
      <c r="AF524" s="5" t="s">
        <v>2179</v>
      </c>
      <c r="AG524" s="5" t="s">
        <v>2180</v>
      </c>
      <c r="AH524" s="5" t="s">
        <v>2179</v>
      </c>
      <c r="AI524" s="5" t="s">
        <v>73</v>
      </c>
      <c r="AJ524" s="5">
        <v>0</v>
      </c>
      <c r="AK524" s="5">
        <v>0</v>
      </c>
      <c r="AL524" s="5">
        <v>0</v>
      </c>
      <c r="AM524" s="5">
        <v>0</v>
      </c>
      <c r="AN524" s="5">
        <v>2</v>
      </c>
      <c r="AO524" s="5">
        <v>225.5</v>
      </c>
      <c r="AP524" s="5">
        <v>3.4830000000000001</v>
      </c>
      <c r="AQ524" s="5" t="s">
        <v>713</v>
      </c>
      <c r="AR524" s="5" t="s">
        <v>1104</v>
      </c>
      <c r="AS524" s="5"/>
      <c r="AT524" s="5"/>
      <c r="AU524" s="5"/>
      <c r="AV524" s="5">
        <v>-1</v>
      </c>
      <c r="AW524" s="5" t="s">
        <v>1110</v>
      </c>
    </row>
    <row r="525" spans="1:49" x14ac:dyDescent="0.55000000000000004">
      <c r="A525" s="5" t="str">
        <f>HYPERLINK("https://www.infodis.net/philips/net/Shipment/Details?InfodisNumber=1530798&amp;DomainCode=PHILIPSM1", "1530798")</f>
        <v>1530798</v>
      </c>
      <c r="B525" s="5" t="s">
        <v>4038</v>
      </c>
      <c r="C525" s="5" t="s">
        <v>3659</v>
      </c>
      <c r="D525" s="5" t="s">
        <v>3660</v>
      </c>
      <c r="E525" s="5" t="s">
        <v>3659</v>
      </c>
      <c r="F525" s="5" t="s">
        <v>3696</v>
      </c>
      <c r="G525" s="5" t="s">
        <v>3662</v>
      </c>
      <c r="H525" s="5" t="s">
        <v>180</v>
      </c>
      <c r="I525" s="5" t="s">
        <v>2057</v>
      </c>
      <c r="J525" s="5" t="s">
        <v>2553</v>
      </c>
      <c r="K525" s="5" t="s">
        <v>3697</v>
      </c>
      <c r="L525" s="5" t="s">
        <v>846</v>
      </c>
      <c r="M525" s="5" t="s">
        <v>60</v>
      </c>
      <c r="N525" s="5"/>
      <c r="O525" s="5"/>
      <c r="P525" s="5" t="s">
        <v>3663</v>
      </c>
      <c r="Q525" s="5"/>
      <c r="R525" s="5" t="s">
        <v>1557</v>
      </c>
      <c r="S525" s="6">
        <v>44110</v>
      </c>
      <c r="T525" s="6">
        <v>44110</v>
      </c>
      <c r="U525" s="5"/>
      <c r="V525" s="6">
        <v>44113</v>
      </c>
      <c r="W525" s="5"/>
      <c r="X525" s="5"/>
      <c r="Y525" s="5" t="s">
        <v>2387</v>
      </c>
      <c r="Z525" s="5" t="s">
        <v>2387</v>
      </c>
      <c r="AA525" s="5" t="s">
        <v>603</v>
      </c>
      <c r="AB525" s="5" t="s">
        <v>67</v>
      </c>
      <c r="AC525" s="5" t="s">
        <v>67</v>
      </c>
      <c r="AD525" s="5" t="s">
        <v>68</v>
      </c>
      <c r="AE525" s="5"/>
      <c r="AF525" s="5" t="s">
        <v>2179</v>
      </c>
      <c r="AG525" s="5" t="s">
        <v>2180</v>
      </c>
      <c r="AH525" s="5" t="s">
        <v>2179</v>
      </c>
      <c r="AI525" s="5" t="s">
        <v>605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61.69</v>
      </c>
      <c r="AP525" s="5">
        <v>0.77900000000000003</v>
      </c>
      <c r="AQ525" s="5" t="s">
        <v>713</v>
      </c>
      <c r="AR525" s="5" t="s">
        <v>1104</v>
      </c>
      <c r="AS525" s="5"/>
      <c r="AT525" s="5"/>
      <c r="AU525" s="5"/>
      <c r="AV525" s="5">
        <v>-1</v>
      </c>
      <c r="AW525" s="5" t="s">
        <v>1498</v>
      </c>
    </row>
    <row r="526" spans="1:49" x14ac:dyDescent="0.55000000000000004">
      <c r="A526" s="5" t="str">
        <f>HYPERLINK("https://www.infodis.net/philips/net/Shipment/Details?InfodisNumber=1530784&amp;DomainCode=PHILIPSM1", "1530784")</f>
        <v>1530784</v>
      </c>
      <c r="B526" s="5" t="s">
        <v>4039</v>
      </c>
      <c r="C526" s="5" t="s">
        <v>2491</v>
      </c>
      <c r="D526" s="5" t="s">
        <v>2492</v>
      </c>
      <c r="E526" s="5" t="s">
        <v>2491</v>
      </c>
      <c r="F526" s="5" t="s">
        <v>3911</v>
      </c>
      <c r="G526" s="5" t="s">
        <v>1431</v>
      </c>
      <c r="H526" s="5" t="s">
        <v>180</v>
      </c>
      <c r="I526" s="5" t="s">
        <v>2494</v>
      </c>
      <c r="J526" s="5" t="s">
        <v>2938</v>
      </c>
      <c r="K526" s="5" t="s">
        <v>3912</v>
      </c>
      <c r="L526" s="5" t="s">
        <v>384</v>
      </c>
      <c r="M526" s="5" t="s">
        <v>60</v>
      </c>
      <c r="N526" s="5"/>
      <c r="O526" s="5"/>
      <c r="P526" s="5" t="s">
        <v>1434</v>
      </c>
      <c r="Q526" s="5" t="s">
        <v>4040</v>
      </c>
      <c r="R526" s="5" t="s">
        <v>3914</v>
      </c>
      <c r="S526" s="6">
        <v>44110</v>
      </c>
      <c r="T526" s="6">
        <v>44110</v>
      </c>
      <c r="U526" s="6">
        <v>44113</v>
      </c>
      <c r="V526" s="6">
        <v>44111</v>
      </c>
      <c r="W526" s="6">
        <v>44122</v>
      </c>
      <c r="X526" s="5"/>
      <c r="Y526" s="5" t="s">
        <v>2387</v>
      </c>
      <c r="Z526" s="5" t="s">
        <v>2387</v>
      </c>
      <c r="AA526" s="5" t="s">
        <v>603</v>
      </c>
      <c r="AB526" s="5" t="s">
        <v>67</v>
      </c>
      <c r="AC526" s="5" t="s">
        <v>67</v>
      </c>
      <c r="AD526" s="5" t="s">
        <v>68</v>
      </c>
      <c r="AE526" s="5"/>
      <c r="AF526" s="5" t="s">
        <v>2610</v>
      </c>
      <c r="AG526" s="5" t="s">
        <v>2611</v>
      </c>
      <c r="AH526" s="5" t="s">
        <v>2610</v>
      </c>
      <c r="AI526" s="5" t="s">
        <v>605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85</v>
      </c>
      <c r="AP526" s="5">
        <v>0.34799999999999998</v>
      </c>
      <c r="AQ526" s="5" t="s">
        <v>713</v>
      </c>
      <c r="AR526" s="5" t="s">
        <v>1104</v>
      </c>
      <c r="AS526" s="5"/>
      <c r="AT526" s="5"/>
      <c r="AU526" s="5"/>
      <c r="AV526" s="5">
        <v>-1</v>
      </c>
      <c r="AW526" s="5" t="s">
        <v>3752</v>
      </c>
    </row>
    <row r="527" spans="1:49" x14ac:dyDescent="0.55000000000000004">
      <c r="A527" s="5" t="str">
        <f>HYPERLINK("https://www.infodis.net/philips/net/Shipment/Details?InfodisNumber=1492888&amp;DomainCode=PHILIPSM1", "1492888")</f>
        <v>1492888</v>
      </c>
      <c r="B527" s="5" t="s">
        <v>4041</v>
      </c>
      <c r="C527" s="5" t="s">
        <v>2491</v>
      </c>
      <c r="D527" s="5" t="s">
        <v>2492</v>
      </c>
      <c r="E527" s="5" t="s">
        <v>2491</v>
      </c>
      <c r="F527" s="5" t="s">
        <v>2493</v>
      </c>
      <c r="G527" s="5" t="s">
        <v>1431</v>
      </c>
      <c r="H527" s="5" t="s">
        <v>180</v>
      </c>
      <c r="I527" s="5" t="s">
        <v>2494</v>
      </c>
      <c r="J527" s="5" t="s">
        <v>2495</v>
      </c>
      <c r="K527" s="5" t="s">
        <v>2496</v>
      </c>
      <c r="L527" s="5" t="s">
        <v>73</v>
      </c>
      <c r="M527" s="5" t="s">
        <v>60</v>
      </c>
      <c r="N527" s="5"/>
      <c r="O527" s="5"/>
      <c r="P527" s="5" t="s">
        <v>1434</v>
      </c>
      <c r="Q527" s="5" t="s">
        <v>4042</v>
      </c>
      <c r="R527" s="5" t="s">
        <v>2498</v>
      </c>
      <c r="S527" s="6">
        <v>44075</v>
      </c>
      <c r="T527" s="6">
        <v>44075</v>
      </c>
      <c r="U527" s="6">
        <v>44075</v>
      </c>
      <c r="V527" s="6">
        <v>44075</v>
      </c>
      <c r="W527" s="6">
        <v>44090</v>
      </c>
      <c r="X527" s="5"/>
      <c r="Y527" s="5" t="s">
        <v>2387</v>
      </c>
      <c r="Z527" s="5" t="s">
        <v>2387</v>
      </c>
      <c r="AA527" s="5" t="s">
        <v>603</v>
      </c>
      <c r="AB527" s="5" t="s">
        <v>67</v>
      </c>
      <c r="AC527" s="5" t="s">
        <v>67</v>
      </c>
      <c r="AD527" s="5" t="s">
        <v>68</v>
      </c>
      <c r="AE527" s="5"/>
      <c r="AF527" s="5" t="s">
        <v>2499</v>
      </c>
      <c r="AG527" s="5" t="s">
        <v>2500</v>
      </c>
      <c r="AH527" s="5" t="s">
        <v>2499</v>
      </c>
      <c r="AI527" s="5" t="s">
        <v>605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881.7</v>
      </c>
      <c r="AP527" s="5">
        <v>13.683999999999999</v>
      </c>
      <c r="AQ527" s="5" t="s">
        <v>713</v>
      </c>
      <c r="AR527" s="5" t="s">
        <v>1104</v>
      </c>
      <c r="AS527" s="5"/>
      <c r="AT527" s="5"/>
      <c r="AU527" s="5"/>
      <c r="AV527" s="5">
        <v>-1</v>
      </c>
      <c r="AW527" s="5" t="s">
        <v>3752</v>
      </c>
    </row>
    <row r="528" spans="1:49" x14ac:dyDescent="0.55000000000000004">
      <c r="A528" s="5" t="str">
        <f>HYPERLINK("https://www.infodis.net/philips/net/Shipment/Details?InfodisNumber=1530759&amp;DomainCode=PHILIPSM1", "1530759")</f>
        <v>1530759</v>
      </c>
      <c r="B528" s="5" t="s">
        <v>4043</v>
      </c>
      <c r="C528" s="5" t="s">
        <v>3659</v>
      </c>
      <c r="D528" s="5" t="s">
        <v>3660</v>
      </c>
      <c r="E528" s="5" t="s">
        <v>3659</v>
      </c>
      <c r="F528" s="5" t="s">
        <v>3696</v>
      </c>
      <c r="G528" s="5" t="s">
        <v>3662</v>
      </c>
      <c r="H528" s="5" t="s">
        <v>180</v>
      </c>
      <c r="I528" s="5" t="s">
        <v>2057</v>
      </c>
      <c r="J528" s="5" t="s">
        <v>2553</v>
      </c>
      <c r="K528" s="5" t="s">
        <v>3697</v>
      </c>
      <c r="L528" s="5" t="s">
        <v>846</v>
      </c>
      <c r="M528" s="5" t="s">
        <v>60</v>
      </c>
      <c r="N528" s="5"/>
      <c r="O528" s="5"/>
      <c r="P528" s="5" t="s">
        <v>3663</v>
      </c>
      <c r="Q528" s="5"/>
      <c r="R528" s="5" t="s">
        <v>1557</v>
      </c>
      <c r="S528" s="6">
        <v>44110</v>
      </c>
      <c r="T528" s="6">
        <v>44110</v>
      </c>
      <c r="U528" s="5"/>
      <c r="V528" s="6">
        <v>44113</v>
      </c>
      <c r="W528" s="5"/>
      <c r="X528" s="5"/>
      <c r="Y528" s="5" t="s">
        <v>2387</v>
      </c>
      <c r="Z528" s="5" t="s">
        <v>2387</v>
      </c>
      <c r="AA528" s="5" t="s">
        <v>603</v>
      </c>
      <c r="AB528" s="5" t="s">
        <v>67</v>
      </c>
      <c r="AC528" s="5" t="s">
        <v>67</v>
      </c>
      <c r="AD528" s="5" t="s">
        <v>68</v>
      </c>
      <c r="AE528" s="5"/>
      <c r="AF528" s="5" t="s">
        <v>2179</v>
      </c>
      <c r="AG528" s="5" t="s">
        <v>2180</v>
      </c>
      <c r="AH528" s="5" t="s">
        <v>2179</v>
      </c>
      <c r="AI528" s="5" t="s">
        <v>605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63.5</v>
      </c>
      <c r="AP528" s="5">
        <v>0.77900000000000003</v>
      </c>
      <c r="AQ528" s="5" t="s">
        <v>713</v>
      </c>
      <c r="AR528" s="5" t="s">
        <v>1104</v>
      </c>
      <c r="AS528" s="5"/>
      <c r="AT528" s="5"/>
      <c r="AU528" s="5"/>
      <c r="AV528" s="5">
        <v>-1</v>
      </c>
      <c r="AW528" s="5" t="s">
        <v>1498</v>
      </c>
    </row>
    <row r="529" spans="1:49" x14ac:dyDescent="0.55000000000000004">
      <c r="A529" s="5" t="str">
        <f>HYPERLINK("https://www.infodis.net/philips/net/Shipment/Details?InfodisNumber=6240930&amp;DomainCode=PHILIPSR1", "6240930")</f>
        <v>6240930</v>
      </c>
      <c r="B529" s="5" t="s">
        <v>4044</v>
      </c>
      <c r="C529" s="5" t="s">
        <v>2426</v>
      </c>
      <c r="D529" s="5" t="s">
        <v>2427</v>
      </c>
      <c r="E529" s="5" t="s">
        <v>458</v>
      </c>
      <c r="F529" s="5" t="s">
        <v>2679</v>
      </c>
      <c r="G529" s="5" t="s">
        <v>610</v>
      </c>
      <c r="H529" s="5" t="s">
        <v>180</v>
      </c>
      <c r="I529" s="5" t="s">
        <v>652</v>
      </c>
      <c r="J529" s="5" t="s">
        <v>2495</v>
      </c>
      <c r="K529" s="5" t="s">
        <v>2496</v>
      </c>
      <c r="L529" s="5" t="s">
        <v>73</v>
      </c>
      <c r="M529" s="5" t="s">
        <v>84</v>
      </c>
      <c r="N529" s="5"/>
      <c r="O529" s="5"/>
      <c r="P529" s="5" t="s">
        <v>613</v>
      </c>
      <c r="Q529" s="5" t="s">
        <v>4045</v>
      </c>
      <c r="R529" s="5" t="s">
        <v>2495</v>
      </c>
      <c r="S529" s="6">
        <v>43879</v>
      </c>
      <c r="T529" s="6">
        <v>43880</v>
      </c>
      <c r="U529" s="6">
        <v>43879</v>
      </c>
      <c r="V529" s="6">
        <v>43883</v>
      </c>
      <c r="W529" s="6">
        <v>43883</v>
      </c>
      <c r="X529" s="5"/>
      <c r="Y529" s="5" t="s">
        <v>2476</v>
      </c>
      <c r="Z529" s="5" t="s">
        <v>2476</v>
      </c>
      <c r="AA529" s="5" t="s">
        <v>66</v>
      </c>
      <c r="AB529" s="5" t="s">
        <v>67</v>
      </c>
      <c r="AC529" s="5" t="s">
        <v>67</v>
      </c>
      <c r="AD529" s="5" t="s">
        <v>68</v>
      </c>
      <c r="AE529" s="5"/>
      <c r="AF529" s="5" t="s">
        <v>2179</v>
      </c>
      <c r="AG529" s="5" t="s">
        <v>2180</v>
      </c>
      <c r="AH529" s="5" t="s">
        <v>2179</v>
      </c>
      <c r="AI529" s="5" t="s">
        <v>252</v>
      </c>
      <c r="AJ529" s="5">
        <v>0</v>
      </c>
      <c r="AK529" s="5">
        <v>0</v>
      </c>
      <c r="AL529" s="5">
        <v>0</v>
      </c>
      <c r="AM529" s="5">
        <v>0</v>
      </c>
      <c r="AN529" s="5">
        <v>9</v>
      </c>
      <c r="AO529" s="5">
        <v>1752.68</v>
      </c>
      <c r="AP529" s="5">
        <v>16.391999999999999</v>
      </c>
      <c r="AQ529" s="5" t="s">
        <v>713</v>
      </c>
      <c r="AR529" s="5" t="s">
        <v>1104</v>
      </c>
      <c r="AS529" s="5" t="s">
        <v>713</v>
      </c>
      <c r="AT529" s="5"/>
      <c r="AU529" s="5"/>
      <c r="AV529" s="5">
        <v>-1</v>
      </c>
      <c r="AW529" s="5" t="s">
        <v>4011</v>
      </c>
    </row>
    <row r="530" spans="1:49" x14ac:dyDescent="0.55000000000000004">
      <c r="A530" s="5" t="str">
        <f>HYPERLINK("https://www.infodis.net/philips/net/Shipment/Details?InfodisNumber=4532635&amp;DomainCode=DAP", "4532635")</f>
        <v>4532635</v>
      </c>
      <c r="B530" s="5" t="s">
        <v>4046</v>
      </c>
      <c r="C530" s="5" t="s">
        <v>4047</v>
      </c>
      <c r="D530" s="5" t="s">
        <v>4048</v>
      </c>
      <c r="E530" s="5" t="s">
        <v>4047</v>
      </c>
      <c r="F530" s="5" t="s">
        <v>571</v>
      </c>
      <c r="G530" s="5" t="s">
        <v>4049</v>
      </c>
      <c r="H530" s="5" t="s">
        <v>180</v>
      </c>
      <c r="I530" s="5" t="s">
        <v>2596</v>
      </c>
      <c r="J530" s="5" t="s">
        <v>2396</v>
      </c>
      <c r="K530" s="5" t="s">
        <v>546</v>
      </c>
      <c r="L530" s="5" t="s">
        <v>79</v>
      </c>
      <c r="M530" s="5" t="s">
        <v>60</v>
      </c>
      <c r="N530" s="5"/>
      <c r="O530" s="5"/>
      <c r="P530" s="5" t="s">
        <v>4050</v>
      </c>
      <c r="Q530" s="5" t="s">
        <v>4051</v>
      </c>
      <c r="R530" s="5" t="s">
        <v>575</v>
      </c>
      <c r="S530" s="6">
        <v>44116</v>
      </c>
      <c r="T530" s="6">
        <v>44116</v>
      </c>
      <c r="U530" s="6">
        <v>44116</v>
      </c>
      <c r="V530" s="6">
        <v>44121</v>
      </c>
      <c r="W530" s="6">
        <v>44116</v>
      </c>
      <c r="X530" s="6">
        <v>44125</v>
      </c>
      <c r="Y530" s="5" t="s">
        <v>2371</v>
      </c>
      <c r="Z530" s="5" t="s">
        <v>2371</v>
      </c>
      <c r="AA530" s="5" t="s">
        <v>2371</v>
      </c>
      <c r="AB530" s="5" t="s">
        <v>67</v>
      </c>
      <c r="AC530" s="5" t="s">
        <v>67</v>
      </c>
      <c r="AD530" s="5" t="s">
        <v>67</v>
      </c>
      <c r="AE530" s="5"/>
      <c r="AF530" s="5" t="s">
        <v>2399</v>
      </c>
      <c r="AG530" s="5" t="s">
        <v>2400</v>
      </c>
      <c r="AH530" s="5" t="s">
        <v>2399</v>
      </c>
      <c r="AI530" s="5" t="s">
        <v>73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181.44</v>
      </c>
      <c r="AP530" s="5">
        <v>0.63600000000000001</v>
      </c>
      <c r="AQ530" s="5" t="s">
        <v>713</v>
      </c>
      <c r="AR530" s="5" t="s">
        <v>1104</v>
      </c>
      <c r="AS530" s="5"/>
      <c r="AT530" s="5"/>
      <c r="AU530" s="5"/>
      <c r="AV530" s="5">
        <v>-1</v>
      </c>
      <c r="AW530" s="5" t="s">
        <v>4052</v>
      </c>
    </row>
    <row r="531" spans="1:49" x14ac:dyDescent="0.55000000000000004">
      <c r="A531" s="5" t="str">
        <f>HYPERLINK("https://www.infodis.net/philips/net/Shipment/Details?InfodisNumber=4225448&amp;DomainCode=DAP", "4225448")</f>
        <v>4225448</v>
      </c>
      <c r="B531" s="5" t="s">
        <v>4053</v>
      </c>
      <c r="C531" s="5" t="s">
        <v>4054</v>
      </c>
      <c r="D531" s="5" t="s">
        <v>4055</v>
      </c>
      <c r="E531" s="5" t="s">
        <v>4054</v>
      </c>
      <c r="F531" s="5" t="s">
        <v>291</v>
      </c>
      <c r="G531" s="5" t="s">
        <v>4056</v>
      </c>
      <c r="H531" s="5" t="s">
        <v>79</v>
      </c>
      <c r="I531" s="5" t="s">
        <v>97</v>
      </c>
      <c r="J531" s="5" t="s">
        <v>2739</v>
      </c>
      <c r="K531" s="5" t="s">
        <v>295</v>
      </c>
      <c r="L531" s="5" t="s">
        <v>296</v>
      </c>
      <c r="M531" s="5" t="s">
        <v>84</v>
      </c>
      <c r="N531" s="5"/>
      <c r="O531" s="5"/>
      <c r="P531" s="5" t="s">
        <v>4057</v>
      </c>
      <c r="Q531" s="5" t="s">
        <v>4058</v>
      </c>
      <c r="R531" s="5" t="s">
        <v>300</v>
      </c>
      <c r="S531" s="6">
        <v>43647</v>
      </c>
      <c r="T531" s="6">
        <v>43654</v>
      </c>
      <c r="U531" s="6">
        <v>43647</v>
      </c>
      <c r="V531" s="6">
        <v>43657</v>
      </c>
      <c r="W531" s="6">
        <v>43656</v>
      </c>
      <c r="X531" s="5"/>
      <c r="Y531" s="5" t="s">
        <v>2398</v>
      </c>
      <c r="Z531" s="5" t="s">
        <v>2398</v>
      </c>
      <c r="AA531" s="5" t="s">
        <v>2398</v>
      </c>
      <c r="AB531" s="5" t="s">
        <v>67</v>
      </c>
      <c r="AC531" s="5" t="s">
        <v>67</v>
      </c>
      <c r="AD531" s="5" t="s">
        <v>67</v>
      </c>
      <c r="AE531" s="5"/>
      <c r="AF531" s="5" t="s">
        <v>2179</v>
      </c>
      <c r="AG531" s="5" t="s">
        <v>2180</v>
      </c>
      <c r="AH531" s="5" t="s">
        <v>2179</v>
      </c>
      <c r="AI531" s="5" t="s">
        <v>73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41</v>
      </c>
      <c r="AP531" s="5">
        <v>2.8000000000000001E-2</v>
      </c>
      <c r="AQ531" s="5" t="s">
        <v>713</v>
      </c>
      <c r="AR531" s="5" t="s">
        <v>1104</v>
      </c>
      <c r="AS531" s="5" t="s">
        <v>713</v>
      </c>
      <c r="AT531" s="5"/>
      <c r="AU531" s="5"/>
      <c r="AV531" s="5">
        <v>-1</v>
      </c>
      <c r="AW531" s="5" t="s">
        <v>4059</v>
      </c>
    </row>
    <row r="532" spans="1:49" x14ac:dyDescent="0.55000000000000004">
      <c r="A532" s="5" t="str">
        <f>HYPERLINK("https://www.infodis.net/philips/net/Shipment/Details?InfodisNumber=1536988&amp;DomainCode=PHILIPSM1", "1536988")</f>
        <v>1536988</v>
      </c>
      <c r="B532" s="5" t="s">
        <v>4060</v>
      </c>
      <c r="C532" s="5" t="s">
        <v>2080</v>
      </c>
      <c r="D532" s="5" t="s">
        <v>2081</v>
      </c>
      <c r="E532" s="5" t="s">
        <v>1428</v>
      </c>
      <c r="F532" s="5" t="s">
        <v>4061</v>
      </c>
      <c r="G532" s="5" t="s">
        <v>1430</v>
      </c>
      <c r="H532" s="5" t="s">
        <v>244</v>
      </c>
      <c r="I532" s="5" t="s">
        <v>2084</v>
      </c>
      <c r="J532" s="5" t="s">
        <v>4062</v>
      </c>
      <c r="K532" s="5" t="s">
        <v>4063</v>
      </c>
      <c r="L532" s="5" t="s">
        <v>125</v>
      </c>
      <c r="M532" s="5" t="s">
        <v>60</v>
      </c>
      <c r="N532" s="5"/>
      <c r="O532" s="5"/>
      <c r="P532" s="5" t="s">
        <v>1432</v>
      </c>
      <c r="Q532" s="5" t="s">
        <v>4064</v>
      </c>
      <c r="R532" s="5" t="s">
        <v>3560</v>
      </c>
      <c r="S532" s="6">
        <v>44117</v>
      </c>
      <c r="T532" s="6">
        <v>44118</v>
      </c>
      <c r="U532" s="6">
        <v>44118</v>
      </c>
      <c r="V532" s="6">
        <v>44121</v>
      </c>
      <c r="W532" s="6">
        <v>44123</v>
      </c>
      <c r="X532" s="5"/>
      <c r="Y532" s="5" t="s">
        <v>2387</v>
      </c>
      <c r="Z532" s="5" t="s">
        <v>2387</v>
      </c>
      <c r="AA532" s="5" t="s">
        <v>603</v>
      </c>
      <c r="AB532" s="5" t="s">
        <v>67</v>
      </c>
      <c r="AC532" s="5" t="s">
        <v>67</v>
      </c>
      <c r="AD532" s="5" t="s">
        <v>68</v>
      </c>
      <c r="AE532" s="5"/>
      <c r="AF532" s="5" t="s">
        <v>2179</v>
      </c>
      <c r="AG532" s="5" t="s">
        <v>2180</v>
      </c>
      <c r="AH532" s="5" t="s">
        <v>2179</v>
      </c>
      <c r="AI532" s="5" t="s">
        <v>605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49</v>
      </c>
      <c r="AP532" s="5">
        <v>1.248</v>
      </c>
      <c r="AQ532" s="5" t="s">
        <v>713</v>
      </c>
      <c r="AR532" s="5" t="s">
        <v>1104</v>
      </c>
      <c r="AS532" s="5"/>
      <c r="AT532" s="5"/>
      <c r="AU532" s="5"/>
      <c r="AV532" s="5">
        <v>-1</v>
      </c>
      <c r="AW532" s="5" t="s">
        <v>3752</v>
      </c>
    </row>
    <row r="533" spans="1:49" x14ac:dyDescent="0.55000000000000004">
      <c r="A533" s="5" t="str">
        <f>HYPERLINK("https://www.infodis.net/philips/net/Shipment/Details?InfodisNumber=4536895&amp;DomainCode=DAP", "4536895")</f>
        <v>4536895</v>
      </c>
      <c r="B533" s="5" t="s">
        <v>4065</v>
      </c>
      <c r="C533" s="5" t="s">
        <v>4066</v>
      </c>
      <c r="D533" s="5" t="s">
        <v>4067</v>
      </c>
      <c r="E533" s="5" t="s">
        <v>4068</v>
      </c>
      <c r="F533" s="5" t="s">
        <v>4069</v>
      </c>
      <c r="G533" s="5" t="s">
        <v>4070</v>
      </c>
      <c r="H533" s="5" t="s">
        <v>267</v>
      </c>
      <c r="I533" s="5" t="s">
        <v>268</v>
      </c>
      <c r="J533" s="5" t="s">
        <v>2141</v>
      </c>
      <c r="K533" s="5" t="s">
        <v>82</v>
      </c>
      <c r="L533" s="5" t="s">
        <v>83</v>
      </c>
      <c r="M533" s="5" t="s">
        <v>84</v>
      </c>
      <c r="N533" s="5"/>
      <c r="O533" s="5"/>
      <c r="P533" s="5" t="s">
        <v>268</v>
      </c>
      <c r="Q533" s="5" t="s">
        <v>4071</v>
      </c>
      <c r="R533" s="5" t="s">
        <v>87</v>
      </c>
      <c r="S533" s="6">
        <v>44123</v>
      </c>
      <c r="T533" s="6">
        <v>44126</v>
      </c>
      <c r="U533" s="5"/>
      <c r="V533" s="6">
        <v>44129</v>
      </c>
      <c r="W533" s="6">
        <v>44132</v>
      </c>
      <c r="X533" s="6">
        <v>44135</v>
      </c>
      <c r="Y533" s="5" t="s">
        <v>66</v>
      </c>
      <c r="Z533" s="5" t="s">
        <v>2411</v>
      </c>
      <c r="AA533" s="5" t="s">
        <v>2411</v>
      </c>
      <c r="AB533" s="5" t="s">
        <v>68</v>
      </c>
      <c r="AC533" s="5" t="s">
        <v>67</v>
      </c>
      <c r="AD533" s="5" t="s">
        <v>67</v>
      </c>
      <c r="AE533" s="5"/>
      <c r="AF533" s="5" t="s">
        <v>2179</v>
      </c>
      <c r="AG533" s="5" t="s">
        <v>2180</v>
      </c>
      <c r="AH533" s="5" t="s">
        <v>2179</v>
      </c>
      <c r="AI533" s="5" t="s">
        <v>73</v>
      </c>
      <c r="AJ533" s="5">
        <v>0</v>
      </c>
      <c r="AK533" s="5">
        <v>0</v>
      </c>
      <c r="AL533" s="5">
        <v>0</v>
      </c>
      <c r="AM533" s="5">
        <v>0</v>
      </c>
      <c r="AN533" s="5">
        <v>6</v>
      </c>
      <c r="AO533" s="5">
        <v>741</v>
      </c>
      <c r="AP533" s="5">
        <v>8.4239999999999995</v>
      </c>
      <c r="AQ533" s="5" t="s">
        <v>713</v>
      </c>
      <c r="AR533" s="5" t="s">
        <v>1104</v>
      </c>
      <c r="AS533" s="5"/>
      <c r="AT533" s="5"/>
      <c r="AU533" s="5"/>
      <c r="AV533" s="5">
        <v>-1</v>
      </c>
      <c r="AW533" s="5" t="s">
        <v>1110</v>
      </c>
    </row>
    <row r="534" spans="1:49" x14ac:dyDescent="0.55000000000000004">
      <c r="A534" s="5" t="str">
        <f>HYPERLINK("https://www.infodis.net/philips/net/Shipment/Details?InfodisNumber=4535472&amp;DomainCode=DAP", "4535472")</f>
        <v>4535472</v>
      </c>
      <c r="B534" s="5" t="s">
        <v>4072</v>
      </c>
      <c r="C534" s="5" t="s">
        <v>4073</v>
      </c>
      <c r="D534" s="5" t="s">
        <v>4074</v>
      </c>
      <c r="E534" s="5" t="s">
        <v>4075</v>
      </c>
      <c r="F534" s="5" t="s">
        <v>256</v>
      </c>
      <c r="G534" s="5" t="s">
        <v>4076</v>
      </c>
      <c r="H534" s="5" t="s">
        <v>83</v>
      </c>
      <c r="I534" s="5" t="s">
        <v>156</v>
      </c>
      <c r="J534" s="5" t="s">
        <v>258</v>
      </c>
      <c r="K534" s="5" t="s">
        <v>259</v>
      </c>
      <c r="L534" s="5" t="s">
        <v>260</v>
      </c>
      <c r="M534" s="5" t="s">
        <v>1489</v>
      </c>
      <c r="N534" s="5"/>
      <c r="O534" s="5"/>
      <c r="P534" s="5" t="s">
        <v>87</v>
      </c>
      <c r="Q534" s="5"/>
      <c r="R534" s="5" t="s">
        <v>262</v>
      </c>
      <c r="S534" s="6">
        <v>44120</v>
      </c>
      <c r="T534" s="6">
        <v>44123</v>
      </c>
      <c r="U534" s="5"/>
      <c r="V534" s="6">
        <v>44126</v>
      </c>
      <c r="W534" s="5"/>
      <c r="X534" s="5"/>
      <c r="Y534" s="5" t="s">
        <v>2398</v>
      </c>
      <c r="Z534" s="5" t="s">
        <v>2398</v>
      </c>
      <c r="AA534" s="5" t="s">
        <v>2398</v>
      </c>
      <c r="AB534" s="5" t="s">
        <v>67</v>
      </c>
      <c r="AC534" s="5" t="s">
        <v>67</v>
      </c>
      <c r="AD534" s="5" t="s">
        <v>67</v>
      </c>
      <c r="AE534" s="5"/>
      <c r="AF534" s="5" t="s">
        <v>2179</v>
      </c>
      <c r="AG534" s="5" t="s">
        <v>2180</v>
      </c>
      <c r="AH534" s="5" t="s">
        <v>2179</v>
      </c>
      <c r="AI534" s="5" t="s">
        <v>73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8.4</v>
      </c>
      <c r="AP534" s="5">
        <v>5.4000000000000013E-2</v>
      </c>
      <c r="AQ534" s="5" t="s">
        <v>713</v>
      </c>
      <c r="AR534" s="5" t="s">
        <v>1104</v>
      </c>
      <c r="AS534" s="5"/>
      <c r="AT534" s="5"/>
      <c r="AU534" s="5"/>
      <c r="AV534" s="5">
        <v>-1</v>
      </c>
      <c r="AW534" s="5" t="s">
        <v>1110</v>
      </c>
    </row>
    <row r="535" spans="1:49" x14ac:dyDescent="0.55000000000000004">
      <c r="A535" s="5" t="str">
        <f>HYPERLINK("https://www.infodis.net/philips/net/Shipment/Details?InfodisNumber=4535335&amp;DomainCode=DAP", "4535335")</f>
        <v>4535335</v>
      </c>
      <c r="B535" s="5" t="s">
        <v>4077</v>
      </c>
      <c r="C535" s="5" t="s">
        <v>3563</v>
      </c>
      <c r="D535" s="5" t="s">
        <v>3564</v>
      </c>
      <c r="E535" s="5" t="s">
        <v>3563</v>
      </c>
      <c r="F535" s="5" t="s">
        <v>393</v>
      </c>
      <c r="G535" s="5" t="s">
        <v>3565</v>
      </c>
      <c r="H535" s="5" t="s">
        <v>55</v>
      </c>
      <c r="I535" s="5" t="s">
        <v>2367</v>
      </c>
      <c r="J535" s="5" t="s">
        <v>268</v>
      </c>
      <c r="K535" s="5" t="s">
        <v>855</v>
      </c>
      <c r="L535" s="5" t="s">
        <v>267</v>
      </c>
      <c r="M535" s="5" t="s">
        <v>84</v>
      </c>
      <c r="N535" s="5"/>
      <c r="O535" s="5"/>
      <c r="P535" s="5" t="s">
        <v>3567</v>
      </c>
      <c r="Q535" s="5" t="s">
        <v>4078</v>
      </c>
      <c r="R535" s="5" t="s">
        <v>268</v>
      </c>
      <c r="S535" s="6">
        <v>44119</v>
      </c>
      <c r="T535" s="6">
        <v>44120</v>
      </c>
      <c r="U535" s="6">
        <v>44120</v>
      </c>
      <c r="V535" s="6">
        <v>44121</v>
      </c>
      <c r="W535" s="6">
        <v>44125</v>
      </c>
      <c r="X535" s="6">
        <v>44130</v>
      </c>
      <c r="Y535" s="5" t="s">
        <v>2051</v>
      </c>
      <c r="Z535" s="5" t="s">
        <v>2051</v>
      </c>
      <c r="AA535" s="5" t="s">
        <v>2051</v>
      </c>
      <c r="AB535" s="5" t="s">
        <v>67</v>
      </c>
      <c r="AC535" s="5" t="s">
        <v>67</v>
      </c>
      <c r="AD535" s="5" t="s">
        <v>67</v>
      </c>
      <c r="AE535" s="5"/>
      <c r="AF535" s="5" t="s">
        <v>2610</v>
      </c>
      <c r="AG535" s="5" t="s">
        <v>2611</v>
      </c>
      <c r="AH535" s="5" t="s">
        <v>2610</v>
      </c>
      <c r="AI535" s="5" t="s">
        <v>73</v>
      </c>
      <c r="AJ535" s="5">
        <v>0</v>
      </c>
      <c r="AK535" s="5">
        <v>0</v>
      </c>
      <c r="AL535" s="5">
        <v>0</v>
      </c>
      <c r="AM535" s="5">
        <v>0</v>
      </c>
      <c r="AN535" s="5">
        <v>1</v>
      </c>
      <c r="AO535" s="5">
        <v>13</v>
      </c>
      <c r="AP535" s="5">
        <v>0.13400000000000001</v>
      </c>
      <c r="AQ535" s="5" t="s">
        <v>713</v>
      </c>
      <c r="AR535" s="5" t="s">
        <v>1104</v>
      </c>
      <c r="AS535" s="5" t="s">
        <v>713</v>
      </c>
      <c r="AT535" s="6">
        <v>44131</v>
      </c>
      <c r="AU535" s="5" t="s">
        <v>3729</v>
      </c>
      <c r="AV535" s="5">
        <v>31</v>
      </c>
      <c r="AW535" s="5" t="s">
        <v>3730</v>
      </c>
    </row>
    <row r="536" spans="1:49" x14ac:dyDescent="0.55000000000000004">
      <c r="A536" s="5" t="str">
        <f>HYPERLINK("https://www.infodis.net/philips/net/Shipment/Details?InfodisNumber=4315492&amp;DomainCode=DAP", "4315492")</f>
        <v>4315492</v>
      </c>
      <c r="B536" s="5" t="s">
        <v>4079</v>
      </c>
      <c r="C536" s="5" t="s">
        <v>2502</v>
      </c>
      <c r="D536" s="5" t="s">
        <v>2503</v>
      </c>
      <c r="E536" s="5" t="s">
        <v>2504</v>
      </c>
      <c r="F536" s="5" t="s">
        <v>2247</v>
      </c>
      <c r="G536" s="5" t="s">
        <v>1179</v>
      </c>
      <c r="H536" s="5" t="s">
        <v>180</v>
      </c>
      <c r="I536" s="5" t="s">
        <v>194</v>
      </c>
      <c r="J536" s="5" t="s">
        <v>2481</v>
      </c>
      <c r="K536" s="5" t="s">
        <v>2248</v>
      </c>
      <c r="L536" s="5" t="s">
        <v>230</v>
      </c>
      <c r="M536" s="5" t="s">
        <v>60</v>
      </c>
      <c r="N536" s="5"/>
      <c r="O536" s="5"/>
      <c r="P536" s="5" t="s">
        <v>1181</v>
      </c>
      <c r="Q536" s="5"/>
      <c r="R536" s="5" t="s">
        <v>2250</v>
      </c>
      <c r="S536" s="6">
        <v>43752</v>
      </c>
      <c r="T536" s="6">
        <v>43752</v>
      </c>
      <c r="U536" s="5"/>
      <c r="V536" s="6">
        <v>43755</v>
      </c>
      <c r="W536" s="6">
        <v>43754</v>
      </c>
      <c r="X536" s="5"/>
      <c r="Y536" s="5" t="s">
        <v>2476</v>
      </c>
      <c r="Z536" s="5" t="s">
        <v>2476</v>
      </c>
      <c r="AA536" s="5" t="s">
        <v>2476</v>
      </c>
      <c r="AB536" s="5" t="s">
        <v>67</v>
      </c>
      <c r="AC536" s="5" t="s">
        <v>67</v>
      </c>
      <c r="AD536" s="5" t="s">
        <v>67</v>
      </c>
      <c r="AE536" s="5"/>
      <c r="AF536" s="5" t="s">
        <v>2179</v>
      </c>
      <c r="AG536" s="5" t="s">
        <v>2180</v>
      </c>
      <c r="AH536" s="5" t="s">
        <v>2179</v>
      </c>
      <c r="AI536" s="5" t="s">
        <v>73</v>
      </c>
      <c r="AJ536" s="5">
        <v>0</v>
      </c>
      <c r="AK536" s="5">
        <v>0</v>
      </c>
      <c r="AL536" s="5">
        <v>0</v>
      </c>
      <c r="AM536" s="5">
        <v>0</v>
      </c>
      <c r="AN536" s="5">
        <v>2</v>
      </c>
      <c r="AO536" s="5">
        <v>358</v>
      </c>
      <c r="AP536" s="5">
        <v>2.9089999999999998</v>
      </c>
      <c r="AQ536" s="5" t="s">
        <v>713</v>
      </c>
      <c r="AR536" s="5" t="s">
        <v>1104</v>
      </c>
      <c r="AS536" s="5" t="s">
        <v>713</v>
      </c>
      <c r="AT536" s="6">
        <v>43773</v>
      </c>
      <c r="AU536" s="5" t="s">
        <v>4080</v>
      </c>
      <c r="AV536" s="5">
        <v>389</v>
      </c>
      <c r="AW536" s="5" t="s">
        <v>4081</v>
      </c>
    </row>
    <row r="537" spans="1:49" x14ac:dyDescent="0.55000000000000004">
      <c r="A537" s="5" t="str">
        <f>HYPERLINK("https://www.infodis.net/philips/net/Shipment/Details?InfodisNumber=4534307&amp;DomainCode=DAP", "4534307")</f>
        <v>4534307</v>
      </c>
      <c r="B537" s="5" t="s">
        <v>4082</v>
      </c>
      <c r="C537" s="5" t="s">
        <v>2502</v>
      </c>
      <c r="D537" s="5" t="s">
        <v>2503</v>
      </c>
      <c r="E537" s="5" t="s">
        <v>2504</v>
      </c>
      <c r="F537" s="5" t="s">
        <v>2826</v>
      </c>
      <c r="G537" s="5" t="s">
        <v>1179</v>
      </c>
      <c r="H537" s="5" t="s">
        <v>180</v>
      </c>
      <c r="I537" s="5" t="s">
        <v>194</v>
      </c>
      <c r="J537" s="5" t="s">
        <v>2827</v>
      </c>
      <c r="K537" s="5" t="s">
        <v>2828</v>
      </c>
      <c r="L537" s="5" t="s">
        <v>357</v>
      </c>
      <c r="M537" s="5" t="s">
        <v>358</v>
      </c>
      <c r="N537" s="5"/>
      <c r="O537" s="5"/>
      <c r="P537" s="5" t="s">
        <v>1181</v>
      </c>
      <c r="Q537" s="5"/>
      <c r="R537" s="5" t="s">
        <v>526</v>
      </c>
      <c r="S537" s="6">
        <v>44118</v>
      </c>
      <c r="T537" s="6">
        <v>44118</v>
      </c>
      <c r="U537" s="5"/>
      <c r="V537" s="6">
        <v>44119</v>
      </c>
      <c r="W537" s="5"/>
      <c r="X537" s="5"/>
      <c r="Y537" s="5" t="s">
        <v>2476</v>
      </c>
      <c r="Z537" s="5" t="s">
        <v>2476</v>
      </c>
      <c r="AA537" s="5" t="s">
        <v>2476</v>
      </c>
      <c r="AB537" s="5" t="s">
        <v>67</v>
      </c>
      <c r="AC537" s="5" t="s">
        <v>67</v>
      </c>
      <c r="AD537" s="5" t="s">
        <v>67</v>
      </c>
      <c r="AE537" s="5"/>
      <c r="AF537" s="5" t="s">
        <v>2829</v>
      </c>
      <c r="AG537" s="5" t="s">
        <v>2830</v>
      </c>
      <c r="AH537" s="5" t="s">
        <v>2829</v>
      </c>
      <c r="AI537" s="5" t="s">
        <v>73</v>
      </c>
      <c r="AJ537" s="5">
        <v>0</v>
      </c>
      <c r="AK537" s="5">
        <v>0</v>
      </c>
      <c r="AL537" s="5">
        <v>0</v>
      </c>
      <c r="AM537" s="5">
        <v>0</v>
      </c>
      <c r="AN537" s="5">
        <v>4</v>
      </c>
      <c r="AO537" s="5">
        <v>468</v>
      </c>
      <c r="AP537" s="5">
        <v>6.9539999999999997</v>
      </c>
      <c r="AQ537" s="5" t="s">
        <v>713</v>
      </c>
      <c r="AR537" s="5" t="s">
        <v>1104</v>
      </c>
      <c r="AS537" s="5"/>
      <c r="AT537" s="5"/>
      <c r="AU537" s="5"/>
      <c r="AV537" s="5">
        <v>-1</v>
      </c>
      <c r="AW537" s="5" t="s">
        <v>1110</v>
      </c>
    </row>
    <row r="538" spans="1:49" x14ac:dyDescent="0.55000000000000004">
      <c r="A538" s="5" t="str">
        <f>HYPERLINK("https://www.infodis.net/philips/net/Shipment/Details?InfodisNumber=1539380&amp;DomainCode=PHILIPSM1", "1539380")</f>
        <v>1539380</v>
      </c>
      <c r="B538" s="5" t="s">
        <v>4083</v>
      </c>
      <c r="C538" s="5" t="s">
        <v>2491</v>
      </c>
      <c r="D538" s="5" t="s">
        <v>2492</v>
      </c>
      <c r="E538" s="5" t="s">
        <v>2491</v>
      </c>
      <c r="F538" s="5" t="s">
        <v>4084</v>
      </c>
      <c r="G538" s="5" t="s">
        <v>1431</v>
      </c>
      <c r="H538" s="5" t="s">
        <v>180</v>
      </c>
      <c r="I538" s="5" t="s">
        <v>2494</v>
      </c>
      <c r="J538" s="5" t="s">
        <v>4085</v>
      </c>
      <c r="K538" s="5" t="s">
        <v>708</v>
      </c>
      <c r="L538" s="5" t="s">
        <v>709</v>
      </c>
      <c r="M538" s="5" t="s">
        <v>1658</v>
      </c>
      <c r="N538" s="5"/>
      <c r="O538" s="5"/>
      <c r="P538" s="5" t="s">
        <v>1434</v>
      </c>
      <c r="Q538" s="5" t="s">
        <v>4086</v>
      </c>
      <c r="R538" s="5" t="s">
        <v>4087</v>
      </c>
      <c r="S538" s="6">
        <v>44118</v>
      </c>
      <c r="T538" s="6">
        <v>44118</v>
      </c>
      <c r="U538" s="6">
        <v>44119</v>
      </c>
      <c r="V538" s="6">
        <v>44121</v>
      </c>
      <c r="W538" s="6">
        <v>44125</v>
      </c>
      <c r="X538" s="5"/>
      <c r="Y538" s="5" t="s">
        <v>2387</v>
      </c>
      <c r="Z538" s="5" t="s">
        <v>2387</v>
      </c>
      <c r="AA538" s="5" t="s">
        <v>603</v>
      </c>
      <c r="AB538" s="5" t="s">
        <v>67</v>
      </c>
      <c r="AC538" s="5" t="s">
        <v>67</v>
      </c>
      <c r="AD538" s="5" t="s">
        <v>68</v>
      </c>
      <c r="AE538" s="5"/>
      <c r="AF538" s="5" t="s">
        <v>2179</v>
      </c>
      <c r="AG538" s="5" t="s">
        <v>2180</v>
      </c>
      <c r="AH538" s="5" t="s">
        <v>2179</v>
      </c>
      <c r="AI538" s="5" t="s">
        <v>605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148.80000000000001</v>
      </c>
      <c r="AP538" s="5">
        <v>2.2320000000000002</v>
      </c>
      <c r="AQ538" s="5" t="s">
        <v>713</v>
      </c>
      <c r="AR538" s="5" t="s">
        <v>1104</v>
      </c>
      <c r="AS538" s="5"/>
      <c r="AT538" s="5"/>
      <c r="AU538" s="5"/>
      <c r="AV538" s="5">
        <v>-1</v>
      </c>
      <c r="AW538" s="5" t="s">
        <v>3752</v>
      </c>
    </row>
    <row r="539" spans="1:49" x14ac:dyDescent="0.55000000000000004">
      <c r="A539" s="5" t="str">
        <f>HYPERLINK("https://www.infodis.net/philips/net/Shipment/Details?InfodisNumber=1539362&amp;DomainCode=PHILIPSM1", "1539362")</f>
        <v>1539362</v>
      </c>
      <c r="B539" s="5" t="s">
        <v>4088</v>
      </c>
      <c r="C539" s="5" t="s">
        <v>2491</v>
      </c>
      <c r="D539" s="5" t="s">
        <v>2492</v>
      </c>
      <c r="E539" s="5" t="s">
        <v>2491</v>
      </c>
      <c r="F539" s="5" t="s">
        <v>3911</v>
      </c>
      <c r="G539" s="5" t="s">
        <v>1431</v>
      </c>
      <c r="H539" s="5" t="s">
        <v>180</v>
      </c>
      <c r="I539" s="5" t="s">
        <v>2494</v>
      </c>
      <c r="J539" s="5" t="s">
        <v>2938</v>
      </c>
      <c r="K539" s="5" t="s">
        <v>3912</v>
      </c>
      <c r="L539" s="5" t="s">
        <v>384</v>
      </c>
      <c r="M539" s="5" t="s">
        <v>60</v>
      </c>
      <c r="N539" s="5"/>
      <c r="O539" s="5"/>
      <c r="P539" s="5" t="s">
        <v>1434</v>
      </c>
      <c r="Q539" s="5" t="s">
        <v>4089</v>
      </c>
      <c r="R539" s="5" t="s">
        <v>3914</v>
      </c>
      <c r="S539" s="6">
        <v>44118</v>
      </c>
      <c r="T539" s="6">
        <v>44118</v>
      </c>
      <c r="U539" s="6">
        <v>44120</v>
      </c>
      <c r="V539" s="6">
        <v>44119</v>
      </c>
      <c r="W539" s="6">
        <v>44137</v>
      </c>
      <c r="X539" s="5"/>
      <c r="Y539" s="5" t="s">
        <v>2387</v>
      </c>
      <c r="Z539" s="5" t="s">
        <v>2387</v>
      </c>
      <c r="AA539" s="5" t="s">
        <v>603</v>
      </c>
      <c r="AB539" s="5" t="s">
        <v>67</v>
      </c>
      <c r="AC539" s="5" t="s">
        <v>67</v>
      </c>
      <c r="AD539" s="5" t="s">
        <v>68</v>
      </c>
      <c r="AE539" s="5"/>
      <c r="AF539" s="5" t="s">
        <v>2610</v>
      </c>
      <c r="AG539" s="5" t="s">
        <v>2611</v>
      </c>
      <c r="AH539" s="5" t="s">
        <v>2610</v>
      </c>
      <c r="AI539" s="5" t="s">
        <v>605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1.4</v>
      </c>
      <c r="AP539" s="5">
        <v>2.9000000000000001E-2</v>
      </c>
      <c r="AQ539" s="5" t="s">
        <v>713</v>
      </c>
      <c r="AR539" s="5" t="s">
        <v>1104</v>
      </c>
      <c r="AS539" s="5"/>
      <c r="AT539" s="5"/>
      <c r="AU539" s="5"/>
      <c r="AV539" s="5">
        <v>-1</v>
      </c>
      <c r="AW539" s="5" t="s">
        <v>3752</v>
      </c>
    </row>
    <row r="540" spans="1:49" x14ac:dyDescent="0.55000000000000004">
      <c r="A540" s="5" t="str">
        <f>HYPERLINK("https://www.infodis.net/philips/net/Shipment/Details?InfodisNumber=4536342&amp;DomainCode=DAP", "4536342")</f>
        <v>4536342</v>
      </c>
      <c r="B540" s="5" t="s">
        <v>4090</v>
      </c>
      <c r="C540" s="5" t="s">
        <v>4091</v>
      </c>
      <c r="D540" s="5" t="s">
        <v>4092</v>
      </c>
      <c r="E540" s="5" t="s">
        <v>4091</v>
      </c>
      <c r="F540" s="5" t="s">
        <v>2202</v>
      </c>
      <c r="G540" s="5" t="s">
        <v>667</v>
      </c>
      <c r="H540" s="5" t="s">
        <v>79</v>
      </c>
      <c r="I540" s="5" t="s">
        <v>268</v>
      </c>
      <c r="J540" s="5" t="s">
        <v>2634</v>
      </c>
      <c r="K540" s="5" t="s">
        <v>2203</v>
      </c>
      <c r="L540" s="5" t="s">
        <v>2204</v>
      </c>
      <c r="M540" s="5" t="s">
        <v>60</v>
      </c>
      <c r="N540" s="5"/>
      <c r="O540" s="5"/>
      <c r="P540" s="5" t="s">
        <v>208</v>
      </c>
      <c r="Q540" s="5"/>
      <c r="R540" s="5" t="s">
        <v>2205</v>
      </c>
      <c r="S540" s="6">
        <v>44120</v>
      </c>
      <c r="T540" s="6">
        <v>44123</v>
      </c>
      <c r="U540" s="5"/>
      <c r="V540" s="6">
        <v>44126</v>
      </c>
      <c r="W540" s="5"/>
      <c r="X540" s="5"/>
      <c r="Y540" s="5" t="s">
        <v>2411</v>
      </c>
      <c r="Z540" s="5" t="s">
        <v>2411</v>
      </c>
      <c r="AA540" s="5" t="s">
        <v>2411</v>
      </c>
      <c r="AB540" s="5" t="s">
        <v>67</v>
      </c>
      <c r="AC540" s="5" t="s">
        <v>67</v>
      </c>
      <c r="AD540" s="5" t="s">
        <v>67</v>
      </c>
      <c r="AE540" s="5"/>
      <c r="AF540" s="5" t="s">
        <v>2179</v>
      </c>
      <c r="AG540" s="5" t="s">
        <v>2180</v>
      </c>
      <c r="AH540" s="5" t="s">
        <v>2179</v>
      </c>
      <c r="AI540" s="5" t="s">
        <v>73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57.4</v>
      </c>
      <c r="AP540" s="5">
        <v>0.436</v>
      </c>
      <c r="AQ540" s="5" t="s">
        <v>713</v>
      </c>
      <c r="AR540" s="5" t="s">
        <v>1104</v>
      </c>
      <c r="AS540" s="5"/>
      <c r="AT540" s="5"/>
      <c r="AU540" s="5"/>
      <c r="AV540" s="5">
        <v>-1</v>
      </c>
      <c r="AW540" s="5" t="s">
        <v>2265</v>
      </c>
    </row>
    <row r="541" spans="1:49" x14ac:dyDescent="0.55000000000000004">
      <c r="A541" s="5" t="str">
        <f>HYPERLINK("https://www.infodis.net/philips/net/Shipment/Details?InfodisNumber=1539358&amp;DomainCode=PHILIPSM1", "1539358")</f>
        <v>1539358</v>
      </c>
      <c r="B541" s="5" t="s">
        <v>4093</v>
      </c>
      <c r="C541" s="5" t="s">
        <v>2461</v>
      </c>
      <c r="D541" s="5" t="s">
        <v>2462</v>
      </c>
      <c r="E541" s="5" t="s">
        <v>2461</v>
      </c>
      <c r="F541" s="5" t="s">
        <v>2944</v>
      </c>
      <c r="G541" s="5" t="s">
        <v>601</v>
      </c>
      <c r="H541" s="5" t="s">
        <v>180</v>
      </c>
      <c r="I541" s="5" t="s">
        <v>2057</v>
      </c>
      <c r="J541" s="5" t="s">
        <v>2176</v>
      </c>
      <c r="K541" s="5" t="s">
        <v>2945</v>
      </c>
      <c r="L541" s="5" t="s">
        <v>1051</v>
      </c>
      <c r="M541" s="5" t="s">
        <v>60</v>
      </c>
      <c r="N541" s="5"/>
      <c r="O541" s="5"/>
      <c r="P541" s="5" t="s">
        <v>602</v>
      </c>
      <c r="Q541" s="5"/>
      <c r="R541" s="5" t="s">
        <v>2946</v>
      </c>
      <c r="S541" s="6">
        <v>44118</v>
      </c>
      <c r="T541" s="6">
        <v>44118</v>
      </c>
      <c r="U541" s="5"/>
      <c r="V541" s="6">
        <v>44121</v>
      </c>
      <c r="W541" s="5"/>
      <c r="X541" s="5"/>
      <c r="Y541" s="5" t="s">
        <v>2387</v>
      </c>
      <c r="Z541" s="5" t="s">
        <v>2387</v>
      </c>
      <c r="AA541" s="5" t="s">
        <v>2387</v>
      </c>
      <c r="AB541" s="5" t="s">
        <v>67</v>
      </c>
      <c r="AC541" s="5" t="s">
        <v>67</v>
      </c>
      <c r="AD541" s="5" t="s">
        <v>67</v>
      </c>
      <c r="AE541" s="5"/>
      <c r="AF541" s="5" t="s">
        <v>2179</v>
      </c>
      <c r="AG541" s="5" t="s">
        <v>2180</v>
      </c>
      <c r="AH541" s="5" t="s">
        <v>2179</v>
      </c>
      <c r="AI541" s="5" t="s">
        <v>605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3.81</v>
      </c>
      <c r="AP541" s="5">
        <v>2.5000000000000001E-2</v>
      </c>
      <c r="AQ541" s="5" t="s">
        <v>713</v>
      </c>
      <c r="AR541" s="5" t="s">
        <v>1104</v>
      </c>
      <c r="AS541" s="5"/>
      <c r="AT541" s="5"/>
      <c r="AU541" s="5"/>
      <c r="AV541" s="5">
        <v>-1</v>
      </c>
      <c r="AW541" s="5" t="s">
        <v>1498</v>
      </c>
    </row>
    <row r="542" spans="1:49" x14ac:dyDescent="0.55000000000000004">
      <c r="A542" s="5" t="str">
        <f>HYPERLINK("https://www.infodis.net/philips/net/Shipment/Details?InfodisNumber=4533926&amp;DomainCode=DAP", "4533926")</f>
        <v>4533926</v>
      </c>
      <c r="B542" s="5" t="s">
        <v>4094</v>
      </c>
      <c r="C542" s="5" t="s">
        <v>212</v>
      </c>
      <c r="D542" s="5" t="s">
        <v>213</v>
      </c>
      <c r="E542" s="5" t="s">
        <v>214</v>
      </c>
      <c r="F542" s="5" t="s">
        <v>2749</v>
      </c>
      <c r="G542" s="5" t="s">
        <v>216</v>
      </c>
      <c r="H542" s="5" t="s">
        <v>55</v>
      </c>
      <c r="I542" s="5" t="s">
        <v>2367</v>
      </c>
      <c r="J542" s="5" t="s">
        <v>2750</v>
      </c>
      <c r="K542" s="5" t="s">
        <v>1282</v>
      </c>
      <c r="L542" s="5" t="s">
        <v>79</v>
      </c>
      <c r="M542" s="5" t="s">
        <v>60</v>
      </c>
      <c r="N542" s="5"/>
      <c r="O542" s="5"/>
      <c r="P542" s="5" t="s">
        <v>2369</v>
      </c>
      <c r="Q542" s="5" t="s">
        <v>4095</v>
      </c>
      <c r="R542" s="5" t="s">
        <v>2752</v>
      </c>
      <c r="S542" s="6">
        <v>44118</v>
      </c>
      <c r="T542" s="6">
        <v>44118</v>
      </c>
      <c r="U542" s="6">
        <v>44119</v>
      </c>
      <c r="V542" s="6">
        <v>44121</v>
      </c>
      <c r="W542" s="6">
        <v>44131</v>
      </c>
      <c r="X542" s="6">
        <v>44134</v>
      </c>
      <c r="Y542" s="5" t="s">
        <v>2398</v>
      </c>
      <c r="Z542" s="5" t="s">
        <v>2398</v>
      </c>
      <c r="AA542" s="5" t="s">
        <v>2398</v>
      </c>
      <c r="AB542" s="5" t="s">
        <v>67</v>
      </c>
      <c r="AC542" s="5" t="s">
        <v>67</v>
      </c>
      <c r="AD542" s="5" t="s">
        <v>67</v>
      </c>
      <c r="AE542" s="5"/>
      <c r="AF542" s="5" t="s">
        <v>2179</v>
      </c>
      <c r="AG542" s="5" t="s">
        <v>2180</v>
      </c>
      <c r="AH542" s="5" t="s">
        <v>2179</v>
      </c>
      <c r="AI542" s="5" t="s">
        <v>73</v>
      </c>
      <c r="AJ542" s="5">
        <v>0</v>
      </c>
      <c r="AK542" s="5">
        <v>0</v>
      </c>
      <c r="AL542" s="5">
        <v>0</v>
      </c>
      <c r="AM542" s="5">
        <v>0</v>
      </c>
      <c r="AN542" s="5">
        <v>1</v>
      </c>
      <c r="AO542" s="5">
        <v>148</v>
      </c>
      <c r="AP542" s="5">
        <v>0.56399999999999995</v>
      </c>
      <c r="AQ542" s="5" t="s">
        <v>713</v>
      </c>
      <c r="AR542" s="5" t="s">
        <v>1104</v>
      </c>
      <c r="AS542" s="5" t="s">
        <v>713</v>
      </c>
      <c r="AT542" s="6">
        <v>44131</v>
      </c>
      <c r="AU542" s="5" t="s">
        <v>4096</v>
      </c>
      <c r="AV542" s="5">
        <v>31</v>
      </c>
      <c r="AW542" s="5" t="s">
        <v>3886</v>
      </c>
    </row>
    <row r="543" spans="1:49" x14ac:dyDescent="0.55000000000000004">
      <c r="A543" s="5" t="str">
        <f>HYPERLINK("https://www.infodis.net/philips/net/Shipment/Details?InfodisNumber=1537971&amp;DomainCode=PHILIPSM1", "1537971")</f>
        <v>1537971</v>
      </c>
      <c r="B543" s="5" t="s">
        <v>4097</v>
      </c>
      <c r="C543" s="5" t="s">
        <v>2491</v>
      </c>
      <c r="D543" s="5" t="s">
        <v>2492</v>
      </c>
      <c r="E543" s="5" t="s">
        <v>2491</v>
      </c>
      <c r="F543" s="5" t="s">
        <v>2493</v>
      </c>
      <c r="G543" s="5" t="s">
        <v>1431</v>
      </c>
      <c r="H543" s="5" t="s">
        <v>180</v>
      </c>
      <c r="I543" s="5" t="s">
        <v>2494</v>
      </c>
      <c r="J543" s="5" t="s">
        <v>2495</v>
      </c>
      <c r="K543" s="5" t="s">
        <v>2496</v>
      </c>
      <c r="L543" s="5" t="s">
        <v>73</v>
      </c>
      <c r="M543" s="5" t="s">
        <v>60</v>
      </c>
      <c r="N543" s="5"/>
      <c r="O543" s="5"/>
      <c r="P543" s="5" t="s">
        <v>1434</v>
      </c>
      <c r="Q543" s="5" t="s">
        <v>4098</v>
      </c>
      <c r="R543" s="5" t="s">
        <v>2498</v>
      </c>
      <c r="S543" s="6">
        <v>44117</v>
      </c>
      <c r="T543" s="6">
        <v>44118</v>
      </c>
      <c r="U543" s="6">
        <v>44120</v>
      </c>
      <c r="V543" s="6">
        <v>44119</v>
      </c>
      <c r="W543" s="6">
        <v>44125</v>
      </c>
      <c r="X543" s="5"/>
      <c r="Y543" s="5" t="s">
        <v>2387</v>
      </c>
      <c r="Z543" s="5" t="s">
        <v>2387</v>
      </c>
      <c r="AA543" s="5" t="s">
        <v>603</v>
      </c>
      <c r="AB543" s="5" t="s">
        <v>67</v>
      </c>
      <c r="AC543" s="5" t="s">
        <v>67</v>
      </c>
      <c r="AD543" s="5" t="s">
        <v>68</v>
      </c>
      <c r="AE543" s="5"/>
      <c r="AF543" s="5" t="s">
        <v>2610</v>
      </c>
      <c r="AG543" s="5" t="s">
        <v>2611</v>
      </c>
      <c r="AH543" s="5" t="s">
        <v>2610</v>
      </c>
      <c r="AI543" s="5" t="s">
        <v>605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2.8</v>
      </c>
      <c r="AP543" s="5">
        <v>3.2000000000000001E-2</v>
      </c>
      <c r="AQ543" s="5" t="s">
        <v>713</v>
      </c>
      <c r="AR543" s="5" t="s">
        <v>1104</v>
      </c>
      <c r="AS543" s="5"/>
      <c r="AT543" s="5"/>
      <c r="AU543" s="5"/>
      <c r="AV543" s="5">
        <v>-1</v>
      </c>
      <c r="AW543" s="5" t="s">
        <v>3752</v>
      </c>
    </row>
    <row r="544" spans="1:49" x14ac:dyDescent="0.55000000000000004">
      <c r="A544" s="5" t="str">
        <f>HYPERLINK("https://www.infodis.net/philips/net/Shipment/Details?InfodisNumber=1537956&amp;DomainCode=PHILIPSM1", "1537956")</f>
        <v>1537956</v>
      </c>
      <c r="B544" s="5" t="s">
        <v>4099</v>
      </c>
      <c r="C544" s="5" t="s">
        <v>2491</v>
      </c>
      <c r="D544" s="5" t="s">
        <v>2492</v>
      </c>
      <c r="E544" s="5" t="s">
        <v>2491</v>
      </c>
      <c r="F544" s="5" t="s">
        <v>4100</v>
      </c>
      <c r="G544" s="5" t="s">
        <v>1431</v>
      </c>
      <c r="H544" s="5" t="s">
        <v>180</v>
      </c>
      <c r="I544" s="5" t="s">
        <v>2494</v>
      </c>
      <c r="J544" s="5" t="s">
        <v>1729</v>
      </c>
      <c r="K544" s="5" t="s">
        <v>4101</v>
      </c>
      <c r="L544" s="5" t="s">
        <v>1657</v>
      </c>
      <c r="M544" s="5" t="s">
        <v>60</v>
      </c>
      <c r="N544" s="5"/>
      <c r="O544" s="5"/>
      <c r="P544" s="5" t="s">
        <v>1434</v>
      </c>
      <c r="Q544" s="5" t="s">
        <v>4102</v>
      </c>
      <c r="R544" s="5" t="s">
        <v>4103</v>
      </c>
      <c r="S544" s="6">
        <v>44117</v>
      </c>
      <c r="T544" s="6">
        <v>44118</v>
      </c>
      <c r="U544" s="6">
        <v>44118</v>
      </c>
      <c r="V544" s="6">
        <v>44118</v>
      </c>
      <c r="W544" s="6">
        <v>44129</v>
      </c>
      <c r="X544" s="5"/>
      <c r="Y544" s="5" t="s">
        <v>2387</v>
      </c>
      <c r="Z544" s="5" t="s">
        <v>2387</v>
      </c>
      <c r="AA544" s="5" t="s">
        <v>603</v>
      </c>
      <c r="AB544" s="5" t="s">
        <v>67</v>
      </c>
      <c r="AC544" s="5" t="s">
        <v>67</v>
      </c>
      <c r="AD544" s="5" t="s">
        <v>68</v>
      </c>
      <c r="AE544" s="5"/>
      <c r="AF544" s="5" t="s">
        <v>2499</v>
      </c>
      <c r="AG544" s="5" t="s">
        <v>2500</v>
      </c>
      <c r="AH544" s="5" t="s">
        <v>2499</v>
      </c>
      <c r="AI544" s="5" t="s">
        <v>605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422.7</v>
      </c>
      <c r="AP544" s="5">
        <v>7.2329999999999997</v>
      </c>
      <c r="AQ544" s="5" t="s">
        <v>713</v>
      </c>
      <c r="AR544" s="5" t="s">
        <v>1104</v>
      </c>
      <c r="AS544" s="5"/>
      <c r="AT544" s="5"/>
      <c r="AU544" s="5"/>
      <c r="AV544" s="5">
        <v>-1</v>
      </c>
      <c r="AW544" s="5" t="s">
        <v>3752</v>
      </c>
    </row>
    <row r="545" spans="1:49" x14ac:dyDescent="0.55000000000000004">
      <c r="A545" s="5" t="str">
        <f>HYPERLINK("https://www.infodis.net/philips/net/Shipment/Details?InfodisNumber=1398148&amp;DomainCode=PHILIPSM1", "1398148")</f>
        <v>1398148</v>
      </c>
      <c r="B545" s="5" t="s">
        <v>4104</v>
      </c>
      <c r="C545" s="5" t="s">
        <v>2080</v>
      </c>
      <c r="D545" s="5" t="s">
        <v>2081</v>
      </c>
      <c r="E545" s="5" t="s">
        <v>2082</v>
      </c>
      <c r="F545" s="5" t="s">
        <v>4105</v>
      </c>
      <c r="G545" s="5" t="s">
        <v>1430</v>
      </c>
      <c r="H545" s="5" t="s">
        <v>244</v>
      </c>
      <c r="I545" s="5" t="s">
        <v>2084</v>
      </c>
      <c r="J545" s="5" t="s">
        <v>681</v>
      </c>
      <c r="K545" s="5" t="s">
        <v>4106</v>
      </c>
      <c r="L545" s="5" t="s">
        <v>380</v>
      </c>
      <c r="M545" s="5" t="s">
        <v>60</v>
      </c>
      <c r="N545" s="5"/>
      <c r="O545" s="5"/>
      <c r="P545" s="5" t="s">
        <v>1432</v>
      </c>
      <c r="Q545" s="5"/>
      <c r="R545" s="5" t="s">
        <v>4107</v>
      </c>
      <c r="S545" s="6">
        <v>43987</v>
      </c>
      <c r="T545" s="6">
        <v>43990</v>
      </c>
      <c r="U545" s="6">
        <v>43990</v>
      </c>
      <c r="V545" s="6">
        <v>43995</v>
      </c>
      <c r="W545" s="6">
        <v>44002</v>
      </c>
      <c r="X545" s="5"/>
      <c r="Y545" s="5" t="s">
        <v>2518</v>
      </c>
      <c r="Z545" s="5" t="s">
        <v>2518</v>
      </c>
      <c r="AA545" s="5" t="s">
        <v>603</v>
      </c>
      <c r="AB545" s="5" t="s">
        <v>67</v>
      </c>
      <c r="AC545" s="5" t="s">
        <v>67</v>
      </c>
      <c r="AD545" s="5" t="s">
        <v>68</v>
      </c>
      <c r="AE545" s="5"/>
      <c r="AF545" s="5" t="s">
        <v>2399</v>
      </c>
      <c r="AG545" s="5" t="s">
        <v>2400</v>
      </c>
      <c r="AH545" s="5" t="s">
        <v>2399</v>
      </c>
      <c r="AI545" s="5" t="s">
        <v>605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65.3</v>
      </c>
      <c r="AP545" s="5">
        <v>0</v>
      </c>
      <c r="AQ545" s="5" t="s">
        <v>713</v>
      </c>
      <c r="AR545" s="5" t="s">
        <v>1104</v>
      </c>
      <c r="AS545" s="5" t="s">
        <v>713</v>
      </c>
      <c r="AT545" s="6">
        <v>43991</v>
      </c>
      <c r="AU545" s="5" t="s">
        <v>4108</v>
      </c>
      <c r="AV545" s="5">
        <v>171</v>
      </c>
      <c r="AW545" s="5" t="s">
        <v>4109</v>
      </c>
    </row>
    <row r="546" spans="1:49" x14ac:dyDescent="0.55000000000000004">
      <c r="A546" s="5" t="str">
        <f>HYPERLINK("https://www.infodis.net/philips/net/Shipment/Details?InfodisNumber=4533466&amp;DomainCode=DAP", "4533466")</f>
        <v>4533466</v>
      </c>
      <c r="B546" s="5" t="s">
        <v>4110</v>
      </c>
      <c r="C546" s="5" t="s">
        <v>4047</v>
      </c>
      <c r="D546" s="5" t="s">
        <v>4048</v>
      </c>
      <c r="E546" s="5" t="s">
        <v>4047</v>
      </c>
      <c r="F546" s="5" t="s">
        <v>571</v>
      </c>
      <c r="G546" s="5" t="s">
        <v>4049</v>
      </c>
      <c r="H546" s="5" t="s">
        <v>180</v>
      </c>
      <c r="I546" s="5" t="s">
        <v>2596</v>
      </c>
      <c r="J546" s="5" t="s">
        <v>2396</v>
      </c>
      <c r="K546" s="5" t="s">
        <v>546</v>
      </c>
      <c r="L546" s="5" t="s">
        <v>79</v>
      </c>
      <c r="M546" s="5" t="s">
        <v>60</v>
      </c>
      <c r="N546" s="5"/>
      <c r="O546" s="5"/>
      <c r="P546" s="5" t="s">
        <v>4050</v>
      </c>
      <c r="Q546" s="5"/>
      <c r="R546" s="5" t="s">
        <v>575</v>
      </c>
      <c r="S546" s="6">
        <v>44117</v>
      </c>
      <c r="T546" s="6">
        <v>44117</v>
      </c>
      <c r="U546" s="6">
        <v>44117</v>
      </c>
      <c r="V546" s="6">
        <v>44122</v>
      </c>
      <c r="W546" s="6">
        <v>44117</v>
      </c>
      <c r="X546" s="6">
        <v>44125</v>
      </c>
      <c r="Y546" s="5" t="s">
        <v>2371</v>
      </c>
      <c r="Z546" s="5" t="s">
        <v>2371</v>
      </c>
      <c r="AA546" s="5" t="s">
        <v>2371</v>
      </c>
      <c r="AB546" s="5" t="s">
        <v>67</v>
      </c>
      <c r="AC546" s="5" t="s">
        <v>67</v>
      </c>
      <c r="AD546" s="5" t="s">
        <v>67</v>
      </c>
      <c r="AE546" s="5"/>
      <c r="AF546" s="5" t="s">
        <v>2399</v>
      </c>
      <c r="AG546" s="5" t="s">
        <v>2400</v>
      </c>
      <c r="AH546" s="5" t="s">
        <v>2399</v>
      </c>
      <c r="AI546" s="5" t="s">
        <v>73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136.08000000000001</v>
      </c>
      <c r="AP546" s="5">
        <v>0.47699999999999998</v>
      </c>
      <c r="AQ546" s="5" t="s">
        <v>713</v>
      </c>
      <c r="AR546" s="5" t="s">
        <v>1104</v>
      </c>
      <c r="AS546" s="5"/>
      <c r="AT546" s="5"/>
      <c r="AU546" s="5"/>
      <c r="AV546" s="5">
        <v>-1</v>
      </c>
      <c r="AW546" s="5" t="s">
        <v>4052</v>
      </c>
    </row>
    <row r="547" spans="1:49" x14ac:dyDescent="0.55000000000000004">
      <c r="A547" s="5" t="str">
        <f>HYPERLINK("https://www.infodis.net/philips/net/Shipment/Details?InfodisNumber=4533405&amp;DomainCode=DAP", "4533405")</f>
        <v>4533405</v>
      </c>
      <c r="B547" s="5" t="s">
        <v>4111</v>
      </c>
      <c r="C547" s="5" t="s">
        <v>3563</v>
      </c>
      <c r="D547" s="5" t="s">
        <v>3564</v>
      </c>
      <c r="E547" s="5" t="s">
        <v>3563</v>
      </c>
      <c r="F547" s="5" t="s">
        <v>393</v>
      </c>
      <c r="G547" s="5" t="s">
        <v>3565</v>
      </c>
      <c r="H547" s="5" t="s">
        <v>55</v>
      </c>
      <c r="I547" s="5" t="s">
        <v>2367</v>
      </c>
      <c r="J547" s="5" t="s">
        <v>268</v>
      </c>
      <c r="K547" s="5" t="s">
        <v>855</v>
      </c>
      <c r="L547" s="5" t="s">
        <v>267</v>
      </c>
      <c r="M547" s="5" t="s">
        <v>84</v>
      </c>
      <c r="N547" s="5"/>
      <c r="O547" s="5"/>
      <c r="P547" s="5" t="s">
        <v>3567</v>
      </c>
      <c r="Q547" s="5" t="s">
        <v>4112</v>
      </c>
      <c r="R547" s="5" t="s">
        <v>268</v>
      </c>
      <c r="S547" s="6">
        <v>44117</v>
      </c>
      <c r="T547" s="6">
        <v>44118</v>
      </c>
      <c r="U547" s="6">
        <v>44118</v>
      </c>
      <c r="V547" s="6">
        <v>44126</v>
      </c>
      <c r="W547" s="6">
        <v>44127</v>
      </c>
      <c r="X547" s="6">
        <v>44130</v>
      </c>
      <c r="Y547" s="5" t="s">
        <v>2051</v>
      </c>
      <c r="Z547" s="5" t="s">
        <v>2051</v>
      </c>
      <c r="AA547" s="5" t="s">
        <v>2051</v>
      </c>
      <c r="AB547" s="5" t="s">
        <v>67</v>
      </c>
      <c r="AC547" s="5" t="s">
        <v>67</v>
      </c>
      <c r="AD547" s="5" t="s">
        <v>67</v>
      </c>
      <c r="AE547" s="5"/>
      <c r="AF547" s="5" t="s">
        <v>2610</v>
      </c>
      <c r="AG547" s="5" t="s">
        <v>2611</v>
      </c>
      <c r="AH547" s="5" t="s">
        <v>2610</v>
      </c>
      <c r="AI547" s="5" t="s">
        <v>73</v>
      </c>
      <c r="AJ547" s="5">
        <v>0</v>
      </c>
      <c r="AK547" s="5">
        <v>0</v>
      </c>
      <c r="AL547" s="5">
        <v>0</v>
      </c>
      <c r="AM547" s="5">
        <v>0</v>
      </c>
      <c r="AN547" s="5">
        <v>1</v>
      </c>
      <c r="AO547" s="5">
        <v>47</v>
      </c>
      <c r="AP547" s="5">
        <v>0.33600000000000002</v>
      </c>
      <c r="AQ547" s="5" t="s">
        <v>713</v>
      </c>
      <c r="AR547" s="5" t="s">
        <v>1104</v>
      </c>
      <c r="AS547" s="5" t="s">
        <v>713</v>
      </c>
      <c r="AT547" s="6">
        <v>44131</v>
      </c>
      <c r="AU547" s="5" t="s">
        <v>3729</v>
      </c>
      <c r="AV547" s="5">
        <v>31</v>
      </c>
      <c r="AW547" s="5" t="s">
        <v>3730</v>
      </c>
    </row>
    <row r="548" spans="1:49" x14ac:dyDescent="0.55000000000000004">
      <c r="A548" s="5" t="str">
        <f>HYPERLINK("https://www.infodis.net/philips/net/Shipment/Details?InfodisNumber=4532907&amp;DomainCode=DAP", "4532907")</f>
        <v>4532907</v>
      </c>
      <c r="B548" s="5" t="s">
        <v>4113</v>
      </c>
      <c r="C548" s="5" t="s">
        <v>3654</v>
      </c>
      <c r="D548" s="5" t="s">
        <v>3655</v>
      </c>
      <c r="E548" s="5" t="s">
        <v>3654</v>
      </c>
      <c r="F548" s="5" t="s">
        <v>77</v>
      </c>
      <c r="G548" s="5" t="s">
        <v>855</v>
      </c>
      <c r="H548" s="5" t="s">
        <v>267</v>
      </c>
      <c r="I548" s="5" t="s">
        <v>268</v>
      </c>
      <c r="J548" s="5" t="s">
        <v>2141</v>
      </c>
      <c r="K548" s="5" t="s">
        <v>82</v>
      </c>
      <c r="L548" s="5" t="s">
        <v>83</v>
      </c>
      <c r="M548" s="5" t="s">
        <v>84</v>
      </c>
      <c r="N548" s="5"/>
      <c r="O548" s="5"/>
      <c r="P548" s="5" t="s">
        <v>3656</v>
      </c>
      <c r="Q548" s="5" t="s">
        <v>4114</v>
      </c>
      <c r="R548" s="5" t="s">
        <v>87</v>
      </c>
      <c r="S548" s="6">
        <v>44117</v>
      </c>
      <c r="T548" s="6">
        <v>44121</v>
      </c>
      <c r="U548" s="5"/>
      <c r="V548" s="6">
        <v>44124</v>
      </c>
      <c r="W548" s="6">
        <v>44127</v>
      </c>
      <c r="X548" s="6">
        <v>44131</v>
      </c>
      <c r="Y548" s="5" t="s">
        <v>66</v>
      </c>
      <c r="Z548" s="5" t="s">
        <v>2411</v>
      </c>
      <c r="AA548" s="5" t="s">
        <v>2411</v>
      </c>
      <c r="AB548" s="5" t="s">
        <v>68</v>
      </c>
      <c r="AC548" s="5" t="s">
        <v>67</v>
      </c>
      <c r="AD548" s="5" t="s">
        <v>67</v>
      </c>
      <c r="AE548" s="5"/>
      <c r="AF548" s="5" t="s">
        <v>2179</v>
      </c>
      <c r="AG548" s="5" t="s">
        <v>2180</v>
      </c>
      <c r="AH548" s="5" t="s">
        <v>2179</v>
      </c>
      <c r="AI548" s="5" t="s">
        <v>73</v>
      </c>
      <c r="AJ548" s="5">
        <v>0</v>
      </c>
      <c r="AK548" s="5">
        <v>0</v>
      </c>
      <c r="AL548" s="5">
        <v>0</v>
      </c>
      <c r="AM548" s="5">
        <v>0</v>
      </c>
      <c r="AN548" s="5">
        <v>4</v>
      </c>
      <c r="AO548" s="5">
        <v>817</v>
      </c>
      <c r="AP548" s="5">
        <v>4.867</v>
      </c>
      <c r="AQ548" s="5" t="s">
        <v>713</v>
      </c>
      <c r="AR548" s="5" t="s">
        <v>1104</v>
      </c>
      <c r="AS548" s="5"/>
      <c r="AT548" s="5"/>
      <c r="AU548" s="5"/>
      <c r="AV548" s="5">
        <v>-1</v>
      </c>
      <c r="AW548" s="5" t="s">
        <v>1368</v>
      </c>
    </row>
    <row r="549" spans="1:49" x14ac:dyDescent="0.55000000000000004">
      <c r="A549" s="5" t="str">
        <f>HYPERLINK("https://www.infodis.net/philips/net/Shipment/Details?InfodisNumber=4534234&amp;DomainCode=DAP", "4534234")</f>
        <v>4534234</v>
      </c>
      <c r="B549" s="5" t="s">
        <v>4115</v>
      </c>
      <c r="C549" s="5" t="s">
        <v>4047</v>
      </c>
      <c r="D549" s="5" t="s">
        <v>4048</v>
      </c>
      <c r="E549" s="5" t="s">
        <v>4047</v>
      </c>
      <c r="F549" s="5" t="s">
        <v>571</v>
      </c>
      <c r="G549" s="5" t="s">
        <v>4049</v>
      </c>
      <c r="H549" s="5" t="s">
        <v>180</v>
      </c>
      <c r="I549" s="5" t="s">
        <v>2596</v>
      </c>
      <c r="J549" s="5" t="s">
        <v>2396</v>
      </c>
      <c r="K549" s="5" t="s">
        <v>546</v>
      </c>
      <c r="L549" s="5" t="s">
        <v>79</v>
      </c>
      <c r="M549" s="5" t="s">
        <v>60</v>
      </c>
      <c r="N549" s="5"/>
      <c r="O549" s="5"/>
      <c r="P549" s="5" t="s">
        <v>4050</v>
      </c>
      <c r="Q549" s="5"/>
      <c r="R549" s="5" t="s">
        <v>575</v>
      </c>
      <c r="S549" s="6">
        <v>44118</v>
      </c>
      <c r="T549" s="6">
        <v>44118</v>
      </c>
      <c r="U549" s="6">
        <v>44119</v>
      </c>
      <c r="V549" s="6">
        <v>44123</v>
      </c>
      <c r="W549" s="6">
        <v>44119</v>
      </c>
      <c r="X549" s="6">
        <v>44134</v>
      </c>
      <c r="Y549" s="5" t="s">
        <v>2371</v>
      </c>
      <c r="Z549" s="5" t="s">
        <v>2371</v>
      </c>
      <c r="AA549" s="5" t="s">
        <v>2371</v>
      </c>
      <c r="AB549" s="5" t="s">
        <v>67</v>
      </c>
      <c r="AC549" s="5" t="s">
        <v>67</v>
      </c>
      <c r="AD549" s="5" t="s">
        <v>67</v>
      </c>
      <c r="AE549" s="5"/>
      <c r="AF549" s="5" t="s">
        <v>2399</v>
      </c>
      <c r="AG549" s="5" t="s">
        <v>2400</v>
      </c>
      <c r="AH549" s="5" t="s">
        <v>2399</v>
      </c>
      <c r="AI549" s="5" t="s">
        <v>73</v>
      </c>
      <c r="AJ549" s="5">
        <v>0</v>
      </c>
      <c r="AK549" s="5">
        <v>0</v>
      </c>
      <c r="AL549" s="5">
        <v>0</v>
      </c>
      <c r="AM549" s="5">
        <v>0</v>
      </c>
      <c r="AN549" s="5">
        <v>1</v>
      </c>
      <c r="AO549" s="5">
        <v>49.9</v>
      </c>
      <c r="AP549" s="5">
        <v>0.26400000000000001</v>
      </c>
      <c r="AQ549" s="5" t="s">
        <v>713</v>
      </c>
      <c r="AR549" s="5" t="s">
        <v>1104</v>
      </c>
      <c r="AS549" s="5"/>
      <c r="AT549" s="5"/>
      <c r="AU549" s="5"/>
      <c r="AV549" s="5">
        <v>-1</v>
      </c>
      <c r="AW549" s="5" t="s">
        <v>4052</v>
      </c>
    </row>
    <row r="550" spans="1:49" x14ac:dyDescent="0.55000000000000004">
      <c r="A550" s="5" t="str">
        <f>HYPERLINK("https://www.infodis.net/philips/net/Shipment/Details?InfodisNumber=1491595&amp;DomainCode=PHILIPSM1", "1491595")</f>
        <v>1491595</v>
      </c>
      <c r="B550" s="5" t="s">
        <v>4116</v>
      </c>
      <c r="C550" s="5" t="s">
        <v>2491</v>
      </c>
      <c r="D550" s="5" t="s">
        <v>2492</v>
      </c>
      <c r="E550" s="5" t="s">
        <v>2491</v>
      </c>
      <c r="F550" s="5" t="s">
        <v>3911</v>
      </c>
      <c r="G550" s="5" t="s">
        <v>1431</v>
      </c>
      <c r="H550" s="5" t="s">
        <v>180</v>
      </c>
      <c r="I550" s="5" t="s">
        <v>2494</v>
      </c>
      <c r="J550" s="5" t="s">
        <v>2938</v>
      </c>
      <c r="K550" s="5" t="s">
        <v>3912</v>
      </c>
      <c r="L550" s="5" t="s">
        <v>384</v>
      </c>
      <c r="M550" s="5" t="s">
        <v>60</v>
      </c>
      <c r="N550" s="5"/>
      <c r="O550" s="5"/>
      <c r="P550" s="5" t="s">
        <v>1434</v>
      </c>
      <c r="Q550" s="5" t="s">
        <v>4117</v>
      </c>
      <c r="R550" s="5" t="s">
        <v>3914</v>
      </c>
      <c r="S550" s="6">
        <v>44074</v>
      </c>
      <c r="T550" s="6">
        <v>44074</v>
      </c>
      <c r="U550" s="6">
        <v>44082</v>
      </c>
      <c r="V550" s="6">
        <v>44075</v>
      </c>
      <c r="W550" s="6">
        <v>44085</v>
      </c>
      <c r="X550" s="5"/>
      <c r="Y550" s="5" t="s">
        <v>2387</v>
      </c>
      <c r="Z550" s="5" t="s">
        <v>2387</v>
      </c>
      <c r="AA550" s="5" t="s">
        <v>603</v>
      </c>
      <c r="AB550" s="5" t="s">
        <v>67</v>
      </c>
      <c r="AC550" s="5" t="s">
        <v>67</v>
      </c>
      <c r="AD550" s="5" t="s">
        <v>68</v>
      </c>
      <c r="AE550" s="5"/>
      <c r="AF550" s="5" t="s">
        <v>2829</v>
      </c>
      <c r="AG550" s="5" t="s">
        <v>2830</v>
      </c>
      <c r="AH550" s="5" t="s">
        <v>2829</v>
      </c>
      <c r="AI550" s="5" t="s">
        <v>605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45.8</v>
      </c>
      <c r="AP550" s="5">
        <v>0.189</v>
      </c>
      <c r="AQ550" s="5" t="s">
        <v>713</v>
      </c>
      <c r="AR550" s="5" t="s">
        <v>1104</v>
      </c>
      <c r="AS550" s="5"/>
      <c r="AT550" s="5"/>
      <c r="AU550" s="5"/>
      <c r="AV550" s="5">
        <v>-1</v>
      </c>
      <c r="AW550" s="5" t="s">
        <v>3752</v>
      </c>
    </row>
    <row r="551" spans="1:49" x14ac:dyDescent="0.55000000000000004">
      <c r="A551" s="5" t="str">
        <f>HYPERLINK("https://www.infodis.net/philips/net/Shipment/Details?InfodisNumber=1323574&amp;DomainCode=PHILIPSM1", "1323574")</f>
        <v>1323574</v>
      </c>
      <c r="B551" s="5" t="s">
        <v>4118</v>
      </c>
      <c r="C551" s="5" t="s">
        <v>2080</v>
      </c>
      <c r="D551" s="5" t="s">
        <v>2081</v>
      </c>
      <c r="E551" s="5" t="s">
        <v>3517</v>
      </c>
      <c r="F551" s="5" t="s">
        <v>2552</v>
      </c>
      <c r="G551" s="5" t="s">
        <v>1430</v>
      </c>
      <c r="H551" s="5" t="s">
        <v>244</v>
      </c>
      <c r="I551" s="5" t="s">
        <v>2084</v>
      </c>
      <c r="J551" s="5" t="s">
        <v>2553</v>
      </c>
      <c r="K551" s="5" t="s">
        <v>2554</v>
      </c>
      <c r="L551" s="5" t="s">
        <v>846</v>
      </c>
      <c r="M551" s="5" t="s">
        <v>133</v>
      </c>
      <c r="N551" s="5"/>
      <c r="O551" s="5"/>
      <c r="P551" s="5" t="s">
        <v>1432</v>
      </c>
      <c r="Q551" s="5"/>
      <c r="R551" s="5" t="s">
        <v>1557</v>
      </c>
      <c r="S551" s="6">
        <v>43914</v>
      </c>
      <c r="T551" s="6">
        <v>43914</v>
      </c>
      <c r="U551" s="5"/>
      <c r="V551" s="6">
        <v>43914</v>
      </c>
      <c r="W551" s="6">
        <v>43914</v>
      </c>
      <c r="X551" s="5"/>
      <c r="Y551" s="5" t="s">
        <v>2518</v>
      </c>
      <c r="Z551" s="5" t="s">
        <v>2518</v>
      </c>
      <c r="AA551" s="5" t="s">
        <v>603</v>
      </c>
      <c r="AB551" s="5" t="s">
        <v>67</v>
      </c>
      <c r="AC551" s="5" t="s">
        <v>67</v>
      </c>
      <c r="AD551" s="5" t="s">
        <v>68</v>
      </c>
      <c r="AE551" s="5"/>
      <c r="AF551" s="5" t="s">
        <v>2388</v>
      </c>
      <c r="AG551" s="5" t="s">
        <v>2389</v>
      </c>
      <c r="AH551" s="5" t="s">
        <v>2388</v>
      </c>
      <c r="AI551" s="5" t="s">
        <v>605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20.3</v>
      </c>
      <c r="AP551" s="5">
        <v>-1</v>
      </c>
      <c r="AQ551" s="5" t="s">
        <v>713</v>
      </c>
      <c r="AR551" s="5" t="s">
        <v>1104</v>
      </c>
      <c r="AS551" s="5" t="s">
        <v>713</v>
      </c>
      <c r="AT551" s="6">
        <v>43991</v>
      </c>
      <c r="AU551" s="5" t="s">
        <v>4108</v>
      </c>
      <c r="AV551" s="5">
        <v>171</v>
      </c>
      <c r="AW551" s="5" t="s">
        <v>4109</v>
      </c>
    </row>
    <row r="552" spans="1:49" x14ac:dyDescent="0.55000000000000004">
      <c r="A552" s="5" t="str">
        <f>HYPERLINK("https://www.infodis.net/philips/net/Shipment/Details?InfodisNumber=1367200&amp;DomainCode=PHILIPSM1", "1367200")</f>
        <v>1367200</v>
      </c>
      <c r="B552" s="5" t="s">
        <v>4119</v>
      </c>
      <c r="C552" s="5" t="s">
        <v>2491</v>
      </c>
      <c r="D552" s="5" t="s">
        <v>2492</v>
      </c>
      <c r="E552" s="5" t="s">
        <v>2491</v>
      </c>
      <c r="F552" s="5" t="s">
        <v>3754</v>
      </c>
      <c r="G552" s="5" t="s">
        <v>1431</v>
      </c>
      <c r="H552" s="5" t="s">
        <v>180</v>
      </c>
      <c r="I552" s="5" t="s">
        <v>2494</v>
      </c>
      <c r="J552" s="5" t="s">
        <v>3755</v>
      </c>
      <c r="K552" s="5" t="s">
        <v>3756</v>
      </c>
      <c r="L552" s="5" t="s">
        <v>3757</v>
      </c>
      <c r="M552" s="5" t="s">
        <v>60</v>
      </c>
      <c r="N552" s="5"/>
      <c r="O552" s="5"/>
      <c r="P552" s="5" t="s">
        <v>1434</v>
      </c>
      <c r="Q552" s="5" t="s">
        <v>4120</v>
      </c>
      <c r="R552" s="5" t="s">
        <v>2922</v>
      </c>
      <c r="S552" s="6">
        <v>43957</v>
      </c>
      <c r="T552" s="6">
        <v>43958</v>
      </c>
      <c r="U552" s="6">
        <v>43957</v>
      </c>
      <c r="V552" s="6">
        <v>43959</v>
      </c>
      <c r="W552" s="6">
        <v>43960</v>
      </c>
      <c r="X552" s="5"/>
      <c r="Y552" s="5" t="s">
        <v>2387</v>
      </c>
      <c r="Z552" s="5" t="s">
        <v>2387</v>
      </c>
      <c r="AA552" s="5" t="s">
        <v>603</v>
      </c>
      <c r="AB552" s="5" t="s">
        <v>67</v>
      </c>
      <c r="AC552" s="5" t="s">
        <v>67</v>
      </c>
      <c r="AD552" s="5" t="s">
        <v>68</v>
      </c>
      <c r="AE552" s="5"/>
      <c r="AF552" s="5" t="s">
        <v>2610</v>
      </c>
      <c r="AG552" s="5" t="s">
        <v>2611</v>
      </c>
      <c r="AH552" s="5" t="s">
        <v>2610</v>
      </c>
      <c r="AI552" s="5" t="s">
        <v>605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4.5999999999999996</v>
      </c>
      <c r="AP552" s="5">
        <v>5.8000000000000003E-2</v>
      </c>
      <c r="AQ552" s="5" t="s">
        <v>713</v>
      </c>
      <c r="AR552" s="5" t="s">
        <v>1104</v>
      </c>
      <c r="AS552" s="5"/>
      <c r="AT552" s="5"/>
      <c r="AU552" s="5"/>
      <c r="AV552" s="5">
        <v>-1</v>
      </c>
      <c r="AW552" s="5" t="s">
        <v>3672</v>
      </c>
    </row>
    <row r="553" spans="1:49" x14ac:dyDescent="0.55000000000000004">
      <c r="A553" s="5" t="str">
        <f>HYPERLINK("https://www.infodis.net/philips/net/Shipment/Details?InfodisNumber=4014556&amp;DomainCode=DAP", "4014556")</f>
        <v>4014556</v>
      </c>
      <c r="B553" s="5" t="s">
        <v>4121</v>
      </c>
      <c r="C553" s="5" t="s">
        <v>2097</v>
      </c>
      <c r="D553" s="5" t="s">
        <v>2098</v>
      </c>
      <c r="E553" s="5" t="s">
        <v>4122</v>
      </c>
      <c r="F553" s="5" t="s">
        <v>291</v>
      </c>
      <c r="G553" s="5" t="s">
        <v>4123</v>
      </c>
      <c r="H553" s="5" t="s">
        <v>230</v>
      </c>
      <c r="I553" s="5" t="s">
        <v>2357</v>
      </c>
      <c r="J553" s="5" t="s">
        <v>2739</v>
      </c>
      <c r="K553" s="5" t="s">
        <v>295</v>
      </c>
      <c r="L553" s="5" t="s">
        <v>296</v>
      </c>
      <c r="M553" s="5" t="s">
        <v>84</v>
      </c>
      <c r="N553" s="5"/>
      <c r="O553" s="5"/>
      <c r="P553" s="5" t="s">
        <v>4124</v>
      </c>
      <c r="Q553" s="5" t="s">
        <v>4125</v>
      </c>
      <c r="R553" s="5" t="s">
        <v>300</v>
      </c>
      <c r="S553" s="6">
        <v>43497</v>
      </c>
      <c r="T553" s="6">
        <v>43498</v>
      </c>
      <c r="U553" s="6">
        <v>43500</v>
      </c>
      <c r="V553" s="6">
        <v>43501</v>
      </c>
      <c r="W553" s="6">
        <v>43503</v>
      </c>
      <c r="X553" s="5"/>
      <c r="Y553" s="5" t="s">
        <v>2398</v>
      </c>
      <c r="Z553" s="5" t="s">
        <v>2398</v>
      </c>
      <c r="AA553" s="5" t="s">
        <v>2398</v>
      </c>
      <c r="AB553" s="5" t="s">
        <v>67</v>
      </c>
      <c r="AC553" s="5" t="s">
        <v>67</v>
      </c>
      <c r="AD553" s="5" t="s">
        <v>67</v>
      </c>
      <c r="AE553" s="5"/>
      <c r="AF553" s="5" t="s">
        <v>2179</v>
      </c>
      <c r="AG553" s="5" t="s">
        <v>2180</v>
      </c>
      <c r="AH553" s="5" t="s">
        <v>2179</v>
      </c>
      <c r="AI553" s="5" t="s">
        <v>73</v>
      </c>
      <c r="AJ553" s="5">
        <v>0</v>
      </c>
      <c r="AK553" s="5">
        <v>0</v>
      </c>
      <c r="AL553" s="5">
        <v>0</v>
      </c>
      <c r="AM553" s="5">
        <v>0</v>
      </c>
      <c r="AN553" s="5">
        <v>1</v>
      </c>
      <c r="AO553" s="5">
        <v>408</v>
      </c>
      <c r="AP553" s="5">
        <v>1.3839999999999999</v>
      </c>
      <c r="AQ553" s="5" t="s">
        <v>713</v>
      </c>
      <c r="AR553" s="5" t="s">
        <v>1104</v>
      </c>
      <c r="AS553" s="5" t="s">
        <v>713</v>
      </c>
      <c r="AT553" s="5"/>
      <c r="AU553" s="5"/>
      <c r="AV553" s="5">
        <v>-1</v>
      </c>
      <c r="AW553" s="5" t="s">
        <v>4126</v>
      </c>
    </row>
    <row r="554" spans="1:49" x14ac:dyDescent="0.55000000000000004">
      <c r="A554" s="5" t="str">
        <f>HYPERLINK("https://www.infodis.net/philips/net/Shipment/Details?InfodisNumber=4005176&amp;DomainCode=DAP", "4005176")</f>
        <v>4005176</v>
      </c>
      <c r="B554" s="5" t="s">
        <v>4127</v>
      </c>
      <c r="C554" s="5" t="s">
        <v>4128</v>
      </c>
      <c r="D554" s="5" t="s">
        <v>4129</v>
      </c>
      <c r="E554" s="5" t="s">
        <v>4128</v>
      </c>
      <c r="F554" s="5" t="s">
        <v>1851</v>
      </c>
      <c r="G554" s="5" t="s">
        <v>4130</v>
      </c>
      <c r="H554" s="5" t="s">
        <v>132</v>
      </c>
      <c r="I554" s="5" t="s">
        <v>1704</v>
      </c>
      <c r="J554" s="5" t="s">
        <v>1070</v>
      </c>
      <c r="K554" s="5" t="s">
        <v>1852</v>
      </c>
      <c r="L554" s="5" t="s">
        <v>180</v>
      </c>
      <c r="M554" s="5" t="s">
        <v>1489</v>
      </c>
      <c r="N554" s="5"/>
      <c r="O554" s="5"/>
      <c r="P554" s="5" t="s">
        <v>4131</v>
      </c>
      <c r="Q554" s="5"/>
      <c r="R554" s="5" t="s">
        <v>1854</v>
      </c>
      <c r="S554" s="6">
        <v>43493</v>
      </c>
      <c r="T554" s="6">
        <v>43494</v>
      </c>
      <c r="U554" s="6">
        <v>43498</v>
      </c>
      <c r="V554" s="6">
        <v>43497</v>
      </c>
      <c r="W554" s="6">
        <v>43502</v>
      </c>
      <c r="X554" s="6">
        <v>43507</v>
      </c>
      <c r="Y554" s="5" t="s">
        <v>1735</v>
      </c>
      <c r="Z554" s="5" t="s">
        <v>1735</v>
      </c>
      <c r="AA554" s="5" t="s">
        <v>1735</v>
      </c>
      <c r="AB554" s="5" t="s">
        <v>67</v>
      </c>
      <c r="AC554" s="5" t="s">
        <v>67</v>
      </c>
      <c r="AD554" s="5" t="s">
        <v>67</v>
      </c>
      <c r="AE554" s="5"/>
      <c r="AF554" s="5" t="s">
        <v>2179</v>
      </c>
      <c r="AG554" s="5" t="s">
        <v>2180</v>
      </c>
      <c r="AH554" s="5" t="s">
        <v>2179</v>
      </c>
      <c r="AI554" s="5" t="s">
        <v>73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435</v>
      </c>
      <c r="AP554" s="5">
        <v>6.2E-2</v>
      </c>
      <c r="AQ554" s="5" t="s">
        <v>713</v>
      </c>
      <c r="AR554" s="5" t="s">
        <v>1104</v>
      </c>
      <c r="AS554" s="5" t="s">
        <v>713</v>
      </c>
      <c r="AT554" s="6">
        <v>43516</v>
      </c>
      <c r="AU554" s="5" t="s">
        <v>4132</v>
      </c>
      <c r="AV554" s="5">
        <v>646</v>
      </c>
      <c r="AW554" s="5" t="s">
        <v>4133</v>
      </c>
    </row>
    <row r="555" spans="1:49" x14ac:dyDescent="0.55000000000000004">
      <c r="A555" s="5" t="str">
        <f>HYPERLINK("https://www.infodis.net/philips/net/Shipment/Details?InfodisNumber=3995371&amp;DomainCode=DAP", "3995371")</f>
        <v>3995371</v>
      </c>
      <c r="B555" s="5" t="s">
        <v>4134</v>
      </c>
      <c r="C555" s="5" t="s">
        <v>4128</v>
      </c>
      <c r="D555" s="5" t="s">
        <v>4129</v>
      </c>
      <c r="E555" s="5" t="s">
        <v>4128</v>
      </c>
      <c r="F555" s="5" t="s">
        <v>458</v>
      </c>
      <c r="G555" s="5" t="s">
        <v>4135</v>
      </c>
      <c r="H555" s="5" t="s">
        <v>267</v>
      </c>
      <c r="I555" s="5" t="s">
        <v>268</v>
      </c>
      <c r="J555" s="5" t="s">
        <v>652</v>
      </c>
      <c r="K555" s="5" t="s">
        <v>620</v>
      </c>
      <c r="L555" s="5" t="s">
        <v>180</v>
      </c>
      <c r="M555" s="5" t="s">
        <v>1489</v>
      </c>
      <c r="N555" s="5"/>
      <c r="O555" s="5"/>
      <c r="P555" s="5"/>
      <c r="Q555" s="5"/>
      <c r="R555" s="5" t="s">
        <v>613</v>
      </c>
      <c r="S555" s="6">
        <v>43487</v>
      </c>
      <c r="T555" s="6">
        <v>43488</v>
      </c>
      <c r="U555" s="6">
        <v>43494</v>
      </c>
      <c r="V555" s="6">
        <v>43495</v>
      </c>
      <c r="W555" s="6">
        <v>43496</v>
      </c>
      <c r="X555" s="6">
        <v>43498</v>
      </c>
      <c r="Y555" s="5" t="s">
        <v>3061</v>
      </c>
      <c r="Z555" s="5" t="s">
        <v>3061</v>
      </c>
      <c r="AA555" s="5" t="s">
        <v>3061</v>
      </c>
      <c r="AB555" s="5" t="s">
        <v>67</v>
      </c>
      <c r="AC555" s="5" t="s">
        <v>67</v>
      </c>
      <c r="AD555" s="5" t="s">
        <v>67</v>
      </c>
      <c r="AE555" s="5"/>
      <c r="AF555" s="5" t="s">
        <v>2179</v>
      </c>
      <c r="AG555" s="5" t="s">
        <v>2180</v>
      </c>
      <c r="AH555" s="5" t="s">
        <v>2179</v>
      </c>
      <c r="AI555" s="5" t="s">
        <v>73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6.5</v>
      </c>
      <c r="AP555" s="5">
        <v>1.9E-2</v>
      </c>
      <c r="AQ555" s="5" t="s">
        <v>713</v>
      </c>
      <c r="AR555" s="5" t="s">
        <v>1104</v>
      </c>
      <c r="AS555" s="5" t="s">
        <v>713</v>
      </c>
      <c r="AT555" s="6">
        <v>43532</v>
      </c>
      <c r="AU555" s="5" t="s">
        <v>4136</v>
      </c>
      <c r="AV555" s="5">
        <v>630</v>
      </c>
      <c r="AW555" s="5" t="s">
        <v>4137</v>
      </c>
    </row>
    <row r="556" spans="1:49" x14ac:dyDescent="0.55000000000000004">
      <c r="A556" s="5" t="str">
        <f>HYPERLINK("https://www.infodis.net/philips/net/Shipment/Details?InfodisNumber=6393119&amp;DomainCode=PHILIPSR1", "6393119")</f>
        <v>6393119</v>
      </c>
      <c r="B556" s="5" t="s">
        <v>4138</v>
      </c>
      <c r="C556" s="5" t="s">
        <v>2426</v>
      </c>
      <c r="D556" s="5" t="s">
        <v>2427</v>
      </c>
      <c r="E556" s="5" t="s">
        <v>458</v>
      </c>
      <c r="F556" s="5" t="s">
        <v>2679</v>
      </c>
      <c r="G556" s="5" t="s">
        <v>610</v>
      </c>
      <c r="H556" s="5" t="s">
        <v>180</v>
      </c>
      <c r="I556" s="5" t="s">
        <v>652</v>
      </c>
      <c r="J556" s="5" t="s">
        <v>2495</v>
      </c>
      <c r="K556" s="5" t="s">
        <v>2496</v>
      </c>
      <c r="L556" s="5" t="s">
        <v>73</v>
      </c>
      <c r="M556" s="5" t="s">
        <v>84</v>
      </c>
      <c r="N556" s="5"/>
      <c r="O556" s="5"/>
      <c r="P556" s="5" t="s">
        <v>613</v>
      </c>
      <c r="Q556" s="5" t="s">
        <v>4139</v>
      </c>
      <c r="R556" s="5" t="s">
        <v>2495</v>
      </c>
      <c r="S556" s="6">
        <v>43929</v>
      </c>
      <c r="T556" s="6">
        <v>43930</v>
      </c>
      <c r="U556" s="6">
        <v>43929</v>
      </c>
      <c r="V556" s="6">
        <v>43933</v>
      </c>
      <c r="W556" s="6">
        <v>43933</v>
      </c>
      <c r="X556" s="5"/>
      <c r="Y556" s="5" t="s">
        <v>2476</v>
      </c>
      <c r="Z556" s="5" t="s">
        <v>2476</v>
      </c>
      <c r="AA556" s="5" t="s">
        <v>66</v>
      </c>
      <c r="AB556" s="5" t="s">
        <v>67</v>
      </c>
      <c r="AC556" s="5" t="s">
        <v>67</v>
      </c>
      <c r="AD556" s="5" t="s">
        <v>68</v>
      </c>
      <c r="AE556" s="5"/>
      <c r="AF556" s="5" t="s">
        <v>2179</v>
      </c>
      <c r="AG556" s="5" t="s">
        <v>2180</v>
      </c>
      <c r="AH556" s="5" t="s">
        <v>2179</v>
      </c>
      <c r="AI556" s="5" t="s">
        <v>252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29.94</v>
      </c>
      <c r="AP556" s="5">
        <v>0.22</v>
      </c>
      <c r="AQ556" s="5" t="s">
        <v>713</v>
      </c>
      <c r="AR556" s="5" t="s">
        <v>1104</v>
      </c>
      <c r="AS556" s="5" t="s">
        <v>713</v>
      </c>
      <c r="AT556" s="6">
        <v>43931</v>
      </c>
      <c r="AU556" s="5"/>
      <c r="AV556" s="5">
        <v>231</v>
      </c>
      <c r="AW556" s="5" t="s">
        <v>3901</v>
      </c>
    </row>
    <row r="557" spans="1:49" x14ac:dyDescent="0.55000000000000004">
      <c r="A557" s="5" t="str">
        <f>HYPERLINK("https://www.infodis.net/philips/net/Shipment/Details?InfodisNumber=3983451&amp;DomainCode=DAP", "3983451")</f>
        <v>3983451</v>
      </c>
      <c r="B557" s="5" t="s">
        <v>4140</v>
      </c>
      <c r="C557" s="5" t="s">
        <v>2502</v>
      </c>
      <c r="D557" s="5" t="s">
        <v>2503</v>
      </c>
      <c r="E557" s="5" t="s">
        <v>2504</v>
      </c>
      <c r="F557" s="5" t="s">
        <v>4141</v>
      </c>
      <c r="G557" s="5" t="s">
        <v>1179</v>
      </c>
      <c r="H557" s="5" t="s">
        <v>180</v>
      </c>
      <c r="I557" s="5" t="s">
        <v>2368</v>
      </c>
      <c r="J557" s="5" t="s">
        <v>511</v>
      </c>
      <c r="K557" s="5" t="s">
        <v>233</v>
      </c>
      <c r="L557" s="5" t="s">
        <v>234</v>
      </c>
      <c r="M557" s="5" t="s">
        <v>60</v>
      </c>
      <c r="N557" s="5"/>
      <c r="O557" s="5"/>
      <c r="P557" s="5" t="s">
        <v>1181</v>
      </c>
      <c r="Q557" s="5" t="s">
        <v>4142</v>
      </c>
      <c r="R557" s="5" t="s">
        <v>2235</v>
      </c>
      <c r="S557" s="6">
        <v>43479</v>
      </c>
      <c r="T557" s="6">
        <v>43479</v>
      </c>
      <c r="U557" s="6">
        <v>43479</v>
      </c>
      <c r="V557" s="6">
        <v>43482</v>
      </c>
      <c r="W557" s="6">
        <v>43482</v>
      </c>
      <c r="X557" s="6">
        <v>43486</v>
      </c>
      <c r="Y557" s="5" t="s">
        <v>2398</v>
      </c>
      <c r="Z557" s="5" t="s">
        <v>2398</v>
      </c>
      <c r="AA557" s="5" t="s">
        <v>2398</v>
      </c>
      <c r="AB557" s="5" t="s">
        <v>67</v>
      </c>
      <c r="AC557" s="5" t="s">
        <v>67</v>
      </c>
      <c r="AD557" s="5" t="s">
        <v>67</v>
      </c>
      <c r="AE557" s="5"/>
      <c r="AF557" s="5" t="s">
        <v>2179</v>
      </c>
      <c r="AG557" s="5" t="s">
        <v>2180</v>
      </c>
      <c r="AH557" s="5" t="s">
        <v>2179</v>
      </c>
      <c r="AI557" s="5" t="s">
        <v>73</v>
      </c>
      <c r="AJ557" s="5">
        <v>0</v>
      </c>
      <c r="AK557" s="5">
        <v>0</v>
      </c>
      <c r="AL557" s="5">
        <v>0</v>
      </c>
      <c r="AM557" s="5">
        <v>0</v>
      </c>
      <c r="AN557" s="5">
        <v>4</v>
      </c>
      <c r="AO557" s="5">
        <v>344</v>
      </c>
      <c r="AP557" s="5">
        <v>0</v>
      </c>
      <c r="AQ557" s="5" t="s">
        <v>713</v>
      </c>
      <c r="AR557" s="5" t="s">
        <v>1104</v>
      </c>
      <c r="AS557" s="5" t="s">
        <v>713</v>
      </c>
      <c r="AT557" s="5"/>
      <c r="AU557" s="5"/>
      <c r="AV557" s="5">
        <v>-1</v>
      </c>
      <c r="AW557" s="5"/>
    </row>
    <row r="558" spans="1:49" x14ac:dyDescent="0.55000000000000004">
      <c r="A558" s="5" t="str">
        <f>HYPERLINK("https://www.infodis.net/philips/net/Shipment/Details?InfodisNumber=1525929&amp;DomainCode=PHILIPSM1", "1525929")</f>
        <v>1525929</v>
      </c>
      <c r="B558" s="5" t="s">
        <v>4143</v>
      </c>
      <c r="C558" s="5" t="s">
        <v>3659</v>
      </c>
      <c r="D558" s="5" t="s">
        <v>3660</v>
      </c>
      <c r="E558" s="5" t="s">
        <v>3659</v>
      </c>
      <c r="F558" s="5" t="s">
        <v>3696</v>
      </c>
      <c r="G558" s="5" t="s">
        <v>3662</v>
      </c>
      <c r="H558" s="5" t="s">
        <v>180</v>
      </c>
      <c r="I558" s="5" t="s">
        <v>2057</v>
      </c>
      <c r="J558" s="5" t="s">
        <v>2553</v>
      </c>
      <c r="K558" s="5" t="s">
        <v>3697</v>
      </c>
      <c r="L558" s="5" t="s">
        <v>846</v>
      </c>
      <c r="M558" s="5" t="s">
        <v>60</v>
      </c>
      <c r="N558" s="5"/>
      <c r="O558" s="5"/>
      <c r="P558" s="5" t="s">
        <v>3663</v>
      </c>
      <c r="Q558" s="5" t="s">
        <v>4144</v>
      </c>
      <c r="R558" s="5" t="s">
        <v>1557</v>
      </c>
      <c r="S558" s="6">
        <v>44105</v>
      </c>
      <c r="T558" s="6">
        <v>44105</v>
      </c>
      <c r="U558" s="6">
        <v>44109</v>
      </c>
      <c r="V558" s="6">
        <v>44108</v>
      </c>
      <c r="W558" s="6">
        <v>44111</v>
      </c>
      <c r="X558" s="5"/>
      <c r="Y558" s="5" t="s">
        <v>2387</v>
      </c>
      <c r="Z558" s="5" t="s">
        <v>2387</v>
      </c>
      <c r="AA558" s="5" t="s">
        <v>603</v>
      </c>
      <c r="AB558" s="5" t="s">
        <v>67</v>
      </c>
      <c r="AC558" s="5" t="s">
        <v>67</v>
      </c>
      <c r="AD558" s="5" t="s">
        <v>68</v>
      </c>
      <c r="AE558" s="5"/>
      <c r="AF558" s="5" t="s">
        <v>2179</v>
      </c>
      <c r="AG558" s="5" t="s">
        <v>2180</v>
      </c>
      <c r="AH558" s="5" t="s">
        <v>2179</v>
      </c>
      <c r="AI558" s="5" t="s">
        <v>605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62.6</v>
      </c>
      <c r="AP558" s="5">
        <v>0.80900000000000005</v>
      </c>
      <c r="AQ558" s="5" t="s">
        <v>713</v>
      </c>
      <c r="AR558" s="5" t="s">
        <v>1104</v>
      </c>
      <c r="AS558" s="5"/>
      <c r="AT558" s="5"/>
      <c r="AU558" s="5"/>
      <c r="AV558" s="5">
        <v>-1</v>
      </c>
      <c r="AW558" s="5" t="s">
        <v>1498</v>
      </c>
    </row>
    <row r="559" spans="1:49" x14ac:dyDescent="0.55000000000000004">
      <c r="A559" s="5" t="str">
        <f>HYPERLINK("https://www.infodis.net/philips/net/Shipment/Details?InfodisNumber=4444493&amp;DomainCode=DAP", "4444493")</f>
        <v>4444493</v>
      </c>
      <c r="B559" s="5" t="s">
        <v>4145</v>
      </c>
      <c r="C559" s="5" t="s">
        <v>3717</v>
      </c>
      <c r="D559" s="5" t="s">
        <v>3718</v>
      </c>
      <c r="E559" s="5" t="s">
        <v>3717</v>
      </c>
      <c r="F559" s="5" t="s">
        <v>167</v>
      </c>
      <c r="G559" s="5" t="s">
        <v>3719</v>
      </c>
      <c r="H559" s="5" t="s">
        <v>180</v>
      </c>
      <c r="I559" s="5" t="s">
        <v>3854</v>
      </c>
      <c r="J559" s="5" t="s">
        <v>2405</v>
      </c>
      <c r="K559" s="5" t="s">
        <v>3855</v>
      </c>
      <c r="L559" s="5" t="s">
        <v>172</v>
      </c>
      <c r="M559" s="5" t="s">
        <v>60</v>
      </c>
      <c r="N559" s="5"/>
      <c r="O559" s="5"/>
      <c r="P559" s="5" t="s">
        <v>3721</v>
      </c>
      <c r="Q559" s="5" t="s">
        <v>4146</v>
      </c>
      <c r="R559" s="5" t="s">
        <v>174</v>
      </c>
      <c r="S559" s="6">
        <v>43973</v>
      </c>
      <c r="T559" s="6">
        <v>43973</v>
      </c>
      <c r="U559" s="6">
        <v>43973</v>
      </c>
      <c r="V559" s="6">
        <v>43976</v>
      </c>
      <c r="W559" s="6">
        <v>43983</v>
      </c>
      <c r="X559" s="6">
        <v>43989</v>
      </c>
      <c r="Y559" s="5" t="s">
        <v>2411</v>
      </c>
      <c r="Z559" s="5" t="s">
        <v>2411</v>
      </c>
      <c r="AA559" s="5" t="s">
        <v>2411</v>
      </c>
      <c r="AB559" s="5" t="s">
        <v>67</v>
      </c>
      <c r="AC559" s="5" t="s">
        <v>67</v>
      </c>
      <c r="AD559" s="5" t="s">
        <v>67</v>
      </c>
      <c r="AE559" s="5"/>
      <c r="AF559" s="5" t="s">
        <v>2179</v>
      </c>
      <c r="AG559" s="5" t="s">
        <v>2180</v>
      </c>
      <c r="AH559" s="5" t="s">
        <v>2179</v>
      </c>
      <c r="AI559" s="5" t="s">
        <v>73</v>
      </c>
      <c r="AJ559" s="5">
        <v>0</v>
      </c>
      <c r="AK559" s="5">
        <v>0</v>
      </c>
      <c r="AL559" s="5">
        <v>0</v>
      </c>
      <c r="AM559" s="5">
        <v>0</v>
      </c>
      <c r="AN559" s="5">
        <v>2</v>
      </c>
      <c r="AO559" s="5">
        <v>1419.74</v>
      </c>
      <c r="AP559" s="5">
        <v>3.871</v>
      </c>
      <c r="AQ559" s="5" t="s">
        <v>713</v>
      </c>
      <c r="AR559" s="5" t="s">
        <v>1104</v>
      </c>
      <c r="AS559" s="5"/>
      <c r="AT559" s="5"/>
      <c r="AU559" s="5"/>
      <c r="AV559" s="5">
        <v>-1</v>
      </c>
      <c r="AW559" s="5" t="s">
        <v>4147</v>
      </c>
    </row>
    <row r="560" spans="1:49" x14ac:dyDescent="0.55000000000000004">
      <c r="A560" s="5" t="str">
        <f>HYPERLINK("https://www.infodis.net/philips/net/Shipment/Details?InfodisNumber=4016359&amp;DomainCode=DAP", "4016359")</f>
        <v>4016359</v>
      </c>
      <c r="B560" s="5" t="s">
        <v>4148</v>
      </c>
      <c r="C560" s="5" t="s">
        <v>2296</v>
      </c>
      <c r="D560" s="5" t="s">
        <v>2297</v>
      </c>
      <c r="E560" s="5" t="s">
        <v>2298</v>
      </c>
      <c r="F560" s="5" t="s">
        <v>3674</v>
      </c>
      <c r="G560" s="5"/>
      <c r="H560" s="5" t="s">
        <v>267</v>
      </c>
      <c r="I560" s="5" t="s">
        <v>268</v>
      </c>
      <c r="J560" s="5" t="s">
        <v>1333</v>
      </c>
      <c r="K560" s="5" t="s">
        <v>1838</v>
      </c>
      <c r="L560" s="5" t="s">
        <v>180</v>
      </c>
      <c r="M560" s="5" t="s">
        <v>60</v>
      </c>
      <c r="N560" s="5"/>
      <c r="O560" s="5"/>
      <c r="P560" s="5"/>
      <c r="Q560" s="5"/>
      <c r="R560" s="5" t="s">
        <v>1840</v>
      </c>
      <c r="S560" s="6">
        <v>43500</v>
      </c>
      <c r="T560" s="5"/>
      <c r="U560" s="5"/>
      <c r="V560" s="5"/>
      <c r="W560" s="5"/>
      <c r="X560" s="5"/>
      <c r="Y560" s="5" t="s">
        <v>940</v>
      </c>
      <c r="Z560" s="5" t="s">
        <v>940</v>
      </c>
      <c r="AA560" s="5" t="s">
        <v>940</v>
      </c>
      <c r="AB560" s="5" t="s">
        <v>67</v>
      </c>
      <c r="AC560" s="5" t="s">
        <v>67</v>
      </c>
      <c r="AD560" s="5" t="s">
        <v>67</v>
      </c>
      <c r="AE560" s="5"/>
      <c r="AF560" s="5" t="s">
        <v>2179</v>
      </c>
      <c r="AG560" s="5" t="s">
        <v>2180</v>
      </c>
      <c r="AH560" s="5" t="s">
        <v>2179</v>
      </c>
      <c r="AI560" s="5" t="s">
        <v>73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92</v>
      </c>
      <c r="AP560" s="5">
        <v>33.246000000000002</v>
      </c>
      <c r="AQ560" s="5" t="s">
        <v>713</v>
      </c>
      <c r="AR560" s="5" t="s">
        <v>1104</v>
      </c>
      <c r="AS560" s="5"/>
      <c r="AT560" s="5"/>
      <c r="AU560" s="5"/>
      <c r="AV560" s="5">
        <v>-1</v>
      </c>
      <c r="AW560" s="5" t="s">
        <v>2301</v>
      </c>
    </row>
    <row r="561" spans="1:49" x14ac:dyDescent="0.55000000000000004">
      <c r="A561" s="5" t="str">
        <f>HYPERLINK("https://www.infodis.net/philips/net/Shipment/Details?InfodisNumber=4444492&amp;DomainCode=DAP", "4444492")</f>
        <v>4444492</v>
      </c>
      <c r="B561" s="5" t="s">
        <v>4149</v>
      </c>
      <c r="C561" s="5" t="s">
        <v>3717</v>
      </c>
      <c r="D561" s="5" t="s">
        <v>3718</v>
      </c>
      <c r="E561" s="5" t="s">
        <v>3717</v>
      </c>
      <c r="F561" s="5" t="s">
        <v>167</v>
      </c>
      <c r="G561" s="5" t="s">
        <v>3719</v>
      </c>
      <c r="H561" s="5" t="s">
        <v>180</v>
      </c>
      <c r="I561" s="5" t="s">
        <v>3854</v>
      </c>
      <c r="J561" s="5" t="s">
        <v>2405</v>
      </c>
      <c r="K561" s="5" t="s">
        <v>3855</v>
      </c>
      <c r="L561" s="5" t="s">
        <v>172</v>
      </c>
      <c r="M561" s="5" t="s">
        <v>60</v>
      </c>
      <c r="N561" s="5"/>
      <c r="O561" s="5"/>
      <c r="P561" s="5" t="s">
        <v>3721</v>
      </c>
      <c r="Q561" s="5" t="s">
        <v>4150</v>
      </c>
      <c r="R561" s="5" t="s">
        <v>174</v>
      </c>
      <c r="S561" s="6">
        <v>43973</v>
      </c>
      <c r="T561" s="6">
        <v>43972</v>
      </c>
      <c r="U561" s="6">
        <v>43972</v>
      </c>
      <c r="V561" s="6">
        <v>43975</v>
      </c>
      <c r="W561" s="6">
        <v>43975</v>
      </c>
      <c r="X561" s="6">
        <v>43983</v>
      </c>
      <c r="Y561" s="5" t="s">
        <v>2411</v>
      </c>
      <c r="Z561" s="5" t="s">
        <v>2411</v>
      </c>
      <c r="AA561" s="5" t="s">
        <v>2411</v>
      </c>
      <c r="AB561" s="5" t="s">
        <v>67</v>
      </c>
      <c r="AC561" s="5" t="s">
        <v>67</v>
      </c>
      <c r="AD561" s="5" t="s">
        <v>67</v>
      </c>
      <c r="AE561" s="5"/>
      <c r="AF561" s="5" t="s">
        <v>2179</v>
      </c>
      <c r="AG561" s="5" t="s">
        <v>2180</v>
      </c>
      <c r="AH561" s="5" t="s">
        <v>2179</v>
      </c>
      <c r="AI561" s="5" t="s">
        <v>73</v>
      </c>
      <c r="AJ561" s="5">
        <v>0</v>
      </c>
      <c r="AK561" s="5">
        <v>0</v>
      </c>
      <c r="AL561" s="5">
        <v>0</v>
      </c>
      <c r="AM561" s="5">
        <v>0</v>
      </c>
      <c r="AN561" s="5">
        <v>1</v>
      </c>
      <c r="AO561" s="5">
        <v>619.15</v>
      </c>
      <c r="AP561" s="5">
        <v>1.528</v>
      </c>
      <c r="AQ561" s="5" t="s">
        <v>713</v>
      </c>
      <c r="AR561" s="5" t="s">
        <v>1104</v>
      </c>
      <c r="AS561" s="5"/>
      <c r="AT561" s="5"/>
      <c r="AU561" s="5"/>
      <c r="AV561" s="5">
        <v>-1</v>
      </c>
      <c r="AW561" s="5" t="s">
        <v>4147</v>
      </c>
    </row>
    <row r="562" spans="1:49" x14ac:dyDescent="0.55000000000000004">
      <c r="A562" s="5" t="str">
        <f>HYPERLINK("https://www.infodis.net/philips/net/Shipment/Details?InfodisNumber=1399961&amp;DomainCode=PHILIPSM1", "1399961")</f>
        <v>1399961</v>
      </c>
      <c r="B562" s="5" t="s">
        <v>4151</v>
      </c>
      <c r="C562" s="5" t="s">
        <v>2491</v>
      </c>
      <c r="D562" s="5" t="s">
        <v>2492</v>
      </c>
      <c r="E562" s="5" t="s">
        <v>2491</v>
      </c>
      <c r="F562" s="5" t="s">
        <v>4152</v>
      </c>
      <c r="G562" s="5" t="s">
        <v>1431</v>
      </c>
      <c r="H562" s="5" t="s">
        <v>180</v>
      </c>
      <c r="I562" s="5" t="s">
        <v>2494</v>
      </c>
      <c r="J562" s="5" t="s">
        <v>4085</v>
      </c>
      <c r="K562" s="5" t="s">
        <v>4153</v>
      </c>
      <c r="L562" s="5" t="s">
        <v>709</v>
      </c>
      <c r="M562" s="5" t="s">
        <v>60</v>
      </c>
      <c r="N562" s="5"/>
      <c r="O562" s="5"/>
      <c r="P562" s="5" t="s">
        <v>1434</v>
      </c>
      <c r="Q562" s="5" t="s">
        <v>4154</v>
      </c>
      <c r="R562" s="5" t="s">
        <v>4087</v>
      </c>
      <c r="S562" s="6">
        <v>43991</v>
      </c>
      <c r="T562" s="6">
        <v>43991</v>
      </c>
      <c r="U562" s="6">
        <v>43992</v>
      </c>
      <c r="V562" s="6">
        <v>43992</v>
      </c>
      <c r="W562" s="6">
        <v>43994</v>
      </c>
      <c r="X562" s="6">
        <v>43998</v>
      </c>
      <c r="Y562" s="5" t="s">
        <v>2387</v>
      </c>
      <c r="Z562" s="5" t="s">
        <v>2387</v>
      </c>
      <c r="AA562" s="5" t="s">
        <v>603</v>
      </c>
      <c r="AB562" s="5" t="s">
        <v>67</v>
      </c>
      <c r="AC562" s="5" t="s">
        <v>67</v>
      </c>
      <c r="AD562" s="5" t="s">
        <v>68</v>
      </c>
      <c r="AE562" s="5"/>
      <c r="AF562" s="5" t="s">
        <v>2829</v>
      </c>
      <c r="AG562" s="5" t="s">
        <v>2830</v>
      </c>
      <c r="AH562" s="5" t="s">
        <v>2829</v>
      </c>
      <c r="AI562" s="5" t="s">
        <v>605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1.3</v>
      </c>
      <c r="AP562" s="5">
        <v>2.8000000000000001E-2</v>
      </c>
      <c r="AQ562" s="5" t="s">
        <v>713</v>
      </c>
      <c r="AR562" s="5" t="s">
        <v>1104</v>
      </c>
      <c r="AS562" s="5"/>
      <c r="AT562" s="5"/>
      <c r="AU562" s="5"/>
      <c r="AV562" s="5">
        <v>-1</v>
      </c>
      <c r="AW562" s="5" t="s">
        <v>3672</v>
      </c>
    </row>
    <row r="563" spans="1:49" x14ac:dyDescent="0.55000000000000004">
      <c r="A563" s="5" t="str">
        <f>HYPERLINK("https://www.infodis.net/philips/net/Shipment/Details?InfodisNumber=4526404&amp;DomainCode=DAP", "4526404")</f>
        <v>4526404</v>
      </c>
      <c r="B563" s="5" t="s">
        <v>4155</v>
      </c>
      <c r="C563" s="5" t="s">
        <v>3717</v>
      </c>
      <c r="D563" s="5" t="s">
        <v>3718</v>
      </c>
      <c r="E563" s="5" t="s">
        <v>3717</v>
      </c>
      <c r="F563" s="5" t="s">
        <v>167</v>
      </c>
      <c r="G563" s="5" t="s">
        <v>3719</v>
      </c>
      <c r="H563" s="5" t="s">
        <v>180</v>
      </c>
      <c r="I563" s="5" t="s">
        <v>3720</v>
      </c>
      <c r="J563" s="5" t="s">
        <v>2405</v>
      </c>
      <c r="K563" s="5" t="s">
        <v>1125</v>
      </c>
      <c r="L563" s="5" t="s">
        <v>172</v>
      </c>
      <c r="M563" s="5" t="s">
        <v>60</v>
      </c>
      <c r="N563" s="5"/>
      <c r="O563" s="5"/>
      <c r="P563" s="5" t="s">
        <v>3721</v>
      </c>
      <c r="Q563" s="5" t="s">
        <v>4156</v>
      </c>
      <c r="R563" s="5" t="s">
        <v>1128</v>
      </c>
      <c r="S563" s="6">
        <v>44104</v>
      </c>
      <c r="T563" s="6">
        <v>44104</v>
      </c>
      <c r="U563" s="6">
        <v>44104</v>
      </c>
      <c r="V563" s="6">
        <v>44107</v>
      </c>
      <c r="W563" s="6">
        <v>44106</v>
      </c>
      <c r="X563" s="6">
        <v>44116</v>
      </c>
      <c r="Y563" s="5" t="s">
        <v>2411</v>
      </c>
      <c r="Z563" s="5" t="s">
        <v>2411</v>
      </c>
      <c r="AA563" s="5" t="s">
        <v>2411</v>
      </c>
      <c r="AB563" s="5" t="s">
        <v>67</v>
      </c>
      <c r="AC563" s="5" t="s">
        <v>67</v>
      </c>
      <c r="AD563" s="5" t="s">
        <v>67</v>
      </c>
      <c r="AE563" s="5"/>
      <c r="AF563" s="5" t="s">
        <v>2179</v>
      </c>
      <c r="AG563" s="5" t="s">
        <v>2180</v>
      </c>
      <c r="AH563" s="5" t="s">
        <v>2179</v>
      </c>
      <c r="AI563" s="5" t="s">
        <v>73</v>
      </c>
      <c r="AJ563" s="5">
        <v>0</v>
      </c>
      <c r="AK563" s="5">
        <v>0</v>
      </c>
      <c r="AL563" s="5">
        <v>0</v>
      </c>
      <c r="AM563" s="5">
        <v>0</v>
      </c>
      <c r="AN563" s="5">
        <v>5</v>
      </c>
      <c r="AO563" s="5">
        <v>3209.17</v>
      </c>
      <c r="AP563" s="5">
        <v>8.4540000000000006</v>
      </c>
      <c r="AQ563" s="5" t="s">
        <v>713</v>
      </c>
      <c r="AR563" s="5" t="s">
        <v>1104</v>
      </c>
      <c r="AS563" s="5" t="s">
        <v>713</v>
      </c>
      <c r="AT563" s="6">
        <v>44124</v>
      </c>
      <c r="AU563" s="5" t="s">
        <v>3723</v>
      </c>
      <c r="AV563" s="5">
        <v>38</v>
      </c>
      <c r="AW563" s="5" t="s">
        <v>3724</v>
      </c>
    </row>
    <row r="564" spans="1:49" x14ac:dyDescent="0.55000000000000004">
      <c r="A564" s="5" t="str">
        <f>HYPERLINK("https://www.infodis.net/philips/net/Shipment/Details?InfodisNumber=4286326&amp;DomainCode=DAP", "4286326")</f>
        <v>4286326</v>
      </c>
      <c r="B564" s="5" t="s">
        <v>4157</v>
      </c>
      <c r="C564" s="5" t="s">
        <v>4158</v>
      </c>
      <c r="D564" s="5" t="s">
        <v>4159</v>
      </c>
      <c r="E564" s="5" t="s">
        <v>4158</v>
      </c>
      <c r="F564" s="5" t="s">
        <v>3686</v>
      </c>
      <c r="G564" s="5" t="s">
        <v>354</v>
      </c>
      <c r="H564" s="5" t="s">
        <v>79</v>
      </c>
      <c r="I564" s="5" t="s">
        <v>1813</v>
      </c>
      <c r="J564" s="5" t="s">
        <v>652</v>
      </c>
      <c r="K564" s="5" t="s">
        <v>2377</v>
      </c>
      <c r="L564" s="5" t="s">
        <v>180</v>
      </c>
      <c r="M564" s="5" t="s">
        <v>1489</v>
      </c>
      <c r="N564" s="5"/>
      <c r="O564" s="5" t="s">
        <v>4160</v>
      </c>
      <c r="P564" s="5" t="s">
        <v>3687</v>
      </c>
      <c r="Q564" s="5"/>
      <c r="R564" s="5" t="s">
        <v>2380</v>
      </c>
      <c r="S564" s="6">
        <v>43714</v>
      </c>
      <c r="T564" s="6">
        <v>43718</v>
      </c>
      <c r="U564" s="6">
        <v>43720</v>
      </c>
      <c r="V564" s="6">
        <v>43721</v>
      </c>
      <c r="W564" s="6">
        <v>43721</v>
      </c>
      <c r="X564" s="5"/>
      <c r="Y564" s="5" t="s">
        <v>2476</v>
      </c>
      <c r="Z564" s="5" t="s">
        <v>2476</v>
      </c>
      <c r="AA564" s="5" t="s">
        <v>2476</v>
      </c>
      <c r="AB564" s="5" t="s">
        <v>67</v>
      </c>
      <c r="AC564" s="5" t="s">
        <v>67</v>
      </c>
      <c r="AD564" s="5" t="s">
        <v>67</v>
      </c>
      <c r="AE564" s="5"/>
      <c r="AF564" s="5" t="s">
        <v>2179</v>
      </c>
      <c r="AG564" s="5" t="s">
        <v>2180</v>
      </c>
      <c r="AH564" s="5" t="s">
        <v>2179</v>
      </c>
      <c r="AI564" s="5" t="s">
        <v>73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137.88999999999999</v>
      </c>
      <c r="AP564" s="5">
        <v>0.24099999999999999</v>
      </c>
      <c r="AQ564" s="5" t="s">
        <v>713</v>
      </c>
      <c r="AR564" s="5" t="s">
        <v>1104</v>
      </c>
      <c r="AS564" s="5" t="s">
        <v>713</v>
      </c>
      <c r="AT564" s="5"/>
      <c r="AU564" s="5"/>
      <c r="AV564" s="5">
        <v>-1</v>
      </c>
      <c r="AW564" s="5" t="s">
        <v>4161</v>
      </c>
    </row>
    <row r="565" spans="1:49" x14ac:dyDescent="0.55000000000000004">
      <c r="A565" s="5" t="str">
        <f>HYPERLINK("https://www.infodis.net/philips/net/Shipment/Details?InfodisNumber=6371954&amp;DomainCode=PHILIPSR1", "6371954")</f>
        <v>6371954</v>
      </c>
      <c r="B565" s="5" t="s">
        <v>4162</v>
      </c>
      <c r="C565" s="5" t="s">
        <v>2426</v>
      </c>
      <c r="D565" s="5" t="s">
        <v>2427</v>
      </c>
      <c r="E565" s="5" t="s">
        <v>458</v>
      </c>
      <c r="F565" s="5" t="s">
        <v>2679</v>
      </c>
      <c r="G565" s="5" t="s">
        <v>610</v>
      </c>
      <c r="H565" s="5" t="s">
        <v>180</v>
      </c>
      <c r="I565" s="5" t="s">
        <v>652</v>
      </c>
      <c r="J565" s="5" t="s">
        <v>2495</v>
      </c>
      <c r="K565" s="5" t="s">
        <v>2496</v>
      </c>
      <c r="L565" s="5" t="s">
        <v>73</v>
      </c>
      <c r="M565" s="5" t="s">
        <v>84</v>
      </c>
      <c r="N565" s="5"/>
      <c r="O565" s="5"/>
      <c r="P565" s="5" t="s">
        <v>613</v>
      </c>
      <c r="Q565" s="5" t="s">
        <v>4163</v>
      </c>
      <c r="R565" s="5" t="s">
        <v>2495</v>
      </c>
      <c r="S565" s="6">
        <v>43921</v>
      </c>
      <c r="T565" s="6">
        <v>43921</v>
      </c>
      <c r="U565" s="6">
        <v>43921</v>
      </c>
      <c r="V565" s="6">
        <v>43924</v>
      </c>
      <c r="W565" s="6">
        <v>43925</v>
      </c>
      <c r="X565" s="5"/>
      <c r="Y565" s="5" t="s">
        <v>2476</v>
      </c>
      <c r="Z565" s="5" t="s">
        <v>2476</v>
      </c>
      <c r="AA565" s="5" t="s">
        <v>66</v>
      </c>
      <c r="AB565" s="5" t="s">
        <v>67</v>
      </c>
      <c r="AC565" s="5" t="s">
        <v>67</v>
      </c>
      <c r="AD565" s="5" t="s">
        <v>68</v>
      </c>
      <c r="AE565" s="5"/>
      <c r="AF565" s="5" t="s">
        <v>2179</v>
      </c>
      <c r="AG565" s="5" t="s">
        <v>2180</v>
      </c>
      <c r="AH565" s="5" t="s">
        <v>2179</v>
      </c>
      <c r="AI565" s="5" t="s">
        <v>252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11.79</v>
      </c>
      <c r="AP565" s="5">
        <v>8.900000000000001E-2</v>
      </c>
      <c r="AQ565" s="5" t="s">
        <v>713</v>
      </c>
      <c r="AR565" s="5" t="s">
        <v>1104</v>
      </c>
      <c r="AS565" s="5" t="s">
        <v>713</v>
      </c>
      <c r="AT565" s="5"/>
      <c r="AU565" s="5"/>
      <c r="AV565" s="5">
        <v>-1</v>
      </c>
      <c r="AW565" s="5" t="s">
        <v>3833</v>
      </c>
    </row>
    <row r="566" spans="1:49" x14ac:dyDescent="0.55000000000000004">
      <c r="A566" s="5" t="str">
        <f>HYPERLINK("https://www.infodis.net/philips/net/Shipment/Details?InfodisNumber=6372217&amp;DomainCode=PHILIPSR1", "6372217")</f>
        <v>6372217</v>
      </c>
      <c r="B566" s="5" t="s">
        <v>4164</v>
      </c>
      <c r="C566" s="5" t="s">
        <v>2426</v>
      </c>
      <c r="D566" s="5" t="s">
        <v>2427</v>
      </c>
      <c r="E566" s="5" t="s">
        <v>458</v>
      </c>
      <c r="F566" s="5" t="s">
        <v>2679</v>
      </c>
      <c r="G566" s="5" t="s">
        <v>610</v>
      </c>
      <c r="H566" s="5" t="s">
        <v>180</v>
      </c>
      <c r="I566" s="5" t="s">
        <v>652</v>
      </c>
      <c r="J566" s="5" t="s">
        <v>2495</v>
      </c>
      <c r="K566" s="5" t="s">
        <v>2496</v>
      </c>
      <c r="L566" s="5" t="s">
        <v>73</v>
      </c>
      <c r="M566" s="5" t="s">
        <v>84</v>
      </c>
      <c r="N566" s="5"/>
      <c r="O566" s="5"/>
      <c r="P566" s="5" t="s">
        <v>613</v>
      </c>
      <c r="Q566" s="5" t="s">
        <v>4165</v>
      </c>
      <c r="R566" s="5" t="s">
        <v>2495</v>
      </c>
      <c r="S566" s="6">
        <v>43921</v>
      </c>
      <c r="T566" s="6">
        <v>43921</v>
      </c>
      <c r="U566" s="6">
        <v>43921</v>
      </c>
      <c r="V566" s="6">
        <v>43924</v>
      </c>
      <c r="W566" s="6">
        <v>43925</v>
      </c>
      <c r="X566" s="5"/>
      <c r="Y566" s="5" t="s">
        <v>2476</v>
      </c>
      <c r="Z566" s="5" t="s">
        <v>2476</v>
      </c>
      <c r="AA566" s="5" t="s">
        <v>66</v>
      </c>
      <c r="AB566" s="5" t="s">
        <v>67</v>
      </c>
      <c r="AC566" s="5" t="s">
        <v>67</v>
      </c>
      <c r="AD566" s="5" t="s">
        <v>68</v>
      </c>
      <c r="AE566" s="5"/>
      <c r="AF566" s="5" t="s">
        <v>2179</v>
      </c>
      <c r="AG566" s="5" t="s">
        <v>2180</v>
      </c>
      <c r="AH566" s="5" t="s">
        <v>2179</v>
      </c>
      <c r="AI566" s="5" t="s">
        <v>252</v>
      </c>
      <c r="AJ566" s="5">
        <v>0</v>
      </c>
      <c r="AK566" s="5">
        <v>0</v>
      </c>
      <c r="AL566" s="5">
        <v>0</v>
      </c>
      <c r="AM566" s="5">
        <v>0</v>
      </c>
      <c r="AN566" s="5">
        <v>2</v>
      </c>
      <c r="AO566" s="5">
        <v>298.01</v>
      </c>
      <c r="AP566" s="5">
        <v>3.3980000000000001</v>
      </c>
      <c r="AQ566" s="5" t="s">
        <v>713</v>
      </c>
      <c r="AR566" s="5" t="s">
        <v>1104</v>
      </c>
      <c r="AS566" s="5" t="s">
        <v>713</v>
      </c>
      <c r="AT566" s="5"/>
      <c r="AU566" s="5"/>
      <c r="AV566" s="5">
        <v>-1</v>
      </c>
      <c r="AW566" s="5" t="s">
        <v>3833</v>
      </c>
    </row>
    <row r="567" spans="1:49" x14ac:dyDescent="0.55000000000000004">
      <c r="A567" s="5" t="str">
        <f>HYPERLINK("https://www.infodis.net/philips/net/Shipment/Details?InfodisNumber=1360155&amp;DomainCode=PHILIPSM1", "1360155")</f>
        <v>1360155</v>
      </c>
      <c r="B567" s="5" t="s">
        <v>4166</v>
      </c>
      <c r="C567" s="5" t="s">
        <v>2080</v>
      </c>
      <c r="D567" s="5" t="s">
        <v>2081</v>
      </c>
      <c r="E567" s="5" t="s">
        <v>2082</v>
      </c>
      <c r="F567" s="5"/>
      <c r="G567" s="5" t="s">
        <v>1430</v>
      </c>
      <c r="H567" s="5" t="s">
        <v>244</v>
      </c>
      <c r="I567" s="5" t="s">
        <v>2084</v>
      </c>
      <c r="J567" s="5" t="s">
        <v>4167</v>
      </c>
      <c r="K567" s="5" t="s">
        <v>4168</v>
      </c>
      <c r="L567" s="5" t="s">
        <v>4169</v>
      </c>
      <c r="M567" s="5" t="s">
        <v>60</v>
      </c>
      <c r="N567" s="5"/>
      <c r="O567" s="5"/>
      <c r="P567" s="5" t="s">
        <v>1432</v>
      </c>
      <c r="Q567" s="5" t="s">
        <v>4170</v>
      </c>
      <c r="R567" s="5" t="s">
        <v>4169</v>
      </c>
      <c r="S567" s="6">
        <v>43950</v>
      </c>
      <c r="T567" s="6">
        <v>43951</v>
      </c>
      <c r="U567" s="6">
        <v>43955</v>
      </c>
      <c r="V567" s="6">
        <v>43952</v>
      </c>
      <c r="W567" s="6">
        <v>43956</v>
      </c>
      <c r="X567" s="5"/>
      <c r="Y567" s="5" t="s">
        <v>2387</v>
      </c>
      <c r="Z567" s="5" t="s">
        <v>2387</v>
      </c>
      <c r="AA567" s="5" t="s">
        <v>603</v>
      </c>
      <c r="AB567" s="5" t="s">
        <v>67</v>
      </c>
      <c r="AC567" s="5" t="s">
        <v>67</v>
      </c>
      <c r="AD567" s="5" t="s">
        <v>68</v>
      </c>
      <c r="AE567" s="5"/>
      <c r="AF567" s="5" t="s">
        <v>2610</v>
      </c>
      <c r="AG567" s="5" t="s">
        <v>2611</v>
      </c>
      <c r="AH567" s="5" t="s">
        <v>2610</v>
      </c>
      <c r="AI567" s="5" t="s">
        <v>605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10.9</v>
      </c>
      <c r="AP567" s="5">
        <v>8.8000000000000009E-2</v>
      </c>
      <c r="AQ567" s="5" t="s">
        <v>713</v>
      </c>
      <c r="AR567" s="5" t="s">
        <v>1104</v>
      </c>
      <c r="AS567" s="5"/>
      <c r="AT567" s="5"/>
      <c r="AU567" s="5"/>
      <c r="AV567" s="5">
        <v>-1</v>
      </c>
      <c r="AW567" s="5" t="s">
        <v>3672</v>
      </c>
    </row>
    <row r="568" spans="1:49" x14ac:dyDescent="0.55000000000000004">
      <c r="A568" s="5" t="str">
        <f>HYPERLINK("https://www.infodis.net/philips/net/Shipment/Details?InfodisNumber=1398135&amp;DomainCode=PHILIPSM1", "1398135")</f>
        <v>1398135</v>
      </c>
      <c r="B568" s="5" t="s">
        <v>4171</v>
      </c>
      <c r="C568" s="5" t="s">
        <v>2080</v>
      </c>
      <c r="D568" s="5" t="s">
        <v>2081</v>
      </c>
      <c r="E568" s="5" t="s">
        <v>2082</v>
      </c>
      <c r="F568" s="5" t="s">
        <v>4172</v>
      </c>
      <c r="G568" s="5" t="s">
        <v>1430</v>
      </c>
      <c r="H568" s="5" t="s">
        <v>244</v>
      </c>
      <c r="I568" s="5" t="s">
        <v>2084</v>
      </c>
      <c r="J568" s="5" t="s">
        <v>4173</v>
      </c>
      <c r="K568" s="5" t="s">
        <v>4174</v>
      </c>
      <c r="L568" s="5" t="s">
        <v>4175</v>
      </c>
      <c r="M568" s="5" t="s">
        <v>60</v>
      </c>
      <c r="N568" s="5"/>
      <c r="O568" s="5"/>
      <c r="P568" s="5" t="s">
        <v>1432</v>
      </c>
      <c r="Q568" s="5"/>
      <c r="R568" s="5" t="s">
        <v>4176</v>
      </c>
      <c r="S568" s="6">
        <v>43987</v>
      </c>
      <c r="T568" s="6">
        <v>43990</v>
      </c>
      <c r="U568" s="5"/>
      <c r="V568" s="6">
        <v>43995</v>
      </c>
      <c r="W568" s="5"/>
      <c r="X568" s="5"/>
      <c r="Y568" s="5" t="s">
        <v>2518</v>
      </c>
      <c r="Z568" s="5" t="s">
        <v>2518</v>
      </c>
      <c r="AA568" s="5" t="s">
        <v>603</v>
      </c>
      <c r="AB568" s="5" t="s">
        <v>67</v>
      </c>
      <c r="AC568" s="5" t="s">
        <v>67</v>
      </c>
      <c r="AD568" s="5" t="s">
        <v>68</v>
      </c>
      <c r="AE568" s="5"/>
      <c r="AF568" s="5" t="s">
        <v>2399</v>
      </c>
      <c r="AG568" s="5" t="s">
        <v>2400</v>
      </c>
      <c r="AH568" s="5" t="s">
        <v>2399</v>
      </c>
      <c r="AI568" s="5" t="s">
        <v>605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66.900000000000006</v>
      </c>
      <c r="AP568" s="5">
        <v>0</v>
      </c>
      <c r="AQ568" s="5" t="s">
        <v>713</v>
      </c>
      <c r="AR568" s="5" t="s">
        <v>1104</v>
      </c>
      <c r="AS568" s="5" t="s">
        <v>713</v>
      </c>
      <c r="AT568" s="6">
        <v>43991</v>
      </c>
      <c r="AU568" s="5" t="s">
        <v>4108</v>
      </c>
      <c r="AV568" s="5">
        <v>171</v>
      </c>
      <c r="AW568" s="5" t="s">
        <v>4109</v>
      </c>
    </row>
    <row r="569" spans="1:49" x14ac:dyDescent="0.55000000000000004">
      <c r="A569" s="5" t="str">
        <f>HYPERLINK("https://www.infodis.net/philips/net/Shipment/Details?InfodisNumber=1394786&amp;DomainCode=PHILIPSM1", "1394786")</f>
        <v>1394786</v>
      </c>
      <c r="B569" s="5" t="s">
        <v>4177</v>
      </c>
      <c r="C569" s="5" t="s">
        <v>2080</v>
      </c>
      <c r="D569" s="5" t="s">
        <v>2081</v>
      </c>
      <c r="E569" s="5" t="s">
        <v>2082</v>
      </c>
      <c r="F569" s="5" t="s">
        <v>4105</v>
      </c>
      <c r="G569" s="5" t="s">
        <v>1430</v>
      </c>
      <c r="H569" s="5" t="s">
        <v>244</v>
      </c>
      <c r="I569" s="5" t="s">
        <v>2084</v>
      </c>
      <c r="J569" s="5" t="s">
        <v>681</v>
      </c>
      <c r="K569" s="5" t="s">
        <v>4106</v>
      </c>
      <c r="L569" s="5" t="s">
        <v>380</v>
      </c>
      <c r="M569" s="5" t="s">
        <v>60</v>
      </c>
      <c r="N569" s="5"/>
      <c r="O569" s="5"/>
      <c r="P569" s="5" t="s">
        <v>1432</v>
      </c>
      <c r="Q569" s="5"/>
      <c r="R569" s="5" t="s">
        <v>4107</v>
      </c>
      <c r="S569" s="6">
        <v>43985</v>
      </c>
      <c r="T569" s="6">
        <v>43985</v>
      </c>
      <c r="U569" s="6">
        <v>43985</v>
      </c>
      <c r="V569" s="6">
        <v>43990</v>
      </c>
      <c r="W569" s="6">
        <v>44002</v>
      </c>
      <c r="X569" s="5"/>
      <c r="Y569" s="5" t="s">
        <v>2518</v>
      </c>
      <c r="Z569" s="5" t="s">
        <v>2518</v>
      </c>
      <c r="AA569" s="5" t="s">
        <v>603</v>
      </c>
      <c r="AB569" s="5" t="s">
        <v>67</v>
      </c>
      <c r="AC569" s="5" t="s">
        <v>67</v>
      </c>
      <c r="AD569" s="5" t="s">
        <v>68</v>
      </c>
      <c r="AE569" s="5"/>
      <c r="AF569" s="5" t="s">
        <v>2399</v>
      </c>
      <c r="AG569" s="5" t="s">
        <v>2400</v>
      </c>
      <c r="AH569" s="5" t="s">
        <v>2399</v>
      </c>
      <c r="AI569" s="5" t="s">
        <v>605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179.6</v>
      </c>
      <c r="AP569" s="5">
        <v>0</v>
      </c>
      <c r="AQ569" s="5" t="s">
        <v>713</v>
      </c>
      <c r="AR569" s="5" t="s">
        <v>1104</v>
      </c>
      <c r="AS569" s="5" t="s">
        <v>713</v>
      </c>
      <c r="AT569" s="6">
        <v>43991</v>
      </c>
      <c r="AU569" s="5" t="s">
        <v>4108</v>
      </c>
      <c r="AV569" s="5">
        <v>171</v>
      </c>
      <c r="AW569" s="5" t="s">
        <v>4109</v>
      </c>
    </row>
    <row r="570" spans="1:49" x14ac:dyDescent="0.55000000000000004">
      <c r="A570" s="5" t="str">
        <f>HYPERLINK("https://www.infodis.net/philips/net/Shipment/Details?InfodisNumber=6378555&amp;DomainCode=PHILIPSR1", "6378555")</f>
        <v>6378555</v>
      </c>
      <c r="B570" s="5" t="s">
        <v>4178</v>
      </c>
      <c r="C570" s="5" t="s">
        <v>2426</v>
      </c>
      <c r="D570" s="5" t="s">
        <v>2427</v>
      </c>
      <c r="E570" s="5" t="s">
        <v>458</v>
      </c>
      <c r="F570" s="5" t="s">
        <v>2679</v>
      </c>
      <c r="G570" s="5" t="s">
        <v>610</v>
      </c>
      <c r="H570" s="5" t="s">
        <v>180</v>
      </c>
      <c r="I570" s="5" t="s">
        <v>652</v>
      </c>
      <c r="J570" s="5" t="s">
        <v>2495</v>
      </c>
      <c r="K570" s="5" t="s">
        <v>2496</v>
      </c>
      <c r="L570" s="5" t="s">
        <v>73</v>
      </c>
      <c r="M570" s="5" t="s">
        <v>84</v>
      </c>
      <c r="N570" s="5"/>
      <c r="O570" s="5"/>
      <c r="P570" s="5" t="s">
        <v>613</v>
      </c>
      <c r="Q570" s="5" t="s">
        <v>4179</v>
      </c>
      <c r="R570" s="5" t="s">
        <v>2495</v>
      </c>
      <c r="S570" s="6">
        <v>43923</v>
      </c>
      <c r="T570" s="6">
        <v>43924</v>
      </c>
      <c r="U570" s="6">
        <v>43923</v>
      </c>
      <c r="V570" s="6">
        <v>43927</v>
      </c>
      <c r="W570" s="6">
        <v>43924</v>
      </c>
      <c r="X570" s="5"/>
      <c r="Y570" s="5" t="s">
        <v>2476</v>
      </c>
      <c r="Z570" s="5" t="s">
        <v>2476</v>
      </c>
      <c r="AA570" s="5" t="s">
        <v>66</v>
      </c>
      <c r="AB570" s="5" t="s">
        <v>67</v>
      </c>
      <c r="AC570" s="5" t="s">
        <v>67</v>
      </c>
      <c r="AD570" s="5" t="s">
        <v>68</v>
      </c>
      <c r="AE570" s="5"/>
      <c r="AF570" s="5" t="s">
        <v>2179</v>
      </c>
      <c r="AG570" s="5" t="s">
        <v>2180</v>
      </c>
      <c r="AH570" s="5" t="s">
        <v>2179</v>
      </c>
      <c r="AI570" s="5" t="s">
        <v>252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8.6199999999999992</v>
      </c>
      <c r="AP570" s="5">
        <v>4.2000000000000003E-2</v>
      </c>
      <c r="AQ570" s="5" t="s">
        <v>713</v>
      </c>
      <c r="AR570" s="5" t="s">
        <v>1104</v>
      </c>
      <c r="AS570" s="5" t="s">
        <v>713</v>
      </c>
      <c r="AT570" s="5"/>
      <c r="AU570" s="5"/>
      <c r="AV570" s="5">
        <v>-1</v>
      </c>
      <c r="AW570" s="5" t="s">
        <v>3848</v>
      </c>
    </row>
    <row r="571" spans="1:49" x14ac:dyDescent="0.55000000000000004">
      <c r="A571" s="5" t="str">
        <f>HYPERLINK("https://www.infodis.net/philips/net/Shipment/Details?InfodisNumber=4048664&amp;DomainCode=DAP", "4048664")</f>
        <v>4048664</v>
      </c>
      <c r="B571" s="5" t="s">
        <v>4180</v>
      </c>
      <c r="C571" s="5" t="s">
        <v>4181</v>
      </c>
      <c r="D571" s="5" t="s">
        <v>2427</v>
      </c>
      <c r="E571" s="5" t="s">
        <v>458</v>
      </c>
      <c r="F571" s="5" t="s">
        <v>4182</v>
      </c>
      <c r="G571" s="5" t="s">
        <v>610</v>
      </c>
      <c r="H571" s="5" t="s">
        <v>180</v>
      </c>
      <c r="I571" s="5" t="s">
        <v>652</v>
      </c>
      <c r="J571" s="5" t="s">
        <v>4183</v>
      </c>
      <c r="K571" s="5" t="s">
        <v>4184</v>
      </c>
      <c r="L571" s="5" t="s">
        <v>79</v>
      </c>
      <c r="M571" s="5" t="s">
        <v>60</v>
      </c>
      <c r="N571" s="5"/>
      <c r="O571" s="5"/>
      <c r="P571" s="5" t="s">
        <v>613</v>
      </c>
      <c r="Q571" s="5"/>
      <c r="R571" s="5" t="s">
        <v>4185</v>
      </c>
      <c r="S571" s="6">
        <v>43522</v>
      </c>
      <c r="T571" s="6">
        <v>43522</v>
      </c>
      <c r="U571" s="6">
        <v>43522</v>
      </c>
      <c r="V571" s="6">
        <v>43537</v>
      </c>
      <c r="W571" s="6">
        <v>43537</v>
      </c>
      <c r="X571" s="6">
        <v>43538</v>
      </c>
      <c r="Y571" s="5" t="s">
        <v>2371</v>
      </c>
      <c r="Z571" s="5" t="s">
        <v>2371</v>
      </c>
      <c r="AA571" s="5" t="s">
        <v>2371</v>
      </c>
      <c r="AB571" s="5" t="s">
        <v>67</v>
      </c>
      <c r="AC571" s="5" t="s">
        <v>67</v>
      </c>
      <c r="AD571" s="5" t="s">
        <v>67</v>
      </c>
      <c r="AE571" s="5"/>
      <c r="AF571" s="5" t="s">
        <v>2179</v>
      </c>
      <c r="AG571" s="5" t="s">
        <v>2180</v>
      </c>
      <c r="AH571" s="5" t="s">
        <v>2179</v>
      </c>
      <c r="AI571" s="5" t="s">
        <v>73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3.63</v>
      </c>
      <c r="AP571" s="5">
        <v>8.900000000000001E-2</v>
      </c>
      <c r="AQ571" s="5" t="s">
        <v>713</v>
      </c>
      <c r="AR571" s="5" t="s">
        <v>1104</v>
      </c>
      <c r="AS571" s="5" t="s">
        <v>713</v>
      </c>
      <c r="AT571" s="6">
        <v>43532</v>
      </c>
      <c r="AU571" s="5" t="s">
        <v>4186</v>
      </c>
      <c r="AV571" s="5">
        <v>630</v>
      </c>
      <c r="AW571" s="5" t="s">
        <v>4187</v>
      </c>
    </row>
    <row r="572" spans="1:49" x14ac:dyDescent="0.55000000000000004">
      <c r="A572" s="5" t="str">
        <f>HYPERLINK("https://www.infodis.net/philips/net/Shipment/Details?InfodisNumber=4060877&amp;DomainCode=DAP", "4060877")</f>
        <v>4060877</v>
      </c>
      <c r="B572" s="5" t="s">
        <v>4188</v>
      </c>
      <c r="C572" s="5" t="s">
        <v>2339</v>
      </c>
      <c r="D572" s="5" t="s">
        <v>2340</v>
      </c>
      <c r="E572" s="5" t="s">
        <v>4189</v>
      </c>
      <c r="F572" s="5" t="s">
        <v>256</v>
      </c>
      <c r="G572" s="5" t="s">
        <v>548</v>
      </c>
      <c r="H572" s="5" t="s">
        <v>180</v>
      </c>
      <c r="I572" s="5" t="s">
        <v>2341</v>
      </c>
      <c r="J572" s="5" t="s">
        <v>2626</v>
      </c>
      <c r="K572" s="5" t="s">
        <v>259</v>
      </c>
      <c r="L572" s="5" t="s">
        <v>260</v>
      </c>
      <c r="M572" s="5" t="s">
        <v>60</v>
      </c>
      <c r="N572" s="5"/>
      <c r="O572" s="5"/>
      <c r="P572" s="5" t="s">
        <v>552</v>
      </c>
      <c r="Q572" s="5" t="s">
        <v>4190</v>
      </c>
      <c r="R572" s="5" t="s">
        <v>262</v>
      </c>
      <c r="S572" s="6">
        <v>43529</v>
      </c>
      <c r="T572" s="6">
        <v>43530</v>
      </c>
      <c r="U572" s="6">
        <v>43529</v>
      </c>
      <c r="V572" s="6">
        <v>43533</v>
      </c>
      <c r="W572" s="6">
        <v>43534</v>
      </c>
      <c r="X572" s="6">
        <v>43538</v>
      </c>
      <c r="Y572" s="5" t="s">
        <v>2398</v>
      </c>
      <c r="Z572" s="5" t="s">
        <v>2398</v>
      </c>
      <c r="AA572" s="5" t="s">
        <v>2398</v>
      </c>
      <c r="AB572" s="5" t="s">
        <v>67</v>
      </c>
      <c r="AC572" s="5" t="s">
        <v>67</v>
      </c>
      <c r="AD572" s="5" t="s">
        <v>67</v>
      </c>
      <c r="AE572" s="5"/>
      <c r="AF572" s="5" t="s">
        <v>2179</v>
      </c>
      <c r="AG572" s="5" t="s">
        <v>2180</v>
      </c>
      <c r="AH572" s="5" t="s">
        <v>2179</v>
      </c>
      <c r="AI572" s="5" t="s">
        <v>73</v>
      </c>
      <c r="AJ572" s="5">
        <v>0</v>
      </c>
      <c r="AK572" s="5">
        <v>0</v>
      </c>
      <c r="AL572" s="5">
        <v>0</v>
      </c>
      <c r="AM572" s="5">
        <v>0</v>
      </c>
      <c r="AN572" s="5">
        <v>1</v>
      </c>
      <c r="AO572" s="5">
        <v>287.5</v>
      </c>
      <c r="AP572" s="5">
        <v>1.054</v>
      </c>
      <c r="AQ572" s="5" t="s">
        <v>713</v>
      </c>
      <c r="AR572" s="5" t="s">
        <v>1104</v>
      </c>
      <c r="AS572" s="5" t="s">
        <v>713</v>
      </c>
      <c r="AT572" s="5"/>
      <c r="AU572" s="5"/>
      <c r="AV572" s="5">
        <v>-1</v>
      </c>
      <c r="AW572" s="5"/>
    </row>
    <row r="573" spans="1:49" x14ac:dyDescent="0.55000000000000004">
      <c r="A573" s="5" t="str">
        <f>HYPERLINK("https://www.infodis.net/philips/net/Shipment/Details?InfodisNumber=4470848&amp;DomainCode=DAP", "4470848")</f>
        <v>4470848</v>
      </c>
      <c r="B573" s="5" t="s">
        <v>4191</v>
      </c>
      <c r="C573" s="5" t="s">
        <v>4192</v>
      </c>
      <c r="D573" s="5" t="s">
        <v>4193</v>
      </c>
      <c r="E573" s="5" t="s">
        <v>4192</v>
      </c>
      <c r="F573" s="5" t="s">
        <v>256</v>
      </c>
      <c r="G573" s="5" t="s">
        <v>4194</v>
      </c>
      <c r="H573" s="5" t="s">
        <v>180</v>
      </c>
      <c r="I573" s="5" t="s">
        <v>1333</v>
      </c>
      <c r="J573" s="5" t="s">
        <v>2626</v>
      </c>
      <c r="K573" s="5" t="s">
        <v>259</v>
      </c>
      <c r="L573" s="5" t="s">
        <v>260</v>
      </c>
      <c r="M573" s="5" t="s">
        <v>84</v>
      </c>
      <c r="N573" s="5"/>
      <c r="O573" s="5"/>
      <c r="P573" s="5" t="s">
        <v>4195</v>
      </c>
      <c r="Q573" s="5"/>
      <c r="R573" s="5" t="s">
        <v>262</v>
      </c>
      <c r="S573" s="6">
        <v>44021</v>
      </c>
      <c r="T573" s="6">
        <v>44021</v>
      </c>
      <c r="U573" s="5"/>
      <c r="V573" s="6">
        <v>44024</v>
      </c>
      <c r="W573" s="5"/>
      <c r="X573" s="5"/>
      <c r="Y573" s="5" t="s">
        <v>2411</v>
      </c>
      <c r="Z573" s="5" t="s">
        <v>2411</v>
      </c>
      <c r="AA573" s="5" t="s">
        <v>2411</v>
      </c>
      <c r="AB573" s="5" t="s">
        <v>67</v>
      </c>
      <c r="AC573" s="5" t="s">
        <v>67</v>
      </c>
      <c r="AD573" s="5" t="s">
        <v>67</v>
      </c>
      <c r="AE573" s="5"/>
      <c r="AF573" s="5" t="s">
        <v>2179</v>
      </c>
      <c r="AG573" s="5" t="s">
        <v>2180</v>
      </c>
      <c r="AH573" s="5" t="s">
        <v>2179</v>
      </c>
      <c r="AI573" s="5" t="s">
        <v>73</v>
      </c>
      <c r="AJ573" s="5">
        <v>0</v>
      </c>
      <c r="AK573" s="5">
        <v>0</v>
      </c>
      <c r="AL573" s="5">
        <v>0</v>
      </c>
      <c r="AM573" s="5">
        <v>0</v>
      </c>
      <c r="AN573" s="5">
        <v>1</v>
      </c>
      <c r="AO573" s="5">
        <v>220.9</v>
      </c>
      <c r="AP573" s="5">
        <v>0.46899999999999997</v>
      </c>
      <c r="AQ573" s="5" t="s">
        <v>713</v>
      </c>
      <c r="AR573" s="5" t="s">
        <v>1104</v>
      </c>
      <c r="AS573" s="5"/>
      <c r="AT573" s="5"/>
      <c r="AU573" s="5"/>
      <c r="AV573" s="5">
        <v>-1</v>
      </c>
      <c r="AW573" s="5" t="s">
        <v>1110</v>
      </c>
    </row>
    <row r="574" spans="1:49" x14ac:dyDescent="0.55000000000000004">
      <c r="A574" s="5" t="str">
        <f>HYPERLINK("https://www.infodis.net/philips/net/Shipment/Details?InfodisNumber=1450164&amp;DomainCode=PHILIPSM1", "1450164")</f>
        <v>1450164</v>
      </c>
      <c r="B574" s="5" t="s">
        <v>4196</v>
      </c>
      <c r="C574" s="5" t="s">
        <v>2353</v>
      </c>
      <c r="D574" s="5" t="s">
        <v>2354</v>
      </c>
      <c r="E574" s="5" t="s">
        <v>2355</v>
      </c>
      <c r="F574" s="5" t="s">
        <v>3953</v>
      </c>
      <c r="G574" s="5" t="s">
        <v>667</v>
      </c>
      <c r="H574" s="5" t="s">
        <v>79</v>
      </c>
      <c r="I574" s="5" t="s">
        <v>1813</v>
      </c>
      <c r="J574" s="5" t="s">
        <v>4197</v>
      </c>
      <c r="K574" s="5" t="s">
        <v>3954</v>
      </c>
      <c r="L574" s="5" t="s">
        <v>132</v>
      </c>
      <c r="M574" s="5" t="s">
        <v>60</v>
      </c>
      <c r="N574" s="5"/>
      <c r="O574" s="5"/>
      <c r="P574" s="5" t="s">
        <v>1853</v>
      </c>
      <c r="Q574" s="5" t="s">
        <v>4198</v>
      </c>
      <c r="R574" s="5" t="s">
        <v>3956</v>
      </c>
      <c r="S574" s="6">
        <v>44034</v>
      </c>
      <c r="T574" s="6">
        <v>44034</v>
      </c>
      <c r="U574" s="6">
        <v>44035</v>
      </c>
      <c r="V574" s="6">
        <v>44039</v>
      </c>
      <c r="W574" s="6">
        <v>44041</v>
      </c>
      <c r="X574" s="5"/>
      <c r="Y574" s="5" t="s">
        <v>2387</v>
      </c>
      <c r="Z574" s="5" t="s">
        <v>2387</v>
      </c>
      <c r="AA574" s="5" t="s">
        <v>603</v>
      </c>
      <c r="AB574" s="5" t="s">
        <v>67</v>
      </c>
      <c r="AC574" s="5" t="s">
        <v>67</v>
      </c>
      <c r="AD574" s="5" t="s">
        <v>68</v>
      </c>
      <c r="AE574" s="5"/>
      <c r="AF574" s="5" t="s">
        <v>2179</v>
      </c>
      <c r="AG574" s="5" t="s">
        <v>2180</v>
      </c>
      <c r="AH574" s="5" t="s">
        <v>2179</v>
      </c>
      <c r="AI574" s="5" t="s">
        <v>605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29</v>
      </c>
      <c r="AP574" s="5">
        <v>0.253</v>
      </c>
      <c r="AQ574" s="5" t="s">
        <v>713</v>
      </c>
      <c r="AR574" s="5" t="s">
        <v>1104</v>
      </c>
      <c r="AS574" s="5"/>
      <c r="AT574" s="5"/>
      <c r="AU574" s="5"/>
      <c r="AV574" s="5">
        <v>-1</v>
      </c>
      <c r="AW574" s="5" t="s">
        <v>3715</v>
      </c>
    </row>
    <row r="575" spans="1:49" x14ac:dyDescent="0.55000000000000004">
      <c r="A575" s="5" t="str">
        <f>HYPERLINK("https://www.infodis.net/philips/net/Shipment/Details?InfodisNumber=1401842&amp;DomainCode=PHILIPSM1", "1401842")</f>
        <v>1401842</v>
      </c>
      <c r="B575" s="5" t="s">
        <v>4199</v>
      </c>
      <c r="C575" s="5" t="s">
        <v>2353</v>
      </c>
      <c r="D575" s="5" t="s">
        <v>2354</v>
      </c>
      <c r="E575" s="5" t="s">
        <v>2353</v>
      </c>
      <c r="F575" s="5" t="s">
        <v>3780</v>
      </c>
      <c r="G575" s="5" t="s">
        <v>667</v>
      </c>
      <c r="H575" s="5" t="s">
        <v>79</v>
      </c>
      <c r="I575" s="5" t="s">
        <v>1813</v>
      </c>
      <c r="J575" s="5" t="s">
        <v>2607</v>
      </c>
      <c r="K575" s="5" t="s">
        <v>1037</v>
      </c>
      <c r="L575" s="5" t="s">
        <v>132</v>
      </c>
      <c r="M575" s="5" t="s">
        <v>60</v>
      </c>
      <c r="N575" s="5"/>
      <c r="O575" s="5"/>
      <c r="P575" s="5" t="s">
        <v>1853</v>
      </c>
      <c r="Q575" s="5" t="s">
        <v>4200</v>
      </c>
      <c r="R575" s="5" t="s">
        <v>1040</v>
      </c>
      <c r="S575" s="6">
        <v>43994</v>
      </c>
      <c r="T575" s="6">
        <v>43994</v>
      </c>
      <c r="U575" s="6">
        <v>43995</v>
      </c>
      <c r="V575" s="6">
        <v>43999</v>
      </c>
      <c r="W575" s="6">
        <v>43997</v>
      </c>
      <c r="X575" s="5"/>
      <c r="Y575" s="5" t="s">
        <v>2387</v>
      </c>
      <c r="Z575" s="5" t="s">
        <v>2387</v>
      </c>
      <c r="AA575" s="5" t="s">
        <v>603</v>
      </c>
      <c r="AB575" s="5" t="s">
        <v>67</v>
      </c>
      <c r="AC575" s="5" t="s">
        <v>67</v>
      </c>
      <c r="AD575" s="5" t="s">
        <v>68</v>
      </c>
      <c r="AE575" s="5"/>
      <c r="AF575" s="5" t="s">
        <v>2399</v>
      </c>
      <c r="AG575" s="5" t="s">
        <v>2400</v>
      </c>
      <c r="AH575" s="5" t="s">
        <v>2399</v>
      </c>
      <c r="AI575" s="5" t="s">
        <v>605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39</v>
      </c>
      <c r="AP575" s="5">
        <v>0.28299999999999997</v>
      </c>
      <c r="AQ575" s="5" t="s">
        <v>713</v>
      </c>
      <c r="AR575" s="5" t="s">
        <v>1104</v>
      </c>
      <c r="AS575" s="5"/>
      <c r="AT575" s="5"/>
      <c r="AU575" s="5"/>
      <c r="AV575" s="5">
        <v>-1</v>
      </c>
      <c r="AW575" s="5" t="s">
        <v>3715</v>
      </c>
    </row>
    <row r="576" spans="1:49" x14ac:dyDescent="0.55000000000000004">
      <c r="A576" s="5" t="str">
        <f>HYPERLINK("https://www.infodis.net/philips/net/Shipment/Details?InfodisNumber=4454123&amp;DomainCode=DAP", "4454123")</f>
        <v>4454123</v>
      </c>
      <c r="B576" s="5" t="s">
        <v>4201</v>
      </c>
      <c r="C576" s="5" t="s">
        <v>4202</v>
      </c>
      <c r="D576" s="5" t="s">
        <v>4203</v>
      </c>
      <c r="E576" s="5" t="s">
        <v>4202</v>
      </c>
      <c r="F576" s="5" t="s">
        <v>291</v>
      </c>
      <c r="G576" s="5" t="s">
        <v>4204</v>
      </c>
      <c r="H576" s="5" t="s">
        <v>79</v>
      </c>
      <c r="I576" s="5" t="s">
        <v>268</v>
      </c>
      <c r="J576" s="5" t="s">
        <v>2739</v>
      </c>
      <c r="K576" s="5" t="s">
        <v>295</v>
      </c>
      <c r="L576" s="5" t="s">
        <v>296</v>
      </c>
      <c r="M576" s="5" t="s">
        <v>1489</v>
      </c>
      <c r="N576" s="5"/>
      <c r="O576" s="5"/>
      <c r="P576" s="5"/>
      <c r="Q576" s="5"/>
      <c r="R576" s="5" t="s">
        <v>300</v>
      </c>
      <c r="S576" s="6">
        <v>43993</v>
      </c>
      <c r="T576" s="6">
        <v>43985</v>
      </c>
      <c r="U576" s="5"/>
      <c r="V576" s="6">
        <v>43988</v>
      </c>
      <c r="W576" s="5"/>
      <c r="X576" s="5"/>
      <c r="Y576" s="5" t="s">
        <v>66</v>
      </c>
      <c r="Z576" s="5" t="s">
        <v>940</v>
      </c>
      <c r="AA576" s="5" t="s">
        <v>66</v>
      </c>
      <c r="AB576" s="5" t="s">
        <v>68</v>
      </c>
      <c r="AC576" s="5" t="s">
        <v>67</v>
      </c>
      <c r="AD576" s="5" t="s">
        <v>68</v>
      </c>
      <c r="AE576" s="5"/>
      <c r="AF576" s="5" t="s">
        <v>2179</v>
      </c>
      <c r="AG576" s="5" t="s">
        <v>2180</v>
      </c>
      <c r="AH576" s="5" t="s">
        <v>2179</v>
      </c>
      <c r="AI576" s="5" t="s">
        <v>73</v>
      </c>
      <c r="AJ576" s="5">
        <v>0</v>
      </c>
      <c r="AK576" s="5">
        <v>0</v>
      </c>
      <c r="AL576" s="5">
        <v>0</v>
      </c>
      <c r="AM576" s="5">
        <v>0</v>
      </c>
      <c r="AN576" s="5">
        <v>10</v>
      </c>
      <c r="AO576" s="5">
        <v>1740</v>
      </c>
      <c r="AP576" s="5">
        <v>17.7</v>
      </c>
      <c r="AQ576" s="5" t="s">
        <v>713</v>
      </c>
      <c r="AR576" s="5" t="s">
        <v>1104</v>
      </c>
      <c r="AS576" s="5"/>
      <c r="AT576" s="5"/>
      <c r="AU576" s="5"/>
      <c r="AV576" s="5">
        <v>-1</v>
      </c>
      <c r="AW576" s="5" t="s">
        <v>4205</v>
      </c>
    </row>
    <row r="577" spans="1:49" x14ac:dyDescent="0.55000000000000004">
      <c r="A577" s="5" t="str">
        <f>HYPERLINK("https://www.infodis.net/philips/net/Shipment/Details?InfodisNumber=4232525&amp;DomainCode=DAP", "4232525")</f>
        <v>4232525</v>
      </c>
      <c r="B577" s="5" t="s">
        <v>4206</v>
      </c>
      <c r="C577" s="5" t="s">
        <v>2067</v>
      </c>
      <c r="D577" s="5" t="s">
        <v>2068</v>
      </c>
      <c r="E577" s="5" t="s">
        <v>4207</v>
      </c>
      <c r="F577" s="5" t="s">
        <v>4208</v>
      </c>
      <c r="G577" s="5" t="s">
        <v>82</v>
      </c>
      <c r="H577" s="5" t="s">
        <v>83</v>
      </c>
      <c r="I577" s="5" t="s">
        <v>2141</v>
      </c>
      <c r="J577" s="5" t="s">
        <v>2396</v>
      </c>
      <c r="K577" s="5" t="s">
        <v>3692</v>
      </c>
      <c r="L577" s="5" t="s">
        <v>79</v>
      </c>
      <c r="M577" s="5" t="s">
        <v>84</v>
      </c>
      <c r="N577" s="5"/>
      <c r="O577" s="5"/>
      <c r="P577" s="5" t="s">
        <v>87</v>
      </c>
      <c r="Q577" s="5" t="s">
        <v>4209</v>
      </c>
      <c r="R577" s="5" t="s">
        <v>4210</v>
      </c>
      <c r="S577" s="6">
        <v>43651</v>
      </c>
      <c r="T577" s="6">
        <v>43651</v>
      </c>
      <c r="U577" s="6">
        <v>43655</v>
      </c>
      <c r="V577" s="6">
        <v>43655</v>
      </c>
      <c r="W577" s="6">
        <v>43658</v>
      </c>
      <c r="X577" s="6">
        <v>43679</v>
      </c>
      <c r="Y577" s="5" t="s">
        <v>2051</v>
      </c>
      <c r="Z577" s="5" t="s">
        <v>2051</v>
      </c>
      <c r="AA577" s="5" t="s">
        <v>2051</v>
      </c>
      <c r="AB577" s="5" t="s">
        <v>67</v>
      </c>
      <c r="AC577" s="5" t="s">
        <v>67</v>
      </c>
      <c r="AD577" s="5" t="s">
        <v>67</v>
      </c>
      <c r="AE577" s="5"/>
      <c r="AF577" s="5" t="s">
        <v>2179</v>
      </c>
      <c r="AG577" s="5" t="s">
        <v>2180</v>
      </c>
      <c r="AH577" s="5" t="s">
        <v>2179</v>
      </c>
      <c r="AI577" s="5" t="s">
        <v>73</v>
      </c>
      <c r="AJ577" s="5">
        <v>0</v>
      </c>
      <c r="AK577" s="5">
        <v>0</v>
      </c>
      <c r="AL577" s="5">
        <v>0</v>
      </c>
      <c r="AM577" s="5">
        <v>0</v>
      </c>
      <c r="AN577" s="5">
        <v>2</v>
      </c>
      <c r="AO577" s="5">
        <v>196</v>
      </c>
      <c r="AP577" s="5">
        <v>2.2320000000000002</v>
      </c>
      <c r="AQ577" s="5" t="s">
        <v>713</v>
      </c>
      <c r="AR577" s="5" t="s">
        <v>1104</v>
      </c>
      <c r="AS577" s="5" t="s">
        <v>713</v>
      </c>
      <c r="AT577" s="6">
        <v>43679</v>
      </c>
      <c r="AU577" s="5" t="s">
        <v>4211</v>
      </c>
      <c r="AV577" s="5">
        <v>483</v>
      </c>
      <c r="AW577" s="5" t="s">
        <v>4212</v>
      </c>
    </row>
    <row r="578" spans="1:49" x14ac:dyDescent="0.55000000000000004">
      <c r="A578" s="5" t="str">
        <f>HYPERLINK("https://www.infodis.net/philips/net/Shipment/Details?InfodisNumber=4230056&amp;DomainCode=DAP", "4230056")</f>
        <v>4230056</v>
      </c>
      <c r="B578" s="5" t="s">
        <v>4213</v>
      </c>
      <c r="C578" s="5" t="s">
        <v>3057</v>
      </c>
      <c r="D578" s="5" t="s">
        <v>3058</v>
      </c>
      <c r="E578" s="5" t="s">
        <v>4214</v>
      </c>
      <c r="F578" s="5" t="s">
        <v>4215</v>
      </c>
      <c r="G578" s="5" t="s">
        <v>4216</v>
      </c>
      <c r="H578" s="5" t="s">
        <v>244</v>
      </c>
      <c r="I578" s="5" t="s">
        <v>2084</v>
      </c>
      <c r="J578" s="5" t="s">
        <v>4217</v>
      </c>
      <c r="K578" s="5" t="s">
        <v>4218</v>
      </c>
      <c r="L578" s="5" t="s">
        <v>4219</v>
      </c>
      <c r="M578" s="5" t="s">
        <v>60</v>
      </c>
      <c r="N578" s="5"/>
      <c r="O578" s="5"/>
      <c r="P578" s="5" t="s">
        <v>4220</v>
      </c>
      <c r="Q578" s="5" t="s">
        <v>4221</v>
      </c>
      <c r="R578" s="5" t="s">
        <v>4215</v>
      </c>
      <c r="S578" s="6">
        <v>43649</v>
      </c>
      <c r="T578" s="6">
        <v>43650</v>
      </c>
      <c r="U578" s="6">
        <v>43663</v>
      </c>
      <c r="V578" s="6">
        <v>43669</v>
      </c>
      <c r="W578" s="6">
        <v>43669</v>
      </c>
      <c r="X578" s="5"/>
      <c r="Y578" s="5" t="s">
        <v>2051</v>
      </c>
      <c r="Z578" s="5" t="s">
        <v>2051</v>
      </c>
      <c r="AA578" s="5" t="s">
        <v>2051</v>
      </c>
      <c r="AB578" s="5" t="s">
        <v>67</v>
      </c>
      <c r="AC578" s="5" t="s">
        <v>67</v>
      </c>
      <c r="AD578" s="5" t="s">
        <v>67</v>
      </c>
      <c r="AE578" s="5"/>
      <c r="AF578" s="5" t="s">
        <v>2399</v>
      </c>
      <c r="AG578" s="5" t="s">
        <v>2400</v>
      </c>
      <c r="AH578" s="5" t="s">
        <v>2399</v>
      </c>
      <c r="AI578" s="5" t="s">
        <v>73</v>
      </c>
      <c r="AJ578" s="5">
        <v>0</v>
      </c>
      <c r="AK578" s="5">
        <v>0</v>
      </c>
      <c r="AL578" s="5">
        <v>0</v>
      </c>
      <c r="AM578" s="5">
        <v>0</v>
      </c>
      <c r="AN578" s="5">
        <v>2</v>
      </c>
      <c r="AO578" s="5">
        <v>0.1</v>
      </c>
      <c r="AP578" s="5">
        <v>0.1</v>
      </c>
      <c r="AQ578" s="5" t="s">
        <v>713</v>
      </c>
      <c r="AR578" s="5" t="s">
        <v>1104</v>
      </c>
      <c r="AS578" s="5" t="s">
        <v>713</v>
      </c>
      <c r="AT578" s="6">
        <v>43685</v>
      </c>
      <c r="AU578" s="5" t="s">
        <v>4222</v>
      </c>
      <c r="AV578" s="5">
        <v>477</v>
      </c>
      <c r="AW578" s="5" t="s">
        <v>4223</v>
      </c>
    </row>
    <row r="579" spans="1:49" x14ac:dyDescent="0.55000000000000004">
      <c r="A579" s="5" t="str">
        <f>HYPERLINK("https://www.infodis.net/philips/net/Shipment/Details?InfodisNumber=4191463&amp;DomainCode=DAP", "4191463")</f>
        <v>4191463</v>
      </c>
      <c r="B579" s="5" t="s">
        <v>4224</v>
      </c>
      <c r="C579" s="5" t="s">
        <v>4225</v>
      </c>
      <c r="D579" s="5" t="s">
        <v>4226</v>
      </c>
      <c r="E579" s="5" t="s">
        <v>1187</v>
      </c>
      <c r="F579" s="5" t="s">
        <v>4227</v>
      </c>
      <c r="G579" s="5" t="s">
        <v>880</v>
      </c>
      <c r="H579" s="5" t="s">
        <v>881</v>
      </c>
      <c r="I579" s="5" t="s">
        <v>2583</v>
      </c>
      <c r="J579" s="5" t="s">
        <v>4228</v>
      </c>
      <c r="K579" s="5" t="s">
        <v>4229</v>
      </c>
      <c r="L579" s="5" t="s">
        <v>4230</v>
      </c>
      <c r="M579" s="5" t="s">
        <v>1794</v>
      </c>
      <c r="N579" s="5"/>
      <c r="O579" s="5"/>
      <c r="P579" s="5" t="s">
        <v>888</v>
      </c>
      <c r="Q579" s="5" t="s">
        <v>4231</v>
      </c>
      <c r="R579" s="5" t="s">
        <v>4232</v>
      </c>
      <c r="S579" s="6">
        <v>43619</v>
      </c>
      <c r="T579" s="6">
        <v>43621</v>
      </c>
      <c r="U579" s="6">
        <v>43662</v>
      </c>
      <c r="V579" s="6">
        <v>43666</v>
      </c>
      <c r="W579" s="6">
        <v>43669</v>
      </c>
      <c r="X579" s="5"/>
      <c r="Y579" s="5" t="s">
        <v>1735</v>
      </c>
      <c r="Z579" s="5" t="s">
        <v>1735</v>
      </c>
      <c r="AA579" s="5" t="s">
        <v>1735</v>
      </c>
      <c r="AB579" s="5" t="s">
        <v>67</v>
      </c>
      <c r="AC579" s="5" t="s">
        <v>67</v>
      </c>
      <c r="AD579" s="5" t="s">
        <v>67</v>
      </c>
      <c r="AE579" s="5"/>
      <c r="AF579" s="5" t="s">
        <v>2179</v>
      </c>
      <c r="AG579" s="5" t="s">
        <v>2180</v>
      </c>
      <c r="AH579" s="5" t="s">
        <v>2179</v>
      </c>
      <c r="AI579" s="5" t="s">
        <v>73</v>
      </c>
      <c r="AJ579" s="5">
        <v>0</v>
      </c>
      <c r="AK579" s="5">
        <v>0</v>
      </c>
      <c r="AL579" s="5">
        <v>0</v>
      </c>
      <c r="AM579" s="5">
        <v>0</v>
      </c>
      <c r="AN579" s="5">
        <v>1</v>
      </c>
      <c r="AO579" s="5">
        <v>83</v>
      </c>
      <c r="AP579" s="5">
        <v>0.81599999999999995</v>
      </c>
      <c r="AQ579" s="5" t="s">
        <v>713</v>
      </c>
      <c r="AR579" s="5" t="s">
        <v>1104</v>
      </c>
      <c r="AS579" s="5"/>
      <c r="AT579" s="5"/>
      <c r="AU579" s="5"/>
      <c r="AV579" s="5">
        <v>-1</v>
      </c>
      <c r="AW579" s="5" t="s">
        <v>4233</v>
      </c>
    </row>
    <row r="580" spans="1:49" x14ac:dyDescent="0.55000000000000004">
      <c r="A580" s="5" t="str">
        <f>HYPERLINK("https://www.infodis.net/philips/net/Shipment/Details?InfodisNumber=4057395&amp;DomainCode=DAP", "4057395")</f>
        <v>4057395</v>
      </c>
      <c r="B580" s="5" t="s">
        <v>4234</v>
      </c>
      <c r="C580" s="5" t="s">
        <v>4235</v>
      </c>
      <c r="D580" s="5" t="s">
        <v>4236</v>
      </c>
      <c r="E580" s="5" t="s">
        <v>4235</v>
      </c>
      <c r="F580" s="5"/>
      <c r="G580" s="5" t="s">
        <v>4237</v>
      </c>
      <c r="H580" s="5" t="s">
        <v>79</v>
      </c>
      <c r="I580" s="5" t="s">
        <v>2464</v>
      </c>
      <c r="J580" s="5" t="s">
        <v>1704</v>
      </c>
      <c r="K580" s="5" t="s">
        <v>4238</v>
      </c>
      <c r="L580" s="5" t="s">
        <v>132</v>
      </c>
      <c r="M580" s="5" t="s">
        <v>309</v>
      </c>
      <c r="N580" s="5"/>
      <c r="O580" s="5"/>
      <c r="P580" s="5"/>
      <c r="Q580" s="5"/>
      <c r="R580" s="5" t="s">
        <v>4239</v>
      </c>
      <c r="S580" s="6">
        <v>43528</v>
      </c>
      <c r="T580" s="6">
        <v>43529</v>
      </c>
      <c r="U580" s="5"/>
      <c r="V580" s="6">
        <v>43532</v>
      </c>
      <c r="W580" s="5"/>
      <c r="X580" s="5"/>
      <c r="Y580" s="5" t="s">
        <v>66</v>
      </c>
      <c r="Z580" s="5" t="s">
        <v>1735</v>
      </c>
      <c r="AA580" s="5" t="s">
        <v>1735</v>
      </c>
      <c r="AB580" s="5" t="s">
        <v>68</v>
      </c>
      <c r="AC580" s="5" t="s">
        <v>67</v>
      </c>
      <c r="AD580" s="5" t="s">
        <v>67</v>
      </c>
      <c r="AE580" s="5"/>
      <c r="AF580" s="5" t="s">
        <v>2179</v>
      </c>
      <c r="AG580" s="5" t="s">
        <v>2180</v>
      </c>
      <c r="AH580" s="5" t="s">
        <v>2179</v>
      </c>
      <c r="AI580" s="5" t="s">
        <v>73</v>
      </c>
      <c r="AJ580" s="5">
        <v>0</v>
      </c>
      <c r="AK580" s="5">
        <v>0</v>
      </c>
      <c r="AL580" s="5">
        <v>0</v>
      </c>
      <c r="AM580" s="5">
        <v>0</v>
      </c>
      <c r="AN580" s="5">
        <v>1</v>
      </c>
      <c r="AO580" s="5">
        <v>284</v>
      </c>
      <c r="AP580" s="5">
        <v>0.36199999999999999</v>
      </c>
      <c r="AQ580" s="5" t="s">
        <v>713</v>
      </c>
      <c r="AR580" s="5" t="s">
        <v>1104</v>
      </c>
      <c r="AS580" s="5" t="s">
        <v>713</v>
      </c>
      <c r="AT580" s="5"/>
      <c r="AU580" s="5"/>
      <c r="AV580" s="5">
        <v>-1</v>
      </c>
      <c r="AW580" s="5" t="s">
        <v>2265</v>
      </c>
    </row>
    <row r="581" spans="1:49" x14ac:dyDescent="0.55000000000000004">
      <c r="A581" s="5" t="str">
        <f>HYPERLINK("https://www.infodis.net/philips/net/Shipment/Details?InfodisNumber=4159480&amp;DomainCode=DAP", "4159480")</f>
        <v>4159480</v>
      </c>
      <c r="B581" s="5" t="s">
        <v>4240</v>
      </c>
      <c r="C581" s="5" t="s">
        <v>4241</v>
      </c>
      <c r="D581" s="5" t="s">
        <v>2427</v>
      </c>
      <c r="E581" s="5" t="s">
        <v>458</v>
      </c>
      <c r="F581" s="5" t="s">
        <v>4242</v>
      </c>
      <c r="G581" s="5" t="s">
        <v>610</v>
      </c>
      <c r="H581" s="5" t="s">
        <v>180</v>
      </c>
      <c r="I581" s="5" t="s">
        <v>652</v>
      </c>
      <c r="J581" s="5" t="s">
        <v>4243</v>
      </c>
      <c r="K581" s="5" t="s">
        <v>4244</v>
      </c>
      <c r="L581" s="5" t="s">
        <v>4245</v>
      </c>
      <c r="M581" s="5" t="s">
        <v>60</v>
      </c>
      <c r="N581" s="5"/>
      <c r="O581" s="5"/>
      <c r="P581" s="5" t="s">
        <v>613</v>
      </c>
      <c r="Q581" s="5" t="s">
        <v>4246</v>
      </c>
      <c r="R581" s="5" t="s">
        <v>4247</v>
      </c>
      <c r="S581" s="6">
        <v>43595</v>
      </c>
      <c r="T581" s="6">
        <v>43595</v>
      </c>
      <c r="U581" s="6">
        <v>43595</v>
      </c>
      <c r="V581" s="6">
        <v>43600</v>
      </c>
      <c r="W581" s="6">
        <v>43600</v>
      </c>
      <c r="X581" s="6">
        <v>43608</v>
      </c>
      <c r="Y581" s="5" t="s">
        <v>1735</v>
      </c>
      <c r="Z581" s="5" t="s">
        <v>1735</v>
      </c>
      <c r="AA581" s="5" t="s">
        <v>1735</v>
      </c>
      <c r="AB581" s="5" t="s">
        <v>67</v>
      </c>
      <c r="AC581" s="5" t="s">
        <v>67</v>
      </c>
      <c r="AD581" s="5" t="s">
        <v>67</v>
      </c>
      <c r="AE581" s="5"/>
      <c r="AF581" s="5" t="s">
        <v>2399</v>
      </c>
      <c r="AG581" s="5" t="s">
        <v>2400</v>
      </c>
      <c r="AH581" s="5" t="s">
        <v>2399</v>
      </c>
      <c r="AI581" s="5" t="s">
        <v>73</v>
      </c>
      <c r="AJ581" s="5">
        <v>0</v>
      </c>
      <c r="AK581" s="5">
        <v>0</v>
      </c>
      <c r="AL581" s="5">
        <v>0</v>
      </c>
      <c r="AM581" s="5">
        <v>0</v>
      </c>
      <c r="AN581" s="5">
        <v>1</v>
      </c>
      <c r="AO581" s="5">
        <v>97</v>
      </c>
      <c r="AP581" s="5">
        <v>0.81900000000000006</v>
      </c>
      <c r="AQ581" s="5" t="s">
        <v>713</v>
      </c>
      <c r="AR581" s="5" t="s">
        <v>1104</v>
      </c>
      <c r="AS581" s="5" t="s">
        <v>713</v>
      </c>
      <c r="AT581" s="5"/>
      <c r="AU581" s="5"/>
      <c r="AV581" s="5">
        <v>-1</v>
      </c>
      <c r="AW581" s="5" t="s">
        <v>4248</v>
      </c>
    </row>
    <row r="582" spans="1:49" x14ac:dyDescent="0.55000000000000004">
      <c r="A582" s="5" t="str">
        <f>HYPERLINK("https://www.infodis.net/philips/net/Shipment/Details?InfodisNumber=4143600&amp;DomainCode=DAP", "4143600")</f>
        <v>4143600</v>
      </c>
      <c r="B582" s="5" t="s">
        <v>4249</v>
      </c>
      <c r="C582" s="5" t="s">
        <v>4128</v>
      </c>
      <c r="D582" s="5" t="s">
        <v>4129</v>
      </c>
      <c r="E582" s="5" t="s">
        <v>3641</v>
      </c>
      <c r="F582" s="5" t="s">
        <v>242</v>
      </c>
      <c r="G582" s="5" t="s">
        <v>1488</v>
      </c>
      <c r="H582" s="5" t="s">
        <v>79</v>
      </c>
      <c r="I582" s="5" t="s">
        <v>282</v>
      </c>
      <c r="J582" s="5" t="s">
        <v>2057</v>
      </c>
      <c r="K582" s="5" t="s">
        <v>4250</v>
      </c>
      <c r="L582" s="5" t="s">
        <v>180</v>
      </c>
      <c r="M582" s="5" t="s">
        <v>1489</v>
      </c>
      <c r="N582" s="5"/>
      <c r="O582" s="5"/>
      <c r="P582" s="5" t="s">
        <v>1492</v>
      </c>
      <c r="Q582" s="5" t="s">
        <v>4251</v>
      </c>
      <c r="R582" s="5" t="s">
        <v>4252</v>
      </c>
      <c r="S582" s="6">
        <v>43585</v>
      </c>
      <c r="T582" s="6">
        <v>43586</v>
      </c>
      <c r="U582" s="6">
        <v>43585</v>
      </c>
      <c r="V582" s="6">
        <v>43595</v>
      </c>
      <c r="W582" s="6">
        <v>43591</v>
      </c>
      <c r="X582" s="6">
        <v>43605</v>
      </c>
      <c r="Y582" s="5" t="s">
        <v>1735</v>
      </c>
      <c r="Z582" s="5" t="s">
        <v>1735</v>
      </c>
      <c r="AA582" s="5" t="s">
        <v>1735</v>
      </c>
      <c r="AB582" s="5" t="s">
        <v>67</v>
      </c>
      <c r="AC582" s="5" t="s">
        <v>67</v>
      </c>
      <c r="AD582" s="5" t="s">
        <v>67</v>
      </c>
      <c r="AE582" s="5"/>
      <c r="AF582" s="5" t="s">
        <v>2179</v>
      </c>
      <c r="AG582" s="5" t="s">
        <v>2180</v>
      </c>
      <c r="AH582" s="5" t="s">
        <v>2179</v>
      </c>
      <c r="AI582" s="5" t="s">
        <v>73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166</v>
      </c>
      <c r="AP582" s="5">
        <v>0.57499999999999996</v>
      </c>
      <c r="AQ582" s="5" t="s">
        <v>713</v>
      </c>
      <c r="AR582" s="5" t="s">
        <v>1104</v>
      </c>
      <c r="AS582" s="5" t="s">
        <v>713</v>
      </c>
      <c r="AT582" s="5"/>
      <c r="AU582" s="5"/>
      <c r="AV582" s="5">
        <v>-1</v>
      </c>
      <c r="AW582" s="5" t="s">
        <v>4253</v>
      </c>
    </row>
    <row r="583" spans="1:49" x14ac:dyDescent="0.55000000000000004">
      <c r="A583" s="5" t="str">
        <f>HYPERLINK("https://www.infodis.net/philips/net/Shipment/Details?InfodisNumber=4138450&amp;DomainCode=DAP", "4138450")</f>
        <v>4138450</v>
      </c>
      <c r="B583" s="5" t="s">
        <v>4254</v>
      </c>
      <c r="C583" s="5" t="s">
        <v>4128</v>
      </c>
      <c r="D583" s="5" t="s">
        <v>4129</v>
      </c>
      <c r="E583" s="5" t="s">
        <v>242</v>
      </c>
      <c r="F583" s="5" t="s">
        <v>1450</v>
      </c>
      <c r="G583" s="5" t="s">
        <v>1488</v>
      </c>
      <c r="H583" s="5" t="s">
        <v>79</v>
      </c>
      <c r="I583" s="5" t="s">
        <v>282</v>
      </c>
      <c r="J583" s="5" t="s">
        <v>268</v>
      </c>
      <c r="K583" s="5" t="s">
        <v>4255</v>
      </c>
      <c r="L583" s="5" t="s">
        <v>267</v>
      </c>
      <c r="M583" s="5" t="s">
        <v>1489</v>
      </c>
      <c r="N583" s="5"/>
      <c r="O583" s="5"/>
      <c r="P583" s="5"/>
      <c r="Q583" s="5" t="s">
        <v>4256</v>
      </c>
      <c r="R583" s="5" t="s">
        <v>4257</v>
      </c>
      <c r="S583" s="6">
        <v>43580</v>
      </c>
      <c r="T583" s="6">
        <v>43581</v>
      </c>
      <c r="U583" s="6">
        <v>43584</v>
      </c>
      <c r="V583" s="6">
        <v>43583</v>
      </c>
      <c r="W583" s="6">
        <v>43586</v>
      </c>
      <c r="X583" s="6">
        <v>43594</v>
      </c>
      <c r="Y583" s="5" t="s">
        <v>1735</v>
      </c>
      <c r="Z583" s="5" t="s">
        <v>1735</v>
      </c>
      <c r="AA583" s="5" t="s">
        <v>1735</v>
      </c>
      <c r="AB583" s="5" t="s">
        <v>67</v>
      </c>
      <c r="AC583" s="5" t="s">
        <v>67</v>
      </c>
      <c r="AD583" s="5" t="s">
        <v>67</v>
      </c>
      <c r="AE583" s="5"/>
      <c r="AF583" s="5" t="s">
        <v>2179</v>
      </c>
      <c r="AG583" s="5" t="s">
        <v>2180</v>
      </c>
      <c r="AH583" s="5" t="s">
        <v>2179</v>
      </c>
      <c r="AI583" s="5" t="s">
        <v>73</v>
      </c>
      <c r="AJ583" s="5">
        <v>0</v>
      </c>
      <c r="AK583" s="5">
        <v>0</v>
      </c>
      <c r="AL583" s="5">
        <v>0</v>
      </c>
      <c r="AM583" s="5">
        <v>0</v>
      </c>
      <c r="AN583" s="5">
        <v>2</v>
      </c>
      <c r="AO583" s="5">
        <v>303</v>
      </c>
      <c r="AP583" s="5">
        <v>3.7320000000000002</v>
      </c>
      <c r="AQ583" s="5" t="s">
        <v>713</v>
      </c>
      <c r="AR583" s="5" t="s">
        <v>1104</v>
      </c>
      <c r="AS583" s="5" t="s">
        <v>713</v>
      </c>
      <c r="AT583" s="5"/>
      <c r="AU583" s="5"/>
      <c r="AV583" s="5">
        <v>-1</v>
      </c>
      <c r="AW583" s="5" t="s">
        <v>4258</v>
      </c>
    </row>
    <row r="584" spans="1:49" x14ac:dyDescent="0.55000000000000004">
      <c r="A584" s="5" t="str">
        <f>HYPERLINK("https://www.infodis.net/philips/net/Shipment/Details?InfodisNumber=4131371&amp;DomainCode=DAP", "4131371")</f>
        <v>4131371</v>
      </c>
      <c r="B584" s="5" t="s">
        <v>4259</v>
      </c>
      <c r="C584" s="5" t="s">
        <v>2339</v>
      </c>
      <c r="D584" s="5" t="s">
        <v>2340</v>
      </c>
      <c r="E584" s="5" t="s">
        <v>4189</v>
      </c>
      <c r="F584" s="5" t="s">
        <v>256</v>
      </c>
      <c r="G584" s="5" t="s">
        <v>548</v>
      </c>
      <c r="H584" s="5" t="s">
        <v>180</v>
      </c>
      <c r="I584" s="5" t="s">
        <v>2341</v>
      </c>
      <c r="J584" s="5" t="s">
        <v>2626</v>
      </c>
      <c r="K584" s="5" t="s">
        <v>259</v>
      </c>
      <c r="L584" s="5" t="s">
        <v>260</v>
      </c>
      <c r="M584" s="5" t="s">
        <v>60</v>
      </c>
      <c r="N584" s="5"/>
      <c r="O584" s="5"/>
      <c r="P584" s="5" t="s">
        <v>552</v>
      </c>
      <c r="Q584" s="5" t="s">
        <v>4260</v>
      </c>
      <c r="R584" s="5" t="s">
        <v>262</v>
      </c>
      <c r="S584" s="6">
        <v>43574</v>
      </c>
      <c r="T584" s="6">
        <v>43574</v>
      </c>
      <c r="U584" s="6">
        <v>43574</v>
      </c>
      <c r="V584" s="6">
        <v>43577</v>
      </c>
      <c r="W584" s="6">
        <v>43580</v>
      </c>
      <c r="X584" s="6">
        <v>43586</v>
      </c>
      <c r="Y584" s="5" t="s">
        <v>2398</v>
      </c>
      <c r="Z584" s="5" t="s">
        <v>2398</v>
      </c>
      <c r="AA584" s="5" t="s">
        <v>2398</v>
      </c>
      <c r="AB584" s="5" t="s">
        <v>67</v>
      </c>
      <c r="AC584" s="5" t="s">
        <v>67</v>
      </c>
      <c r="AD584" s="5" t="s">
        <v>67</v>
      </c>
      <c r="AE584" s="5"/>
      <c r="AF584" s="5" t="s">
        <v>2179</v>
      </c>
      <c r="AG584" s="5" t="s">
        <v>2180</v>
      </c>
      <c r="AH584" s="5" t="s">
        <v>2179</v>
      </c>
      <c r="AI584" s="5" t="s">
        <v>73</v>
      </c>
      <c r="AJ584" s="5">
        <v>0</v>
      </c>
      <c r="AK584" s="5">
        <v>0</v>
      </c>
      <c r="AL584" s="5">
        <v>0</v>
      </c>
      <c r="AM584" s="5">
        <v>0</v>
      </c>
      <c r="AN584" s="5">
        <v>5</v>
      </c>
      <c r="AO584" s="5">
        <v>962</v>
      </c>
      <c r="AP584" s="5">
        <v>8.7720000000000002</v>
      </c>
      <c r="AQ584" s="5" t="s">
        <v>713</v>
      </c>
      <c r="AR584" s="5" t="s">
        <v>1104</v>
      </c>
      <c r="AS584" s="5" t="s">
        <v>713</v>
      </c>
      <c r="AT584" s="5"/>
      <c r="AU584" s="5"/>
      <c r="AV584" s="5">
        <v>-1</v>
      </c>
      <c r="AW584" s="5"/>
    </row>
    <row r="585" spans="1:49" x14ac:dyDescent="0.55000000000000004">
      <c r="A585" s="5" t="str">
        <f>HYPERLINK("https://www.infodis.net/philips/net/Shipment/Details?InfodisNumber=4105848&amp;DomainCode=DAP", "4105848")</f>
        <v>4105848</v>
      </c>
      <c r="B585" s="5" t="s">
        <v>4261</v>
      </c>
      <c r="C585" s="5" t="s">
        <v>4225</v>
      </c>
      <c r="D585" s="5" t="s">
        <v>4226</v>
      </c>
      <c r="E585" s="5" t="s">
        <v>1187</v>
      </c>
      <c r="F585" s="5" t="s">
        <v>4262</v>
      </c>
      <c r="G585" s="5" t="s">
        <v>880</v>
      </c>
      <c r="H585" s="5" t="s">
        <v>881</v>
      </c>
      <c r="I585" s="5" t="s">
        <v>2583</v>
      </c>
      <c r="J585" s="5" t="s">
        <v>2607</v>
      </c>
      <c r="K585" s="5" t="s">
        <v>4263</v>
      </c>
      <c r="L585" s="5" t="s">
        <v>132</v>
      </c>
      <c r="M585" s="5" t="s">
        <v>1658</v>
      </c>
      <c r="N585" s="5"/>
      <c r="O585" s="5"/>
      <c r="P585" s="5" t="s">
        <v>888</v>
      </c>
      <c r="Q585" s="5" t="s">
        <v>4264</v>
      </c>
      <c r="R585" s="5" t="s">
        <v>4131</v>
      </c>
      <c r="S585" s="6">
        <v>43558</v>
      </c>
      <c r="T585" s="6">
        <v>43559</v>
      </c>
      <c r="U585" s="6">
        <v>43586</v>
      </c>
      <c r="V585" s="6">
        <v>43594</v>
      </c>
      <c r="W585" s="6">
        <v>43594</v>
      </c>
      <c r="X585" s="6">
        <v>43601</v>
      </c>
      <c r="Y585" s="5" t="s">
        <v>1735</v>
      </c>
      <c r="Z585" s="5" t="s">
        <v>1735</v>
      </c>
      <c r="AA585" s="5" t="s">
        <v>1735</v>
      </c>
      <c r="AB585" s="5" t="s">
        <v>67</v>
      </c>
      <c r="AC585" s="5" t="s">
        <v>67</v>
      </c>
      <c r="AD585" s="5" t="s">
        <v>67</v>
      </c>
      <c r="AE585" s="5"/>
      <c r="AF585" s="5" t="s">
        <v>2399</v>
      </c>
      <c r="AG585" s="5" t="s">
        <v>2400</v>
      </c>
      <c r="AH585" s="5" t="s">
        <v>2399</v>
      </c>
      <c r="AI585" s="5" t="s">
        <v>73</v>
      </c>
      <c r="AJ585" s="5">
        <v>0</v>
      </c>
      <c r="AK585" s="5">
        <v>0</v>
      </c>
      <c r="AL585" s="5">
        <v>0</v>
      </c>
      <c r="AM585" s="5">
        <v>0</v>
      </c>
      <c r="AN585" s="5">
        <v>1</v>
      </c>
      <c r="AO585" s="5">
        <v>79</v>
      </c>
      <c r="AP585" s="5">
        <v>0.76800000000000002</v>
      </c>
      <c r="AQ585" s="5" t="s">
        <v>713</v>
      </c>
      <c r="AR585" s="5" t="s">
        <v>1104</v>
      </c>
      <c r="AS585" s="5" t="s">
        <v>713</v>
      </c>
      <c r="AT585" s="5"/>
      <c r="AU585" s="5"/>
      <c r="AV585" s="5">
        <v>-1</v>
      </c>
      <c r="AW585" s="5" t="s">
        <v>4253</v>
      </c>
    </row>
    <row r="586" spans="1:49" x14ac:dyDescent="0.55000000000000004">
      <c r="A586" s="5" t="str">
        <f>HYPERLINK("https://www.infodis.net/philips/net/Shipment/Details?InfodisNumber=4526749&amp;DomainCode=DAP", "4526749")</f>
        <v>4526749</v>
      </c>
      <c r="B586" s="5" t="s">
        <v>4265</v>
      </c>
      <c r="C586" s="5" t="s">
        <v>4033</v>
      </c>
      <c r="D586" s="5" t="s">
        <v>4034</v>
      </c>
      <c r="E586" s="5" t="s">
        <v>4033</v>
      </c>
      <c r="F586" s="5" t="s">
        <v>167</v>
      </c>
      <c r="G586" s="5" t="s">
        <v>2535</v>
      </c>
      <c r="H586" s="5" t="s">
        <v>772</v>
      </c>
      <c r="I586" s="5" t="s">
        <v>194</v>
      </c>
      <c r="J586" s="5" t="s">
        <v>2405</v>
      </c>
      <c r="K586" s="5" t="s">
        <v>1125</v>
      </c>
      <c r="L586" s="5" t="s">
        <v>172</v>
      </c>
      <c r="M586" s="5" t="s">
        <v>60</v>
      </c>
      <c r="N586" s="5"/>
      <c r="O586" s="5"/>
      <c r="P586" s="5" t="s">
        <v>4035</v>
      </c>
      <c r="Q586" s="5" t="s">
        <v>4266</v>
      </c>
      <c r="R586" s="5" t="s">
        <v>1128</v>
      </c>
      <c r="S586" s="6">
        <v>44105</v>
      </c>
      <c r="T586" s="6">
        <v>44105</v>
      </c>
      <c r="U586" s="6">
        <v>44105</v>
      </c>
      <c r="V586" s="6">
        <v>44108</v>
      </c>
      <c r="W586" s="6">
        <v>44108</v>
      </c>
      <c r="X586" s="6">
        <v>44118</v>
      </c>
      <c r="Y586" s="5" t="s">
        <v>2411</v>
      </c>
      <c r="Z586" s="5" t="s">
        <v>2411</v>
      </c>
      <c r="AA586" s="5" t="s">
        <v>2411</v>
      </c>
      <c r="AB586" s="5" t="s">
        <v>67</v>
      </c>
      <c r="AC586" s="5" t="s">
        <v>67</v>
      </c>
      <c r="AD586" s="5" t="s">
        <v>67</v>
      </c>
      <c r="AE586" s="5"/>
      <c r="AF586" s="5" t="s">
        <v>2179</v>
      </c>
      <c r="AG586" s="5" t="s">
        <v>2180</v>
      </c>
      <c r="AH586" s="5" t="s">
        <v>2179</v>
      </c>
      <c r="AI586" s="5" t="s">
        <v>73</v>
      </c>
      <c r="AJ586" s="5">
        <v>0</v>
      </c>
      <c r="AK586" s="5">
        <v>0</v>
      </c>
      <c r="AL586" s="5">
        <v>0</v>
      </c>
      <c r="AM586" s="5">
        <v>0</v>
      </c>
      <c r="AN586" s="5">
        <v>1</v>
      </c>
      <c r="AO586" s="5">
        <v>95.25</v>
      </c>
      <c r="AP586" s="5">
        <v>0.66</v>
      </c>
      <c r="AQ586" s="5" t="s">
        <v>713</v>
      </c>
      <c r="AR586" s="5" t="s">
        <v>1104</v>
      </c>
      <c r="AS586" s="5"/>
      <c r="AT586" s="5"/>
      <c r="AU586" s="5"/>
      <c r="AV586" s="5">
        <v>-1</v>
      </c>
      <c r="AW586" s="5" t="s">
        <v>1368</v>
      </c>
    </row>
    <row r="587" spans="1:49" x14ac:dyDescent="0.55000000000000004">
      <c r="A587" s="5" t="str">
        <f>HYPERLINK("https://www.infodis.net/philips/net/Shipment/Details?InfodisNumber=4074051&amp;DomainCode=DAP", "4074051")</f>
        <v>4074051</v>
      </c>
      <c r="B587" s="5" t="s">
        <v>4267</v>
      </c>
      <c r="C587" s="5" t="s">
        <v>4241</v>
      </c>
      <c r="D587" s="5" t="s">
        <v>2427</v>
      </c>
      <c r="E587" s="5" t="s">
        <v>458</v>
      </c>
      <c r="F587" s="5" t="s">
        <v>4268</v>
      </c>
      <c r="G587" s="5" t="s">
        <v>610</v>
      </c>
      <c r="H587" s="5" t="s">
        <v>180</v>
      </c>
      <c r="I587" s="5" t="s">
        <v>652</v>
      </c>
      <c r="J587" s="5" t="s">
        <v>4269</v>
      </c>
      <c r="K587" s="5" t="s">
        <v>4270</v>
      </c>
      <c r="L587" s="5" t="s">
        <v>4271</v>
      </c>
      <c r="M587" s="5" t="s">
        <v>84</v>
      </c>
      <c r="N587" s="5"/>
      <c r="O587" s="5"/>
      <c r="P587" s="5" t="s">
        <v>613</v>
      </c>
      <c r="Q587" s="5" t="s">
        <v>4272</v>
      </c>
      <c r="R587" s="5" t="s">
        <v>4269</v>
      </c>
      <c r="S587" s="6">
        <v>43537</v>
      </c>
      <c r="T587" s="6">
        <v>43538</v>
      </c>
      <c r="U587" s="6">
        <v>43537</v>
      </c>
      <c r="V587" s="6">
        <v>43541</v>
      </c>
      <c r="W587" s="5"/>
      <c r="X587" s="5"/>
      <c r="Y587" s="5" t="s">
        <v>66</v>
      </c>
      <c r="Z587" s="5" t="s">
        <v>66</v>
      </c>
      <c r="AA587" s="5" t="s">
        <v>66</v>
      </c>
      <c r="AB587" s="5" t="s">
        <v>67</v>
      </c>
      <c r="AC587" s="5" t="s">
        <v>67</v>
      </c>
      <c r="AD587" s="5" t="s">
        <v>67</v>
      </c>
      <c r="AE587" s="5"/>
      <c r="AF587" s="5" t="s">
        <v>2179</v>
      </c>
      <c r="AG587" s="5" t="s">
        <v>2180</v>
      </c>
      <c r="AH587" s="5" t="s">
        <v>2179</v>
      </c>
      <c r="AI587" s="5" t="s">
        <v>73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3.18</v>
      </c>
      <c r="AP587" s="5">
        <v>4.2000000000000003E-2</v>
      </c>
      <c r="AQ587" s="5" t="s">
        <v>713</v>
      </c>
      <c r="AR587" s="5" t="s">
        <v>1104</v>
      </c>
      <c r="AS587" s="5"/>
      <c r="AT587" s="5"/>
      <c r="AU587" s="5"/>
      <c r="AV587" s="5">
        <v>-1</v>
      </c>
      <c r="AW587" s="5" t="s">
        <v>3981</v>
      </c>
    </row>
    <row r="588" spans="1:49" x14ac:dyDescent="0.55000000000000004">
      <c r="A588" s="5" t="str">
        <f>HYPERLINK("https://www.infodis.net/philips/net/Shipment/Details?InfodisNumber=4072501&amp;DomainCode=DAP", "4072501")</f>
        <v>4072501</v>
      </c>
      <c r="B588" s="5" t="s">
        <v>4273</v>
      </c>
      <c r="C588" s="5" t="s">
        <v>2125</v>
      </c>
      <c r="D588" s="5" t="s">
        <v>2126</v>
      </c>
      <c r="E588" s="5" t="s">
        <v>393</v>
      </c>
      <c r="F588" s="5" t="s">
        <v>3947</v>
      </c>
      <c r="G588" s="5" t="s">
        <v>394</v>
      </c>
      <c r="H588" s="5" t="s">
        <v>79</v>
      </c>
      <c r="I588" s="5" t="s">
        <v>587</v>
      </c>
      <c r="J588" s="5" t="s">
        <v>1070</v>
      </c>
      <c r="K588" s="5" t="s">
        <v>3948</v>
      </c>
      <c r="L588" s="5" t="s">
        <v>180</v>
      </c>
      <c r="M588" s="5" t="s">
        <v>84</v>
      </c>
      <c r="N588" s="5"/>
      <c r="O588" s="5"/>
      <c r="P588" s="5" t="s">
        <v>398</v>
      </c>
      <c r="Q588" s="5" t="s">
        <v>4274</v>
      </c>
      <c r="R588" s="5" t="s">
        <v>3947</v>
      </c>
      <c r="S588" s="6">
        <v>43537</v>
      </c>
      <c r="T588" s="6">
        <v>43551</v>
      </c>
      <c r="U588" s="6">
        <v>43564</v>
      </c>
      <c r="V588" s="6">
        <v>43554</v>
      </c>
      <c r="W588" s="6">
        <v>43569</v>
      </c>
      <c r="X588" s="6">
        <v>43572</v>
      </c>
      <c r="Y588" s="5" t="s">
        <v>3291</v>
      </c>
      <c r="Z588" s="5" t="s">
        <v>2398</v>
      </c>
      <c r="AA588" s="5" t="s">
        <v>2398</v>
      </c>
      <c r="AB588" s="5" t="s">
        <v>67</v>
      </c>
      <c r="AC588" s="5" t="s">
        <v>67</v>
      </c>
      <c r="AD588" s="5" t="s">
        <v>67</v>
      </c>
      <c r="AE588" s="5"/>
      <c r="AF588" s="5" t="s">
        <v>2179</v>
      </c>
      <c r="AG588" s="5" t="s">
        <v>2180</v>
      </c>
      <c r="AH588" s="5" t="s">
        <v>2179</v>
      </c>
      <c r="AI588" s="5" t="s">
        <v>73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170.5</v>
      </c>
      <c r="AP588" s="5">
        <v>1.357</v>
      </c>
      <c r="AQ588" s="5" t="s">
        <v>713</v>
      </c>
      <c r="AR588" s="5" t="s">
        <v>1104</v>
      </c>
      <c r="AS588" s="5" t="s">
        <v>713</v>
      </c>
      <c r="AT588" s="5"/>
      <c r="AU588" s="5"/>
      <c r="AV588" s="5">
        <v>-1</v>
      </c>
      <c r="AW588" s="5" t="s">
        <v>4275</v>
      </c>
    </row>
    <row r="589" spans="1:49" x14ac:dyDescent="0.55000000000000004">
      <c r="A589" s="5" t="str">
        <f>HYPERLINK("https://www.infodis.net/philips/net/Shipment/Details?InfodisNumber=4414283&amp;DomainCode=DAP", "4414283")</f>
        <v>4414283</v>
      </c>
      <c r="B589" s="5" t="s">
        <v>2275</v>
      </c>
      <c r="C589" s="5" t="s">
        <v>2276</v>
      </c>
      <c r="D589" s="5" t="s">
        <v>2277</v>
      </c>
      <c r="E589" s="5" t="s">
        <v>2276</v>
      </c>
      <c r="F589" s="5" t="s">
        <v>393</v>
      </c>
      <c r="G589" s="5" t="s">
        <v>2278</v>
      </c>
      <c r="H589" s="5" t="s">
        <v>2204</v>
      </c>
      <c r="I589" s="5" t="s">
        <v>2279</v>
      </c>
      <c r="J589" s="5" t="s">
        <v>268</v>
      </c>
      <c r="K589" s="5" t="s">
        <v>855</v>
      </c>
      <c r="L589" s="5" t="s">
        <v>267</v>
      </c>
      <c r="M589" s="5" t="s">
        <v>84</v>
      </c>
      <c r="N589" s="5"/>
      <c r="O589" s="5"/>
      <c r="P589" s="5" t="s">
        <v>2280</v>
      </c>
      <c r="Q589" s="5" t="s">
        <v>2281</v>
      </c>
      <c r="R589" s="5" t="s">
        <v>268</v>
      </c>
      <c r="S589" s="6">
        <v>43908</v>
      </c>
      <c r="T589" s="6">
        <v>43913</v>
      </c>
      <c r="U589" s="6">
        <v>43964</v>
      </c>
      <c r="V589" s="6">
        <v>43920</v>
      </c>
      <c r="W589" s="6">
        <v>43980</v>
      </c>
      <c r="X589" s="6">
        <v>44016</v>
      </c>
      <c r="Y589" s="5" t="s">
        <v>857</v>
      </c>
      <c r="Z589" s="5" t="s">
        <v>857</v>
      </c>
      <c r="AA589" s="5" t="s">
        <v>857</v>
      </c>
      <c r="AB589" s="5" t="s">
        <v>67</v>
      </c>
      <c r="AC589" s="5" t="s">
        <v>67</v>
      </c>
      <c r="AD589" s="5" t="s">
        <v>67</v>
      </c>
      <c r="AE589" s="5"/>
      <c r="AF589" s="5" t="s">
        <v>70</v>
      </c>
      <c r="AG589" s="5" t="s">
        <v>2282</v>
      </c>
      <c r="AH589" s="5" t="s">
        <v>72</v>
      </c>
      <c r="AI589" s="5" t="s">
        <v>73</v>
      </c>
      <c r="AJ589" s="5">
        <v>0</v>
      </c>
      <c r="AK589" s="5">
        <v>0</v>
      </c>
      <c r="AL589" s="5">
        <v>0</v>
      </c>
      <c r="AM589" s="5">
        <v>0</v>
      </c>
      <c r="AN589" s="5">
        <v>1</v>
      </c>
      <c r="AO589" s="5">
        <v>1025</v>
      </c>
      <c r="AP589" s="5">
        <v>2</v>
      </c>
      <c r="AQ589" s="5" t="s">
        <v>713</v>
      </c>
      <c r="AR589" s="5" t="s">
        <v>1104</v>
      </c>
      <c r="AS589" s="5"/>
      <c r="AT589" s="5"/>
      <c r="AU589" s="5"/>
      <c r="AV589" s="5">
        <v>-1</v>
      </c>
      <c r="AW589" s="5" t="s">
        <v>2265</v>
      </c>
    </row>
    <row r="590" spans="1:49" x14ac:dyDescent="0.55000000000000004">
      <c r="A590" s="5" t="str">
        <f>HYPERLINK("https://www.infodis.net/philips/net/Shipment/Details?InfodisNumber=1441336&amp;DomainCode=PHILIPSM1", "1441336")</f>
        <v>1441336</v>
      </c>
      <c r="B590" s="5" t="s">
        <v>4276</v>
      </c>
      <c r="C590" s="5" t="s">
        <v>2491</v>
      </c>
      <c r="D590" s="5" t="s">
        <v>2492</v>
      </c>
      <c r="E590" s="5" t="s">
        <v>2491</v>
      </c>
      <c r="F590" s="5" t="s">
        <v>3806</v>
      </c>
      <c r="G590" s="5" t="s">
        <v>1431</v>
      </c>
      <c r="H590" s="5" t="s">
        <v>180</v>
      </c>
      <c r="I590" s="5" t="s">
        <v>2494</v>
      </c>
      <c r="J590" s="5" t="s">
        <v>2454</v>
      </c>
      <c r="K590" s="5" t="s">
        <v>2985</v>
      </c>
      <c r="L590" s="5" t="s">
        <v>443</v>
      </c>
      <c r="M590" s="5" t="s">
        <v>60</v>
      </c>
      <c r="N590" s="5"/>
      <c r="O590" s="5"/>
      <c r="P590" s="5" t="s">
        <v>1434</v>
      </c>
      <c r="Q590" s="5" t="s">
        <v>4277</v>
      </c>
      <c r="R590" s="5" t="s">
        <v>3808</v>
      </c>
      <c r="S590" s="6">
        <v>44026</v>
      </c>
      <c r="T590" s="6">
        <v>44026</v>
      </c>
      <c r="U590" s="6">
        <v>44026</v>
      </c>
      <c r="V590" s="6">
        <v>44027</v>
      </c>
      <c r="W590" s="6">
        <v>44027</v>
      </c>
      <c r="X590" s="6">
        <v>44053</v>
      </c>
      <c r="Y590" s="5" t="s">
        <v>2387</v>
      </c>
      <c r="Z590" s="5" t="s">
        <v>2387</v>
      </c>
      <c r="AA590" s="5" t="s">
        <v>603</v>
      </c>
      <c r="AB590" s="5" t="s">
        <v>67</v>
      </c>
      <c r="AC590" s="5" t="s">
        <v>67</v>
      </c>
      <c r="AD590" s="5" t="s">
        <v>68</v>
      </c>
      <c r="AE590" s="5"/>
      <c r="AF590" s="5" t="s">
        <v>2610</v>
      </c>
      <c r="AG590" s="5" t="s">
        <v>2611</v>
      </c>
      <c r="AH590" s="5" t="s">
        <v>2610</v>
      </c>
      <c r="AI590" s="5" t="s">
        <v>605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6.1</v>
      </c>
      <c r="AP590" s="5">
        <v>7.4999999999999997E-2</v>
      </c>
      <c r="AQ590" s="5" t="s">
        <v>713</v>
      </c>
      <c r="AR590" s="5" t="s">
        <v>1104</v>
      </c>
      <c r="AS590" s="5"/>
      <c r="AT590" s="5"/>
      <c r="AU590" s="5"/>
      <c r="AV590" s="5">
        <v>-1</v>
      </c>
      <c r="AW590" s="5" t="s">
        <v>3672</v>
      </c>
    </row>
    <row r="591" spans="1:49" x14ac:dyDescent="0.55000000000000004">
      <c r="A591" s="5" t="str">
        <f>HYPERLINK("https://www.infodis.net/philips/net/Shipment/Details?InfodisNumber=4394528&amp;DomainCode=DAP", "4394528")</f>
        <v>4394528</v>
      </c>
      <c r="B591" s="5" t="s">
        <v>4278</v>
      </c>
      <c r="C591" s="5" t="s">
        <v>2344</v>
      </c>
      <c r="D591" s="5" t="s">
        <v>2345</v>
      </c>
      <c r="E591" s="5" t="s">
        <v>2344</v>
      </c>
      <c r="F591" s="5" t="s">
        <v>280</v>
      </c>
      <c r="G591" s="5" t="s">
        <v>281</v>
      </c>
      <c r="H591" s="5" t="s">
        <v>79</v>
      </c>
      <c r="I591" s="5" t="s">
        <v>2347</v>
      </c>
      <c r="J591" s="5" t="s">
        <v>2640</v>
      </c>
      <c r="K591" s="5" t="s">
        <v>284</v>
      </c>
      <c r="L591" s="5" t="s">
        <v>285</v>
      </c>
      <c r="M591" s="5" t="s">
        <v>84</v>
      </c>
      <c r="N591" s="5"/>
      <c r="O591" s="5"/>
      <c r="P591" s="5" t="s">
        <v>286</v>
      </c>
      <c r="Q591" s="5"/>
      <c r="R591" s="5" t="s">
        <v>287</v>
      </c>
      <c r="S591" s="6">
        <v>43878</v>
      </c>
      <c r="T591" s="6">
        <v>43879</v>
      </c>
      <c r="U591" s="5"/>
      <c r="V591" s="6">
        <v>43882</v>
      </c>
      <c r="W591" s="5"/>
      <c r="X591" s="5"/>
      <c r="Y591" s="5" t="s">
        <v>66</v>
      </c>
      <c r="Z591" s="5" t="s">
        <v>2411</v>
      </c>
      <c r="AA591" s="5" t="s">
        <v>2411</v>
      </c>
      <c r="AB591" s="5" t="s">
        <v>68</v>
      </c>
      <c r="AC591" s="5" t="s">
        <v>67</v>
      </c>
      <c r="AD591" s="5" t="s">
        <v>67</v>
      </c>
      <c r="AE591" s="5"/>
      <c r="AF591" s="5" t="s">
        <v>2179</v>
      </c>
      <c r="AG591" s="5" t="s">
        <v>2180</v>
      </c>
      <c r="AH591" s="5" t="s">
        <v>2179</v>
      </c>
      <c r="AI591" s="5" t="s">
        <v>73</v>
      </c>
      <c r="AJ591" s="5">
        <v>0</v>
      </c>
      <c r="AK591" s="5">
        <v>0</v>
      </c>
      <c r="AL591" s="5">
        <v>0</v>
      </c>
      <c r="AM591" s="5">
        <v>0</v>
      </c>
      <c r="AN591" s="5">
        <v>2</v>
      </c>
      <c r="AO591" s="5">
        <v>360</v>
      </c>
      <c r="AP591" s="5">
        <v>1.8080000000000001</v>
      </c>
      <c r="AQ591" s="5" t="s">
        <v>713</v>
      </c>
      <c r="AR591" s="5" t="s">
        <v>1104</v>
      </c>
      <c r="AS591" s="5" t="s">
        <v>713</v>
      </c>
      <c r="AT591" s="5"/>
      <c r="AU591" s="5"/>
      <c r="AV591" s="5">
        <v>-1</v>
      </c>
      <c r="AW591" s="5" t="s">
        <v>4279</v>
      </c>
    </row>
    <row r="592" spans="1:49" x14ac:dyDescent="0.55000000000000004">
      <c r="A592" s="5" t="str">
        <f>HYPERLINK("https://www.infodis.net/philips/net/Shipment/Details?InfodisNumber=4299357&amp;DomainCode=DAP", "4299357")</f>
        <v>4299357</v>
      </c>
      <c r="B592" s="5" t="s">
        <v>4280</v>
      </c>
      <c r="C592" s="5" t="s">
        <v>2796</v>
      </c>
      <c r="D592" s="5" t="s">
        <v>2797</v>
      </c>
      <c r="E592" s="5" t="s">
        <v>2202</v>
      </c>
      <c r="F592" s="5" t="s">
        <v>2798</v>
      </c>
      <c r="G592" s="5" t="s">
        <v>2203</v>
      </c>
      <c r="H592" s="5" t="s">
        <v>2204</v>
      </c>
      <c r="I592" s="5" t="s">
        <v>2634</v>
      </c>
      <c r="J592" s="5" t="s">
        <v>2601</v>
      </c>
      <c r="K592" s="5" t="s">
        <v>192</v>
      </c>
      <c r="L592" s="5" t="s">
        <v>79</v>
      </c>
      <c r="M592" s="5" t="s">
        <v>60</v>
      </c>
      <c r="N592" s="5"/>
      <c r="O592" s="5"/>
      <c r="P592" s="5" t="s">
        <v>2205</v>
      </c>
      <c r="Q592" s="5" t="s">
        <v>4281</v>
      </c>
      <c r="R592" s="5" t="s">
        <v>196</v>
      </c>
      <c r="S592" s="6">
        <v>43731</v>
      </c>
      <c r="T592" s="6">
        <v>43732</v>
      </c>
      <c r="U592" s="6">
        <v>43732</v>
      </c>
      <c r="V592" s="6">
        <v>43733</v>
      </c>
      <c r="W592" s="6">
        <v>43733</v>
      </c>
      <c r="X592" s="6">
        <v>43746</v>
      </c>
      <c r="Y592" s="5" t="s">
        <v>2411</v>
      </c>
      <c r="Z592" s="5" t="s">
        <v>2411</v>
      </c>
      <c r="AA592" s="5" t="s">
        <v>2411</v>
      </c>
      <c r="AB592" s="5" t="s">
        <v>67</v>
      </c>
      <c r="AC592" s="5" t="s">
        <v>67</v>
      </c>
      <c r="AD592" s="5" t="s">
        <v>67</v>
      </c>
      <c r="AE592" s="5"/>
      <c r="AF592" s="5" t="s">
        <v>2829</v>
      </c>
      <c r="AG592" s="5" t="s">
        <v>2830</v>
      </c>
      <c r="AH592" s="5" t="s">
        <v>2829</v>
      </c>
      <c r="AI592" s="5" t="s">
        <v>73</v>
      </c>
      <c r="AJ592" s="5">
        <v>0</v>
      </c>
      <c r="AK592" s="5">
        <v>0</v>
      </c>
      <c r="AL592" s="5">
        <v>0</v>
      </c>
      <c r="AM592" s="5">
        <v>0</v>
      </c>
      <c r="AN592" s="5">
        <v>2</v>
      </c>
      <c r="AO592" s="5">
        <v>456</v>
      </c>
      <c r="AP592" s="5">
        <v>1.488</v>
      </c>
      <c r="AQ592" s="5" t="s">
        <v>713</v>
      </c>
      <c r="AR592" s="5" t="s">
        <v>1104</v>
      </c>
      <c r="AS592" s="5" t="s">
        <v>713</v>
      </c>
      <c r="AT592" s="6">
        <v>43733</v>
      </c>
      <c r="AU592" s="5" t="s">
        <v>4282</v>
      </c>
      <c r="AV592" s="5">
        <v>429</v>
      </c>
      <c r="AW592" s="5" t="s">
        <v>1269</v>
      </c>
    </row>
    <row r="593" spans="1:49" x14ac:dyDescent="0.55000000000000004">
      <c r="A593" s="5" t="str">
        <f>HYPERLINK("https://www.infodis.net/philips/net/Shipment/Details?InfodisNumber=1524249&amp;DomainCode=PHILIPSM1", "1524249")</f>
        <v>1524249</v>
      </c>
      <c r="B593" s="5" t="s">
        <v>4283</v>
      </c>
      <c r="C593" s="5" t="s">
        <v>2491</v>
      </c>
      <c r="D593" s="5" t="s">
        <v>2492</v>
      </c>
      <c r="E593" s="5" t="s">
        <v>2491</v>
      </c>
      <c r="F593" s="5" t="s">
        <v>3806</v>
      </c>
      <c r="G593" s="5" t="s">
        <v>1431</v>
      </c>
      <c r="H593" s="5" t="s">
        <v>180</v>
      </c>
      <c r="I593" s="5" t="s">
        <v>2494</v>
      </c>
      <c r="J593" s="5" t="s">
        <v>2454</v>
      </c>
      <c r="K593" s="5" t="s">
        <v>2985</v>
      </c>
      <c r="L593" s="5" t="s">
        <v>443</v>
      </c>
      <c r="M593" s="5" t="s">
        <v>60</v>
      </c>
      <c r="N593" s="5"/>
      <c r="O593" s="5"/>
      <c r="P593" s="5" t="s">
        <v>1434</v>
      </c>
      <c r="Q593" s="5" t="s">
        <v>4284</v>
      </c>
      <c r="R593" s="5" t="s">
        <v>3808</v>
      </c>
      <c r="S593" s="6">
        <v>44104</v>
      </c>
      <c r="T593" s="6">
        <v>44104</v>
      </c>
      <c r="U593" s="6">
        <v>44106</v>
      </c>
      <c r="V593" s="6">
        <v>44105</v>
      </c>
      <c r="W593" s="6">
        <v>44110</v>
      </c>
      <c r="X593" s="5"/>
      <c r="Y593" s="5" t="s">
        <v>2387</v>
      </c>
      <c r="Z593" s="5" t="s">
        <v>2387</v>
      </c>
      <c r="AA593" s="5" t="s">
        <v>603</v>
      </c>
      <c r="AB593" s="5" t="s">
        <v>67</v>
      </c>
      <c r="AC593" s="5" t="s">
        <v>67</v>
      </c>
      <c r="AD593" s="5" t="s">
        <v>68</v>
      </c>
      <c r="AE593" s="5"/>
      <c r="AF593" s="5" t="s">
        <v>2610</v>
      </c>
      <c r="AG593" s="5" t="s">
        <v>2611</v>
      </c>
      <c r="AH593" s="5" t="s">
        <v>2610</v>
      </c>
      <c r="AI593" s="5" t="s">
        <v>605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12.9</v>
      </c>
      <c r="AP593" s="5">
        <v>0.17499999999999999</v>
      </c>
      <c r="AQ593" s="5" t="s">
        <v>713</v>
      </c>
      <c r="AR593" s="5" t="s">
        <v>1104</v>
      </c>
      <c r="AS593" s="5"/>
      <c r="AT593" s="5"/>
      <c r="AU593" s="5"/>
      <c r="AV593" s="5">
        <v>-1</v>
      </c>
      <c r="AW593" s="5" t="s">
        <v>3752</v>
      </c>
    </row>
    <row r="594" spans="1:49" x14ac:dyDescent="0.55000000000000004">
      <c r="A594" s="5" t="str">
        <f>HYPERLINK("https://www.infodis.net/philips/net/Shipment/Details?InfodisNumber=4526408&amp;DomainCode=DAP", "4526408")</f>
        <v>4526408</v>
      </c>
      <c r="B594" s="5" t="s">
        <v>4285</v>
      </c>
      <c r="C594" s="5" t="s">
        <v>3717</v>
      </c>
      <c r="D594" s="5" t="s">
        <v>3718</v>
      </c>
      <c r="E594" s="5" t="s">
        <v>3717</v>
      </c>
      <c r="F594" s="5" t="s">
        <v>167</v>
      </c>
      <c r="G594" s="5" t="s">
        <v>3719</v>
      </c>
      <c r="H594" s="5" t="s">
        <v>180</v>
      </c>
      <c r="I594" s="5" t="s">
        <v>3720</v>
      </c>
      <c r="J594" s="5" t="s">
        <v>2405</v>
      </c>
      <c r="K594" s="5" t="s">
        <v>1125</v>
      </c>
      <c r="L594" s="5" t="s">
        <v>172</v>
      </c>
      <c r="M594" s="5" t="s">
        <v>60</v>
      </c>
      <c r="N594" s="5"/>
      <c r="O594" s="5"/>
      <c r="P594" s="5" t="s">
        <v>3721</v>
      </c>
      <c r="Q594" s="5" t="s">
        <v>4286</v>
      </c>
      <c r="R594" s="5" t="s">
        <v>1128</v>
      </c>
      <c r="S594" s="6">
        <v>44104</v>
      </c>
      <c r="T594" s="6">
        <v>44104</v>
      </c>
      <c r="U594" s="6">
        <v>44104</v>
      </c>
      <c r="V594" s="6">
        <v>44107</v>
      </c>
      <c r="W594" s="6">
        <v>44106</v>
      </c>
      <c r="X594" s="6">
        <v>44116</v>
      </c>
      <c r="Y594" s="5" t="s">
        <v>2411</v>
      </c>
      <c r="Z594" s="5" t="s">
        <v>2411</v>
      </c>
      <c r="AA594" s="5" t="s">
        <v>2411</v>
      </c>
      <c r="AB594" s="5" t="s">
        <v>67</v>
      </c>
      <c r="AC594" s="5" t="s">
        <v>67</v>
      </c>
      <c r="AD594" s="5" t="s">
        <v>67</v>
      </c>
      <c r="AE594" s="5"/>
      <c r="AF594" s="5" t="s">
        <v>2179</v>
      </c>
      <c r="AG594" s="5" t="s">
        <v>2180</v>
      </c>
      <c r="AH594" s="5" t="s">
        <v>2179</v>
      </c>
      <c r="AI594" s="5" t="s">
        <v>73</v>
      </c>
      <c r="AJ594" s="5">
        <v>0</v>
      </c>
      <c r="AK594" s="5">
        <v>0</v>
      </c>
      <c r="AL594" s="5">
        <v>0</v>
      </c>
      <c r="AM594" s="5">
        <v>0</v>
      </c>
      <c r="AN594" s="5">
        <v>1</v>
      </c>
      <c r="AO594" s="5">
        <v>696.26</v>
      </c>
      <c r="AP594" s="5">
        <v>1.9350000000000001</v>
      </c>
      <c r="AQ594" s="5" t="s">
        <v>713</v>
      </c>
      <c r="AR594" s="5" t="s">
        <v>1104</v>
      </c>
      <c r="AS594" s="5" t="s">
        <v>713</v>
      </c>
      <c r="AT594" s="6">
        <v>44124</v>
      </c>
      <c r="AU594" s="5" t="s">
        <v>3723</v>
      </c>
      <c r="AV594" s="5">
        <v>38</v>
      </c>
      <c r="AW594" s="5" t="s">
        <v>3724</v>
      </c>
    </row>
    <row r="595" spans="1:49" x14ac:dyDescent="0.55000000000000004">
      <c r="A595" s="5" t="str">
        <f>HYPERLINK("https://www.infodis.net/philips/net/Shipment/Details?InfodisNumber=1378841&amp;DomainCode=PHILIPSM1", "1378841")</f>
        <v>1378841</v>
      </c>
      <c r="B595" s="5" t="s">
        <v>4287</v>
      </c>
      <c r="C595" s="5" t="s">
        <v>2080</v>
      </c>
      <c r="D595" s="5" t="s">
        <v>2081</v>
      </c>
      <c r="E595" s="5" t="s">
        <v>2082</v>
      </c>
      <c r="F595" s="5" t="s">
        <v>4288</v>
      </c>
      <c r="G595" s="5" t="s">
        <v>1430</v>
      </c>
      <c r="H595" s="5" t="s">
        <v>244</v>
      </c>
      <c r="I595" s="5" t="s">
        <v>2084</v>
      </c>
      <c r="J595" s="5" t="s">
        <v>4167</v>
      </c>
      <c r="K595" s="5" t="s">
        <v>4168</v>
      </c>
      <c r="L595" s="5" t="s">
        <v>4169</v>
      </c>
      <c r="M595" s="5" t="s">
        <v>60</v>
      </c>
      <c r="N595" s="5"/>
      <c r="O595" s="5"/>
      <c r="P595" s="5" t="s">
        <v>1432</v>
      </c>
      <c r="Q595" s="5" t="s">
        <v>4289</v>
      </c>
      <c r="R595" s="5" t="s">
        <v>4169</v>
      </c>
      <c r="S595" s="6">
        <v>43969</v>
      </c>
      <c r="T595" s="6">
        <v>43970</v>
      </c>
      <c r="U595" s="6">
        <v>43971</v>
      </c>
      <c r="V595" s="6">
        <v>43971</v>
      </c>
      <c r="W595" s="6">
        <v>43973</v>
      </c>
      <c r="X595" s="5"/>
      <c r="Y595" s="5" t="s">
        <v>2387</v>
      </c>
      <c r="Z595" s="5" t="s">
        <v>2387</v>
      </c>
      <c r="AA595" s="5" t="s">
        <v>603</v>
      </c>
      <c r="AB595" s="5" t="s">
        <v>67</v>
      </c>
      <c r="AC595" s="5" t="s">
        <v>67</v>
      </c>
      <c r="AD595" s="5" t="s">
        <v>68</v>
      </c>
      <c r="AE595" s="5"/>
      <c r="AF595" s="5" t="s">
        <v>2610</v>
      </c>
      <c r="AG595" s="5" t="s">
        <v>2611</v>
      </c>
      <c r="AH595" s="5" t="s">
        <v>2610</v>
      </c>
      <c r="AI595" s="5" t="s">
        <v>605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1.2</v>
      </c>
      <c r="AP595" s="5">
        <v>2.5999999999999999E-2</v>
      </c>
      <c r="AQ595" s="5" t="s">
        <v>713</v>
      </c>
      <c r="AR595" s="5" t="s">
        <v>1104</v>
      </c>
      <c r="AS595" s="5"/>
      <c r="AT595" s="5"/>
      <c r="AU595" s="5"/>
      <c r="AV595" s="5">
        <v>-1</v>
      </c>
      <c r="AW595" s="5" t="s">
        <v>3672</v>
      </c>
    </row>
    <row r="596" spans="1:49" x14ac:dyDescent="0.55000000000000004">
      <c r="A596" s="5" t="str">
        <f>HYPERLINK("https://www.infodis.net/philips/net/Shipment/Details?InfodisNumber=1378835&amp;DomainCode=PHILIPSM1", "1378835")</f>
        <v>1378835</v>
      </c>
      <c r="B596" s="5" t="s">
        <v>4290</v>
      </c>
      <c r="C596" s="5" t="s">
        <v>2080</v>
      </c>
      <c r="D596" s="5" t="s">
        <v>2081</v>
      </c>
      <c r="E596" s="5" t="s">
        <v>1428</v>
      </c>
      <c r="F596" s="5" t="s">
        <v>2434</v>
      </c>
      <c r="G596" s="5" t="s">
        <v>1430</v>
      </c>
      <c r="H596" s="5" t="s">
        <v>244</v>
      </c>
      <c r="I596" s="5" t="s">
        <v>2084</v>
      </c>
      <c r="J596" s="5" t="s">
        <v>2435</v>
      </c>
      <c r="K596" s="5" t="s">
        <v>58</v>
      </c>
      <c r="L596" s="5" t="s">
        <v>59</v>
      </c>
      <c r="M596" s="5" t="s">
        <v>60</v>
      </c>
      <c r="N596" s="5"/>
      <c r="O596" s="5"/>
      <c r="P596" s="5" t="s">
        <v>1432</v>
      </c>
      <c r="Q596" s="5"/>
      <c r="R596" s="5" t="s">
        <v>64</v>
      </c>
      <c r="S596" s="6">
        <v>43969</v>
      </c>
      <c r="T596" s="6">
        <v>43970</v>
      </c>
      <c r="U596" s="6">
        <v>43970</v>
      </c>
      <c r="V596" s="6">
        <v>43973</v>
      </c>
      <c r="W596" s="6">
        <v>43980</v>
      </c>
      <c r="X596" s="5"/>
      <c r="Y596" s="5" t="s">
        <v>2518</v>
      </c>
      <c r="Z596" s="5" t="s">
        <v>2518</v>
      </c>
      <c r="AA596" s="5" t="s">
        <v>603</v>
      </c>
      <c r="AB596" s="5" t="s">
        <v>67</v>
      </c>
      <c r="AC596" s="5" t="s">
        <v>67</v>
      </c>
      <c r="AD596" s="5" t="s">
        <v>68</v>
      </c>
      <c r="AE596" s="5"/>
      <c r="AF596" s="5" t="s">
        <v>2179</v>
      </c>
      <c r="AG596" s="5" t="s">
        <v>2180</v>
      </c>
      <c r="AH596" s="5" t="s">
        <v>2179</v>
      </c>
      <c r="AI596" s="5" t="s">
        <v>605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39.299999999999997</v>
      </c>
      <c r="AP596" s="5">
        <v>0</v>
      </c>
      <c r="AQ596" s="5" t="s">
        <v>713</v>
      </c>
      <c r="AR596" s="5" t="s">
        <v>1104</v>
      </c>
      <c r="AS596" s="5" t="s">
        <v>713</v>
      </c>
      <c r="AT596" s="6">
        <v>43991</v>
      </c>
      <c r="AU596" s="5" t="s">
        <v>4108</v>
      </c>
      <c r="AV596" s="5">
        <v>171</v>
      </c>
      <c r="AW596" s="5" t="s">
        <v>4109</v>
      </c>
    </row>
    <row r="597" spans="1:49" x14ac:dyDescent="0.55000000000000004">
      <c r="A597" s="5" t="str">
        <f>HYPERLINK("https://www.infodis.net/philips/net/Shipment/Details?InfodisNumber=4309052&amp;DomainCode=DAP", "4309052")</f>
        <v>4309052</v>
      </c>
      <c r="B597" s="5" t="s">
        <v>4291</v>
      </c>
      <c r="C597" s="5" t="s">
        <v>2502</v>
      </c>
      <c r="D597" s="5" t="s">
        <v>2503</v>
      </c>
      <c r="E597" s="5" t="s">
        <v>2504</v>
      </c>
      <c r="F597" s="5" t="s">
        <v>2247</v>
      </c>
      <c r="G597" s="5" t="s">
        <v>1179</v>
      </c>
      <c r="H597" s="5" t="s">
        <v>180</v>
      </c>
      <c r="I597" s="5" t="s">
        <v>194</v>
      </c>
      <c r="J597" s="5" t="s">
        <v>2481</v>
      </c>
      <c r="K597" s="5" t="s">
        <v>2248</v>
      </c>
      <c r="L597" s="5" t="s">
        <v>230</v>
      </c>
      <c r="M597" s="5" t="s">
        <v>60</v>
      </c>
      <c r="N597" s="5"/>
      <c r="O597" s="5"/>
      <c r="P597" s="5" t="s">
        <v>1181</v>
      </c>
      <c r="Q597" s="5"/>
      <c r="R597" s="5" t="s">
        <v>2250</v>
      </c>
      <c r="S597" s="6">
        <v>43742</v>
      </c>
      <c r="T597" s="6">
        <v>43742</v>
      </c>
      <c r="U597" s="5"/>
      <c r="V597" s="6">
        <v>43745</v>
      </c>
      <c r="W597" s="6">
        <v>43747</v>
      </c>
      <c r="X597" s="5"/>
      <c r="Y597" s="5" t="s">
        <v>2476</v>
      </c>
      <c r="Z597" s="5" t="s">
        <v>2476</v>
      </c>
      <c r="AA597" s="5" t="s">
        <v>2476</v>
      </c>
      <c r="AB597" s="5" t="s">
        <v>67</v>
      </c>
      <c r="AC597" s="5" t="s">
        <v>67</v>
      </c>
      <c r="AD597" s="5" t="s">
        <v>67</v>
      </c>
      <c r="AE597" s="5"/>
      <c r="AF597" s="5" t="s">
        <v>2179</v>
      </c>
      <c r="AG597" s="5" t="s">
        <v>2180</v>
      </c>
      <c r="AH597" s="5" t="s">
        <v>2179</v>
      </c>
      <c r="AI597" s="5" t="s">
        <v>73</v>
      </c>
      <c r="AJ597" s="5">
        <v>0</v>
      </c>
      <c r="AK597" s="5">
        <v>0</v>
      </c>
      <c r="AL597" s="5">
        <v>0</v>
      </c>
      <c r="AM597" s="5">
        <v>0</v>
      </c>
      <c r="AN597" s="5">
        <v>1</v>
      </c>
      <c r="AO597" s="5">
        <v>178.64</v>
      </c>
      <c r="AP597" s="5">
        <v>1.454</v>
      </c>
      <c r="AQ597" s="5" t="s">
        <v>713</v>
      </c>
      <c r="AR597" s="5" t="s">
        <v>1104</v>
      </c>
      <c r="AS597" s="5" t="s">
        <v>713</v>
      </c>
      <c r="AT597" s="6">
        <v>43773</v>
      </c>
      <c r="AU597" s="5" t="s">
        <v>4080</v>
      </c>
      <c r="AV597" s="5">
        <v>389</v>
      </c>
      <c r="AW597" s="5" t="s">
        <v>4081</v>
      </c>
    </row>
    <row r="598" spans="1:49" x14ac:dyDescent="0.55000000000000004">
      <c r="A598" s="5" t="str">
        <f>HYPERLINK("https://www.infodis.net/philips/net/Shipment/Details?InfodisNumber=1361514&amp;DomainCode=PHILIPSM1", "1361514")</f>
        <v>1361514</v>
      </c>
      <c r="B598" s="5" t="s">
        <v>4292</v>
      </c>
      <c r="C598" s="5" t="s">
        <v>2491</v>
      </c>
      <c r="D598" s="5" t="s">
        <v>2492</v>
      </c>
      <c r="E598" s="5" t="s">
        <v>2491</v>
      </c>
      <c r="F598" s="5" t="s">
        <v>2977</v>
      </c>
      <c r="G598" s="5" t="s">
        <v>1431</v>
      </c>
      <c r="H598" s="5" t="s">
        <v>180</v>
      </c>
      <c r="I598" s="5" t="s">
        <v>2494</v>
      </c>
      <c r="J598" s="5" t="s">
        <v>2978</v>
      </c>
      <c r="K598" s="5" t="s">
        <v>2979</v>
      </c>
      <c r="L598" s="5" t="s">
        <v>2980</v>
      </c>
      <c r="M598" s="5" t="s">
        <v>60</v>
      </c>
      <c r="N598" s="5"/>
      <c r="O598" s="5"/>
      <c r="P598" s="5" t="s">
        <v>1434</v>
      </c>
      <c r="Q598" s="5" t="s">
        <v>4293</v>
      </c>
      <c r="R598" s="5" t="s">
        <v>2982</v>
      </c>
      <c r="S598" s="6">
        <v>43951</v>
      </c>
      <c r="T598" s="6">
        <v>43951</v>
      </c>
      <c r="U598" s="6">
        <v>43951</v>
      </c>
      <c r="V598" s="6">
        <v>43952</v>
      </c>
      <c r="W598" s="6">
        <v>43957</v>
      </c>
      <c r="X598" s="5"/>
      <c r="Y598" s="5" t="s">
        <v>2387</v>
      </c>
      <c r="Z598" s="5" t="s">
        <v>2387</v>
      </c>
      <c r="AA598" s="5" t="s">
        <v>603</v>
      </c>
      <c r="AB598" s="5" t="s">
        <v>67</v>
      </c>
      <c r="AC598" s="5" t="s">
        <v>67</v>
      </c>
      <c r="AD598" s="5" t="s">
        <v>68</v>
      </c>
      <c r="AE598" s="5"/>
      <c r="AF598" s="5" t="s">
        <v>2610</v>
      </c>
      <c r="AG598" s="5" t="s">
        <v>2611</v>
      </c>
      <c r="AH598" s="5" t="s">
        <v>2610</v>
      </c>
      <c r="AI598" s="5" t="s">
        <v>605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1.5</v>
      </c>
      <c r="AP598" s="5">
        <v>2.9000000000000001E-2</v>
      </c>
      <c r="AQ598" s="5" t="s">
        <v>713</v>
      </c>
      <c r="AR598" s="5" t="s">
        <v>1104</v>
      </c>
      <c r="AS598" s="5"/>
      <c r="AT598" s="5"/>
      <c r="AU598" s="5"/>
      <c r="AV598" s="5">
        <v>-1</v>
      </c>
      <c r="AW598" s="5" t="s">
        <v>3672</v>
      </c>
    </row>
    <row r="599" spans="1:49" x14ac:dyDescent="0.55000000000000004">
      <c r="A599" s="5" t="str">
        <f>HYPERLINK("https://www.infodis.net/philips/net/Shipment/Details?InfodisNumber=5852872&amp;DomainCode=PHILIPSR1", "5852872")</f>
        <v>5852872</v>
      </c>
      <c r="B599" s="5" t="s">
        <v>4294</v>
      </c>
      <c r="C599" s="5" t="s">
        <v>2426</v>
      </c>
      <c r="D599" s="5" t="s">
        <v>2427</v>
      </c>
      <c r="E599" s="5" t="s">
        <v>458</v>
      </c>
      <c r="F599" s="5" t="s">
        <v>2679</v>
      </c>
      <c r="G599" s="5" t="s">
        <v>610</v>
      </c>
      <c r="H599" s="5" t="s">
        <v>180</v>
      </c>
      <c r="I599" s="5" t="s">
        <v>652</v>
      </c>
      <c r="J599" s="5" t="s">
        <v>2495</v>
      </c>
      <c r="K599" s="5" t="s">
        <v>2496</v>
      </c>
      <c r="L599" s="5" t="s">
        <v>73</v>
      </c>
      <c r="M599" s="5" t="s">
        <v>1489</v>
      </c>
      <c r="N599" s="5"/>
      <c r="O599" s="5"/>
      <c r="P599" s="5" t="s">
        <v>613</v>
      </c>
      <c r="Q599" s="5"/>
      <c r="R599" s="5" t="s">
        <v>2495</v>
      </c>
      <c r="S599" s="6">
        <v>43741</v>
      </c>
      <c r="T599" s="6">
        <v>43742</v>
      </c>
      <c r="U599" s="6">
        <v>43741</v>
      </c>
      <c r="V599" s="6">
        <v>43745</v>
      </c>
      <c r="W599" s="6">
        <v>43742</v>
      </c>
      <c r="X599" s="5"/>
      <c r="Y599" s="5" t="s">
        <v>2476</v>
      </c>
      <c r="Z599" s="5" t="s">
        <v>2476</v>
      </c>
      <c r="AA599" s="5" t="s">
        <v>66</v>
      </c>
      <c r="AB599" s="5" t="s">
        <v>67</v>
      </c>
      <c r="AC599" s="5" t="s">
        <v>67</v>
      </c>
      <c r="AD599" s="5" t="s">
        <v>68</v>
      </c>
      <c r="AE599" s="5"/>
      <c r="AF599" s="5" t="s">
        <v>2179</v>
      </c>
      <c r="AG599" s="5" t="s">
        <v>2180</v>
      </c>
      <c r="AH599" s="5" t="s">
        <v>2179</v>
      </c>
      <c r="AI599" s="5" t="s">
        <v>252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2.2679999999999998</v>
      </c>
      <c r="AP599" s="5">
        <v>4.2000000000000003E-2</v>
      </c>
      <c r="AQ599" s="5" t="s">
        <v>713</v>
      </c>
      <c r="AR599" s="5" t="s">
        <v>1104</v>
      </c>
      <c r="AS599" s="5" t="s">
        <v>713</v>
      </c>
      <c r="AT599" s="6">
        <v>43815</v>
      </c>
      <c r="AU599" s="5" t="s">
        <v>3791</v>
      </c>
      <c r="AV599" s="5">
        <v>347</v>
      </c>
      <c r="AW599" s="5" t="s">
        <v>3792</v>
      </c>
    </row>
    <row r="600" spans="1:49" x14ac:dyDescent="0.55000000000000004">
      <c r="A600" s="5" t="str">
        <f>HYPERLINK("https://www.infodis.net/philips/net/Shipment/Details?InfodisNumber=1506046&amp;DomainCode=PHILIPSM1", "1506046")</f>
        <v>1506046</v>
      </c>
      <c r="B600" s="5" t="s">
        <v>4295</v>
      </c>
      <c r="C600" s="5" t="s">
        <v>2491</v>
      </c>
      <c r="D600" s="5" t="s">
        <v>2492</v>
      </c>
      <c r="E600" s="5" t="s">
        <v>2491</v>
      </c>
      <c r="F600" s="5" t="s">
        <v>4296</v>
      </c>
      <c r="G600" s="5" t="s">
        <v>1431</v>
      </c>
      <c r="H600" s="5" t="s">
        <v>180</v>
      </c>
      <c r="I600" s="5" t="s">
        <v>2494</v>
      </c>
      <c r="J600" s="5" t="s">
        <v>1988</v>
      </c>
      <c r="K600" s="5" t="s">
        <v>4297</v>
      </c>
      <c r="L600" s="5" t="s">
        <v>1987</v>
      </c>
      <c r="M600" s="5" t="s">
        <v>60</v>
      </c>
      <c r="N600" s="5"/>
      <c r="O600" s="5"/>
      <c r="P600" s="5" t="s">
        <v>1434</v>
      </c>
      <c r="Q600" s="5" t="s">
        <v>4298</v>
      </c>
      <c r="R600" s="5"/>
      <c r="S600" s="6">
        <v>44089</v>
      </c>
      <c r="T600" s="6">
        <v>44089</v>
      </c>
      <c r="U600" s="6">
        <v>44089</v>
      </c>
      <c r="V600" s="6">
        <v>44089</v>
      </c>
      <c r="W600" s="6">
        <v>44098</v>
      </c>
      <c r="X600" s="5"/>
      <c r="Y600" s="5" t="s">
        <v>2387</v>
      </c>
      <c r="Z600" s="5" t="s">
        <v>2387</v>
      </c>
      <c r="AA600" s="5" t="s">
        <v>603</v>
      </c>
      <c r="AB600" s="5" t="s">
        <v>67</v>
      </c>
      <c r="AC600" s="5" t="s">
        <v>67</v>
      </c>
      <c r="AD600" s="5" t="s">
        <v>68</v>
      </c>
      <c r="AE600" s="5"/>
      <c r="AF600" s="5" t="s">
        <v>2499</v>
      </c>
      <c r="AG600" s="5" t="s">
        <v>2500</v>
      </c>
      <c r="AH600" s="5" t="s">
        <v>2499</v>
      </c>
      <c r="AI600" s="5" t="s">
        <v>605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160.6</v>
      </c>
      <c r="AP600" s="5">
        <v>2.2610000000000001</v>
      </c>
      <c r="AQ600" s="5" t="s">
        <v>713</v>
      </c>
      <c r="AR600" s="5" t="s">
        <v>1104</v>
      </c>
      <c r="AS600" s="5"/>
      <c r="AT600" s="5"/>
      <c r="AU600" s="5"/>
      <c r="AV600" s="5">
        <v>-1</v>
      </c>
      <c r="AW600" s="5" t="s">
        <v>3752</v>
      </c>
    </row>
    <row r="601" spans="1:49" x14ac:dyDescent="0.55000000000000004">
      <c r="A601" s="5" t="str">
        <f>HYPERLINK("https://www.infodis.net/philips/net/Shipment/Details?InfodisNumber=6389970&amp;DomainCode=PHILIPSR1", "6389970")</f>
        <v>6389970</v>
      </c>
      <c r="B601" s="5" t="s">
        <v>4299</v>
      </c>
      <c r="C601" s="5" t="s">
        <v>2426</v>
      </c>
      <c r="D601" s="5" t="s">
        <v>2427</v>
      </c>
      <c r="E601" s="5" t="s">
        <v>458</v>
      </c>
      <c r="F601" s="5" t="s">
        <v>2679</v>
      </c>
      <c r="G601" s="5" t="s">
        <v>610</v>
      </c>
      <c r="H601" s="5" t="s">
        <v>180</v>
      </c>
      <c r="I601" s="5" t="s">
        <v>652</v>
      </c>
      <c r="J601" s="5" t="s">
        <v>2495</v>
      </c>
      <c r="K601" s="5" t="s">
        <v>2496</v>
      </c>
      <c r="L601" s="5" t="s">
        <v>73</v>
      </c>
      <c r="M601" s="5" t="s">
        <v>84</v>
      </c>
      <c r="N601" s="5"/>
      <c r="O601" s="5"/>
      <c r="P601" s="5" t="s">
        <v>613</v>
      </c>
      <c r="Q601" s="5" t="s">
        <v>4300</v>
      </c>
      <c r="R601" s="5" t="s">
        <v>2495</v>
      </c>
      <c r="S601" s="6">
        <v>43928</v>
      </c>
      <c r="T601" s="6">
        <v>43929</v>
      </c>
      <c r="U601" s="6">
        <v>43928</v>
      </c>
      <c r="V601" s="6">
        <v>43932</v>
      </c>
      <c r="W601" s="6">
        <v>43935</v>
      </c>
      <c r="X601" s="5"/>
      <c r="Y601" s="5" t="s">
        <v>2476</v>
      </c>
      <c r="Z601" s="5" t="s">
        <v>2476</v>
      </c>
      <c r="AA601" s="5" t="s">
        <v>66</v>
      </c>
      <c r="AB601" s="5" t="s">
        <v>67</v>
      </c>
      <c r="AC601" s="5" t="s">
        <v>67</v>
      </c>
      <c r="AD601" s="5" t="s">
        <v>68</v>
      </c>
      <c r="AE601" s="5"/>
      <c r="AF601" s="5" t="s">
        <v>2179</v>
      </c>
      <c r="AG601" s="5" t="s">
        <v>2180</v>
      </c>
      <c r="AH601" s="5" t="s">
        <v>2179</v>
      </c>
      <c r="AI601" s="5" t="s">
        <v>252</v>
      </c>
      <c r="AJ601" s="5">
        <v>0</v>
      </c>
      <c r="AK601" s="5">
        <v>0</v>
      </c>
      <c r="AL601" s="5">
        <v>0</v>
      </c>
      <c r="AM601" s="5">
        <v>0</v>
      </c>
      <c r="AN601" s="5">
        <v>1</v>
      </c>
      <c r="AO601" s="5">
        <v>61.23</v>
      </c>
      <c r="AP601" s="5">
        <v>0.56000000000000005</v>
      </c>
      <c r="AQ601" s="5" t="s">
        <v>713</v>
      </c>
      <c r="AR601" s="5" t="s">
        <v>1104</v>
      </c>
      <c r="AS601" s="5" t="s">
        <v>713</v>
      </c>
      <c r="AT601" s="5"/>
      <c r="AU601" s="5"/>
      <c r="AV601" s="5">
        <v>-1</v>
      </c>
      <c r="AW601" s="5" t="s">
        <v>4301</v>
      </c>
    </row>
    <row r="602" spans="1:49" x14ac:dyDescent="0.55000000000000004">
      <c r="A602" s="5" t="str">
        <f>HYPERLINK("https://www.infodis.net/philips/net/Shipment/Details?InfodisNumber=6302419&amp;DomainCode=PHILIPSR1", "6302419")</f>
        <v>6302419</v>
      </c>
      <c r="B602" s="5" t="s">
        <v>4302</v>
      </c>
      <c r="C602" s="5" t="s">
        <v>2426</v>
      </c>
      <c r="D602" s="5" t="s">
        <v>2427</v>
      </c>
      <c r="E602" s="5" t="s">
        <v>458</v>
      </c>
      <c r="F602" s="5" t="s">
        <v>2679</v>
      </c>
      <c r="G602" s="5" t="s">
        <v>610</v>
      </c>
      <c r="H602" s="5" t="s">
        <v>180</v>
      </c>
      <c r="I602" s="5" t="s">
        <v>652</v>
      </c>
      <c r="J602" s="5" t="s">
        <v>2495</v>
      </c>
      <c r="K602" s="5" t="s">
        <v>2496</v>
      </c>
      <c r="L602" s="5" t="s">
        <v>73</v>
      </c>
      <c r="M602" s="5" t="s">
        <v>84</v>
      </c>
      <c r="N602" s="5"/>
      <c r="O602" s="5"/>
      <c r="P602" s="5" t="s">
        <v>613</v>
      </c>
      <c r="Q602" s="5" t="s">
        <v>4303</v>
      </c>
      <c r="R602" s="5" t="s">
        <v>2495</v>
      </c>
      <c r="S602" s="6">
        <v>43899</v>
      </c>
      <c r="T602" s="6">
        <v>43900</v>
      </c>
      <c r="U602" s="6">
        <v>43899</v>
      </c>
      <c r="V602" s="6">
        <v>43903</v>
      </c>
      <c r="W602" s="6">
        <v>43905</v>
      </c>
      <c r="X602" s="5"/>
      <c r="Y602" s="5" t="s">
        <v>2476</v>
      </c>
      <c r="Z602" s="5" t="s">
        <v>2476</v>
      </c>
      <c r="AA602" s="5" t="s">
        <v>66</v>
      </c>
      <c r="AB602" s="5" t="s">
        <v>67</v>
      </c>
      <c r="AC602" s="5" t="s">
        <v>67</v>
      </c>
      <c r="AD602" s="5" t="s">
        <v>68</v>
      </c>
      <c r="AE602" s="5"/>
      <c r="AF602" s="5" t="s">
        <v>2179</v>
      </c>
      <c r="AG602" s="5" t="s">
        <v>2180</v>
      </c>
      <c r="AH602" s="5" t="s">
        <v>2179</v>
      </c>
      <c r="AI602" s="5" t="s">
        <v>252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9.5299999999999994</v>
      </c>
      <c r="AP602" s="5">
        <v>0.14000000000000001</v>
      </c>
      <c r="AQ602" s="5" t="s">
        <v>713</v>
      </c>
      <c r="AR602" s="5" t="s">
        <v>1104</v>
      </c>
      <c r="AS602" s="5" t="s">
        <v>713</v>
      </c>
      <c r="AT602" s="5"/>
      <c r="AU602" s="5"/>
      <c r="AV602" s="5">
        <v>-1</v>
      </c>
      <c r="AW602" s="5" t="s">
        <v>4304</v>
      </c>
    </row>
    <row r="603" spans="1:49" x14ac:dyDescent="0.55000000000000004">
      <c r="A603" s="5" t="str">
        <f>HYPERLINK("https://www.infodis.net/philips/net/Shipment/Details?InfodisNumber=1307160&amp;DomainCode=PHILIPSM1", "1307160")</f>
        <v>1307160</v>
      </c>
      <c r="B603" s="5" t="s">
        <v>4305</v>
      </c>
      <c r="C603" s="5" t="s">
        <v>2080</v>
      </c>
      <c r="D603" s="5" t="s">
        <v>2081</v>
      </c>
      <c r="E603" s="5" t="s">
        <v>3517</v>
      </c>
      <c r="F603" s="5" t="s">
        <v>2562</v>
      </c>
      <c r="G603" s="5" t="s">
        <v>1430</v>
      </c>
      <c r="H603" s="5" t="s">
        <v>244</v>
      </c>
      <c r="I603" s="5" t="s">
        <v>2084</v>
      </c>
      <c r="J603" s="5" t="s">
        <v>2553</v>
      </c>
      <c r="K603" s="5" t="s">
        <v>2554</v>
      </c>
      <c r="L603" s="5" t="s">
        <v>846</v>
      </c>
      <c r="M603" s="5" t="s">
        <v>133</v>
      </c>
      <c r="N603" s="5"/>
      <c r="O603" s="5"/>
      <c r="P603" s="5" t="s">
        <v>1432</v>
      </c>
      <c r="Q603" s="5"/>
      <c r="R603" s="5" t="s">
        <v>1557</v>
      </c>
      <c r="S603" s="6">
        <v>43899</v>
      </c>
      <c r="T603" s="6">
        <v>43899</v>
      </c>
      <c r="U603" s="5"/>
      <c r="V603" s="6">
        <v>43899</v>
      </c>
      <c r="W603" s="5"/>
      <c r="X603" s="5"/>
      <c r="Y603" s="5" t="s">
        <v>2518</v>
      </c>
      <c r="Z603" s="5" t="s">
        <v>2518</v>
      </c>
      <c r="AA603" s="5" t="s">
        <v>603</v>
      </c>
      <c r="AB603" s="5" t="s">
        <v>67</v>
      </c>
      <c r="AC603" s="5" t="s">
        <v>67</v>
      </c>
      <c r="AD603" s="5" t="s">
        <v>68</v>
      </c>
      <c r="AE603" s="5"/>
      <c r="AF603" s="5" t="s">
        <v>2388</v>
      </c>
      <c r="AG603" s="5" t="s">
        <v>2389</v>
      </c>
      <c r="AH603" s="5" t="s">
        <v>2388</v>
      </c>
      <c r="AI603" s="5" t="s">
        <v>605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0.7</v>
      </c>
      <c r="AP603" s="5">
        <v>-1</v>
      </c>
      <c r="AQ603" s="5" t="s">
        <v>713</v>
      </c>
      <c r="AR603" s="5" t="s">
        <v>1104</v>
      </c>
      <c r="AS603" s="5" t="s">
        <v>713</v>
      </c>
      <c r="AT603" s="6">
        <v>43991</v>
      </c>
      <c r="AU603" s="5" t="s">
        <v>4108</v>
      </c>
      <c r="AV603" s="5">
        <v>171</v>
      </c>
      <c r="AW603" s="5" t="s">
        <v>4306</v>
      </c>
    </row>
    <row r="604" spans="1:49" x14ac:dyDescent="0.55000000000000004">
      <c r="A604" s="5" t="str">
        <f>HYPERLINK("https://www.infodis.net/philips/net/Shipment/Details?InfodisNumber=1506048&amp;DomainCode=PHILIPSM1", "1506048")</f>
        <v>1506048</v>
      </c>
      <c r="B604" s="5" t="s">
        <v>4307</v>
      </c>
      <c r="C604" s="5" t="s">
        <v>2491</v>
      </c>
      <c r="D604" s="5" t="s">
        <v>2492</v>
      </c>
      <c r="E604" s="5" t="s">
        <v>2491</v>
      </c>
      <c r="F604" s="5" t="s">
        <v>4296</v>
      </c>
      <c r="G604" s="5" t="s">
        <v>1431</v>
      </c>
      <c r="H604" s="5" t="s">
        <v>180</v>
      </c>
      <c r="I604" s="5" t="s">
        <v>2494</v>
      </c>
      <c r="J604" s="5" t="s">
        <v>1988</v>
      </c>
      <c r="K604" s="5" t="s">
        <v>4297</v>
      </c>
      <c r="L604" s="5" t="s">
        <v>1987</v>
      </c>
      <c r="M604" s="5" t="s">
        <v>60</v>
      </c>
      <c r="N604" s="5"/>
      <c r="O604" s="5"/>
      <c r="P604" s="5" t="s">
        <v>1434</v>
      </c>
      <c r="Q604" s="5" t="s">
        <v>4308</v>
      </c>
      <c r="R604" s="5"/>
      <c r="S604" s="6">
        <v>44089</v>
      </c>
      <c r="T604" s="6">
        <v>44089</v>
      </c>
      <c r="U604" s="6">
        <v>44089</v>
      </c>
      <c r="V604" s="6">
        <v>44092</v>
      </c>
      <c r="W604" s="6">
        <v>44098</v>
      </c>
      <c r="X604" s="5"/>
      <c r="Y604" s="5" t="s">
        <v>2387</v>
      </c>
      <c r="Z604" s="5" t="s">
        <v>2387</v>
      </c>
      <c r="AA604" s="5" t="s">
        <v>603</v>
      </c>
      <c r="AB604" s="5" t="s">
        <v>67</v>
      </c>
      <c r="AC604" s="5" t="s">
        <v>67</v>
      </c>
      <c r="AD604" s="5" t="s">
        <v>68</v>
      </c>
      <c r="AE604" s="5"/>
      <c r="AF604" s="5" t="s">
        <v>2179</v>
      </c>
      <c r="AG604" s="5" t="s">
        <v>2180</v>
      </c>
      <c r="AH604" s="5" t="s">
        <v>2179</v>
      </c>
      <c r="AI604" s="5" t="s">
        <v>605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137.9</v>
      </c>
      <c r="AP604" s="5">
        <v>1.702</v>
      </c>
      <c r="AQ604" s="5" t="s">
        <v>713</v>
      </c>
      <c r="AR604" s="5" t="s">
        <v>1104</v>
      </c>
      <c r="AS604" s="5"/>
      <c r="AT604" s="5"/>
      <c r="AU604" s="5"/>
      <c r="AV604" s="5">
        <v>-1</v>
      </c>
      <c r="AW604" s="5" t="s">
        <v>3752</v>
      </c>
    </row>
    <row r="605" spans="1:49" x14ac:dyDescent="0.55000000000000004">
      <c r="A605" s="5" t="str">
        <f>HYPERLINK("https://www.infodis.net/philips/net/Shipment/Details?InfodisNumber=1302357&amp;DomainCode=PHILIPSM1", "1302357")</f>
        <v>1302357</v>
      </c>
      <c r="B605" s="5" t="s">
        <v>4309</v>
      </c>
      <c r="C605" s="5" t="s">
        <v>2353</v>
      </c>
      <c r="D605" s="5" t="s">
        <v>2354</v>
      </c>
      <c r="E605" s="5" t="s">
        <v>2353</v>
      </c>
      <c r="F605" s="5" t="s">
        <v>4310</v>
      </c>
      <c r="G605" s="5" t="s">
        <v>667</v>
      </c>
      <c r="H605" s="5" t="s">
        <v>79</v>
      </c>
      <c r="I605" s="5" t="s">
        <v>1813</v>
      </c>
      <c r="J605" s="5" t="s">
        <v>2084</v>
      </c>
      <c r="K605" s="5" t="s">
        <v>1430</v>
      </c>
      <c r="L605" s="5" t="s">
        <v>244</v>
      </c>
      <c r="M605" s="5" t="s">
        <v>60</v>
      </c>
      <c r="N605" s="5"/>
      <c r="O605" s="5"/>
      <c r="P605" s="5" t="s">
        <v>1853</v>
      </c>
      <c r="Q605" s="5" t="s">
        <v>4311</v>
      </c>
      <c r="R605" s="5" t="s">
        <v>1432</v>
      </c>
      <c r="S605" s="6">
        <v>43894</v>
      </c>
      <c r="T605" s="6">
        <v>43894</v>
      </c>
      <c r="U605" s="6">
        <v>43894</v>
      </c>
      <c r="V605" s="6">
        <v>43897</v>
      </c>
      <c r="W605" s="6">
        <v>43895</v>
      </c>
      <c r="X605" s="5"/>
      <c r="Y605" s="5" t="s">
        <v>2359</v>
      </c>
      <c r="Z605" s="5" t="s">
        <v>2359</v>
      </c>
      <c r="AA605" s="5" t="s">
        <v>2359</v>
      </c>
      <c r="AB605" s="5" t="s">
        <v>67</v>
      </c>
      <c r="AC605" s="5" t="s">
        <v>67</v>
      </c>
      <c r="AD605" s="5" t="s">
        <v>67</v>
      </c>
      <c r="AE605" s="5"/>
      <c r="AF605" s="5" t="s">
        <v>2179</v>
      </c>
      <c r="AG605" s="5" t="s">
        <v>2180</v>
      </c>
      <c r="AH605" s="5" t="s">
        <v>2179</v>
      </c>
      <c r="AI605" s="5" t="s">
        <v>605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67</v>
      </c>
      <c r="AP605" s="5">
        <v>0.67200000000000004</v>
      </c>
      <c r="AQ605" s="5" t="s">
        <v>713</v>
      </c>
      <c r="AR605" s="5" t="s">
        <v>1104</v>
      </c>
      <c r="AS605" s="5"/>
      <c r="AT605" s="5"/>
      <c r="AU605" s="5"/>
      <c r="AV605" s="5">
        <v>-1</v>
      </c>
      <c r="AW605" s="5" t="s">
        <v>1269</v>
      </c>
    </row>
    <row r="606" spans="1:49" x14ac:dyDescent="0.55000000000000004">
      <c r="A606" s="5" t="str">
        <f>HYPERLINK("https://www.infodis.net/philips/net/Shipment/Details?InfodisNumber=4436508&amp;DomainCode=DAP", "4436508")</f>
        <v>4436508</v>
      </c>
      <c r="B606" s="5" t="s">
        <v>4312</v>
      </c>
      <c r="C606" s="5" t="s">
        <v>3683</v>
      </c>
      <c r="D606" s="5" t="s">
        <v>3684</v>
      </c>
      <c r="E606" s="5" t="s">
        <v>3685</v>
      </c>
      <c r="F606" s="5" t="s">
        <v>3686</v>
      </c>
      <c r="G606" s="5" t="s">
        <v>354</v>
      </c>
      <c r="H606" s="5" t="s">
        <v>79</v>
      </c>
      <c r="I606" s="5" t="s">
        <v>1813</v>
      </c>
      <c r="J606" s="5" t="s">
        <v>652</v>
      </c>
      <c r="K606" s="5" t="s">
        <v>2377</v>
      </c>
      <c r="L606" s="5" t="s">
        <v>180</v>
      </c>
      <c r="M606" s="5" t="s">
        <v>1489</v>
      </c>
      <c r="N606" s="5"/>
      <c r="O606" s="5"/>
      <c r="P606" s="5" t="s">
        <v>3687</v>
      </c>
      <c r="Q606" s="5"/>
      <c r="R606" s="5" t="s">
        <v>2380</v>
      </c>
      <c r="S606" s="6">
        <v>43958</v>
      </c>
      <c r="T606" s="6">
        <v>43963</v>
      </c>
      <c r="U606" s="6">
        <v>43965</v>
      </c>
      <c r="V606" s="6">
        <v>43966</v>
      </c>
      <c r="W606" s="6">
        <v>43966</v>
      </c>
      <c r="X606" s="6">
        <v>43980</v>
      </c>
      <c r="Y606" s="5" t="s">
        <v>2476</v>
      </c>
      <c r="Z606" s="5" t="s">
        <v>2476</v>
      </c>
      <c r="AA606" s="5" t="s">
        <v>2476</v>
      </c>
      <c r="AB606" s="5" t="s">
        <v>67</v>
      </c>
      <c r="AC606" s="5" t="s">
        <v>67</v>
      </c>
      <c r="AD606" s="5" t="s">
        <v>67</v>
      </c>
      <c r="AE606" s="5"/>
      <c r="AF606" s="5" t="s">
        <v>2179</v>
      </c>
      <c r="AG606" s="5" t="s">
        <v>2180</v>
      </c>
      <c r="AH606" s="5" t="s">
        <v>2179</v>
      </c>
      <c r="AI606" s="5" t="s">
        <v>73</v>
      </c>
      <c r="AJ606" s="5">
        <v>0</v>
      </c>
      <c r="AK606" s="5">
        <v>0</v>
      </c>
      <c r="AL606" s="5">
        <v>0</v>
      </c>
      <c r="AM606" s="5">
        <v>0</v>
      </c>
      <c r="AN606" s="5">
        <v>1</v>
      </c>
      <c r="AO606" s="5">
        <v>174.71</v>
      </c>
      <c r="AP606" s="5">
        <v>0.88</v>
      </c>
      <c r="AQ606" s="5" t="s">
        <v>713</v>
      </c>
      <c r="AR606" s="5" t="s">
        <v>1104</v>
      </c>
      <c r="AS606" s="5"/>
      <c r="AT606" s="5"/>
      <c r="AU606" s="5"/>
      <c r="AV606" s="5">
        <v>-1</v>
      </c>
      <c r="AW606" s="5" t="s">
        <v>4313</v>
      </c>
    </row>
    <row r="607" spans="1:49" x14ac:dyDescent="0.55000000000000004">
      <c r="A607" s="5" t="str">
        <f>HYPERLINK("https://www.infodis.net/philips/net/Shipment/Details?InfodisNumber=6034041&amp;DomainCode=PHILIPSR1", "6034041")</f>
        <v>6034041</v>
      </c>
      <c r="B607" s="5" t="s">
        <v>4314</v>
      </c>
      <c r="C607" s="5" t="s">
        <v>2426</v>
      </c>
      <c r="D607" s="5" t="s">
        <v>2427</v>
      </c>
      <c r="E607" s="5" t="s">
        <v>458</v>
      </c>
      <c r="F607" s="5" t="s">
        <v>2679</v>
      </c>
      <c r="G607" s="5" t="s">
        <v>610</v>
      </c>
      <c r="H607" s="5" t="s">
        <v>180</v>
      </c>
      <c r="I607" s="5" t="s">
        <v>652</v>
      </c>
      <c r="J607" s="5" t="s">
        <v>2495</v>
      </c>
      <c r="K607" s="5" t="s">
        <v>2496</v>
      </c>
      <c r="L607" s="5" t="s">
        <v>73</v>
      </c>
      <c r="M607" s="5" t="s">
        <v>84</v>
      </c>
      <c r="N607" s="5"/>
      <c r="O607" s="5"/>
      <c r="P607" s="5" t="s">
        <v>613</v>
      </c>
      <c r="Q607" s="5"/>
      <c r="R607" s="5" t="s">
        <v>2495</v>
      </c>
      <c r="S607" s="6">
        <v>43804</v>
      </c>
      <c r="T607" s="6">
        <v>43805</v>
      </c>
      <c r="U607" s="6">
        <v>43803</v>
      </c>
      <c r="V607" s="6">
        <v>43806</v>
      </c>
      <c r="W607" s="6">
        <v>43805</v>
      </c>
      <c r="X607" s="5"/>
      <c r="Y607" s="5" t="s">
        <v>2476</v>
      </c>
      <c r="Z607" s="5" t="s">
        <v>2476</v>
      </c>
      <c r="AA607" s="5" t="s">
        <v>66</v>
      </c>
      <c r="AB607" s="5" t="s">
        <v>67</v>
      </c>
      <c r="AC607" s="5" t="s">
        <v>67</v>
      </c>
      <c r="AD607" s="5" t="s">
        <v>68</v>
      </c>
      <c r="AE607" s="5"/>
      <c r="AF607" s="5" t="s">
        <v>2610</v>
      </c>
      <c r="AG607" s="5" t="s">
        <v>2611</v>
      </c>
      <c r="AH607" s="5" t="s">
        <v>2610</v>
      </c>
      <c r="AI607" s="5" t="s">
        <v>252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5.9</v>
      </c>
      <c r="AP607" s="5">
        <v>4.0999999999999988E-2</v>
      </c>
      <c r="AQ607" s="5" t="s">
        <v>713</v>
      </c>
      <c r="AR607" s="5" t="s">
        <v>1104</v>
      </c>
      <c r="AS607" s="5" t="s">
        <v>713</v>
      </c>
      <c r="AT607" s="6">
        <v>43817</v>
      </c>
      <c r="AU607" s="5" t="s">
        <v>4315</v>
      </c>
      <c r="AV607" s="5">
        <v>345</v>
      </c>
      <c r="AW607" s="5" t="s">
        <v>4316</v>
      </c>
    </row>
    <row r="608" spans="1:49" x14ac:dyDescent="0.55000000000000004">
      <c r="A608" s="5" t="str">
        <f>HYPERLINK("https://www.infodis.net/philips/net/Shipment/Details?InfodisNumber=1323579&amp;DomainCode=PHILIPSM1", "1323579")</f>
        <v>1323579</v>
      </c>
      <c r="B608" s="5" t="s">
        <v>4317</v>
      </c>
      <c r="C608" s="5" t="s">
        <v>2080</v>
      </c>
      <c r="D608" s="5" t="s">
        <v>2081</v>
      </c>
      <c r="E608" s="5" t="s">
        <v>3517</v>
      </c>
      <c r="F608" s="5" t="s">
        <v>2562</v>
      </c>
      <c r="G608" s="5" t="s">
        <v>1430</v>
      </c>
      <c r="H608" s="5" t="s">
        <v>244</v>
      </c>
      <c r="I608" s="5" t="s">
        <v>2084</v>
      </c>
      <c r="J608" s="5" t="s">
        <v>2553</v>
      </c>
      <c r="K608" s="5" t="s">
        <v>2554</v>
      </c>
      <c r="L608" s="5" t="s">
        <v>846</v>
      </c>
      <c r="M608" s="5" t="s">
        <v>133</v>
      </c>
      <c r="N608" s="5"/>
      <c r="O608" s="5"/>
      <c r="P608" s="5" t="s">
        <v>1432</v>
      </c>
      <c r="Q608" s="5"/>
      <c r="R608" s="5" t="s">
        <v>1557</v>
      </c>
      <c r="S608" s="6">
        <v>43914</v>
      </c>
      <c r="T608" s="6">
        <v>43914</v>
      </c>
      <c r="U608" s="5"/>
      <c r="V608" s="6">
        <v>43914</v>
      </c>
      <c r="W608" s="6">
        <v>43944</v>
      </c>
      <c r="X608" s="5"/>
      <c r="Y608" s="5" t="s">
        <v>2518</v>
      </c>
      <c r="Z608" s="5" t="s">
        <v>2518</v>
      </c>
      <c r="AA608" s="5" t="s">
        <v>603</v>
      </c>
      <c r="AB608" s="5" t="s">
        <v>67</v>
      </c>
      <c r="AC608" s="5" t="s">
        <v>67</v>
      </c>
      <c r="AD608" s="5" t="s">
        <v>68</v>
      </c>
      <c r="AE608" s="5"/>
      <c r="AF608" s="5" t="s">
        <v>2388</v>
      </c>
      <c r="AG608" s="5" t="s">
        <v>2389</v>
      </c>
      <c r="AH608" s="5" t="s">
        <v>2388</v>
      </c>
      <c r="AI608" s="5" t="s">
        <v>605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0.7</v>
      </c>
      <c r="AP608" s="5">
        <v>-1</v>
      </c>
      <c r="AQ608" s="5" t="s">
        <v>713</v>
      </c>
      <c r="AR608" s="5" t="s">
        <v>1104</v>
      </c>
      <c r="AS608" s="5" t="s">
        <v>713</v>
      </c>
      <c r="AT608" s="6">
        <v>43991</v>
      </c>
      <c r="AU608" s="5" t="s">
        <v>4108</v>
      </c>
      <c r="AV608" s="5">
        <v>171</v>
      </c>
      <c r="AW608" s="5" t="s">
        <v>4109</v>
      </c>
    </row>
    <row r="609" spans="1:49" x14ac:dyDescent="0.55000000000000004">
      <c r="A609" s="5" t="str">
        <f>HYPERLINK("https://www.infodis.net/philips/net/Shipment/Details?InfodisNumber=1307531&amp;DomainCode=PHILIPSM1", "1307531")</f>
        <v>1307531</v>
      </c>
      <c r="B609" s="5" t="s">
        <v>4318</v>
      </c>
      <c r="C609" s="5" t="s">
        <v>2539</v>
      </c>
      <c r="D609" s="5" t="s">
        <v>2540</v>
      </c>
      <c r="E609" s="5" t="s">
        <v>2539</v>
      </c>
      <c r="F609" s="5" t="s">
        <v>4319</v>
      </c>
      <c r="G609" s="5" t="s">
        <v>4320</v>
      </c>
      <c r="H609" s="5" t="s">
        <v>180</v>
      </c>
      <c r="I609" s="5" t="s">
        <v>652</v>
      </c>
      <c r="J609" s="5" t="s">
        <v>2084</v>
      </c>
      <c r="K609" s="5" t="s">
        <v>1430</v>
      </c>
      <c r="L609" s="5" t="s">
        <v>244</v>
      </c>
      <c r="M609" s="5" t="s">
        <v>60</v>
      </c>
      <c r="N609" s="5"/>
      <c r="O609" s="5"/>
      <c r="P609" s="5" t="s">
        <v>2545</v>
      </c>
      <c r="Q609" s="5"/>
      <c r="R609" s="5" t="s">
        <v>1432</v>
      </c>
      <c r="S609" s="6">
        <v>43899</v>
      </c>
      <c r="T609" s="6">
        <v>43900</v>
      </c>
      <c r="U609" s="5"/>
      <c r="V609" s="6">
        <v>43903</v>
      </c>
      <c r="W609" s="5"/>
      <c r="X609" s="5"/>
      <c r="Y609" s="5" t="s">
        <v>2387</v>
      </c>
      <c r="Z609" s="5" t="s">
        <v>2387</v>
      </c>
      <c r="AA609" s="5" t="s">
        <v>2387</v>
      </c>
      <c r="AB609" s="5" t="s">
        <v>67</v>
      </c>
      <c r="AC609" s="5" t="s">
        <v>67</v>
      </c>
      <c r="AD609" s="5" t="s">
        <v>67</v>
      </c>
      <c r="AE609" s="5"/>
      <c r="AF609" s="5" t="s">
        <v>2179</v>
      </c>
      <c r="AG609" s="5" t="s">
        <v>2180</v>
      </c>
      <c r="AH609" s="5" t="s">
        <v>2179</v>
      </c>
      <c r="AI609" s="5" t="s">
        <v>605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113.4</v>
      </c>
      <c r="AP609" s="5">
        <v>4.3889999999999993</v>
      </c>
      <c r="AQ609" s="5" t="s">
        <v>713</v>
      </c>
      <c r="AR609" s="5" t="s">
        <v>1104</v>
      </c>
      <c r="AS609" s="5" t="s">
        <v>713</v>
      </c>
      <c r="AT609" s="5"/>
      <c r="AU609" s="5"/>
      <c r="AV609" s="5">
        <v>-1</v>
      </c>
      <c r="AW609" s="5" t="s">
        <v>3934</v>
      </c>
    </row>
    <row r="610" spans="1:49" x14ac:dyDescent="0.55000000000000004">
      <c r="A610" s="5" t="str">
        <f>HYPERLINK("https://www.infodis.net/philips/net/Shipment/Details?InfodisNumber=5874846&amp;DomainCode=PHILIPSR1", "5874846")</f>
        <v>5874846</v>
      </c>
      <c r="B610" s="5" t="s">
        <v>4321</v>
      </c>
      <c r="C610" s="5" t="s">
        <v>2580</v>
      </c>
      <c r="D610" s="5" t="s">
        <v>2581</v>
      </c>
      <c r="E610" s="5" t="s">
        <v>1187</v>
      </c>
      <c r="F610" s="5" t="s">
        <v>4322</v>
      </c>
      <c r="G610" s="5" t="s">
        <v>880</v>
      </c>
      <c r="H610" s="5" t="s">
        <v>881</v>
      </c>
      <c r="I610" s="5" t="s">
        <v>4323</v>
      </c>
      <c r="J610" s="5" t="s">
        <v>1071</v>
      </c>
      <c r="K610" s="5" t="s">
        <v>58</v>
      </c>
      <c r="L610" s="5" t="s">
        <v>59</v>
      </c>
      <c r="M610" s="5" t="s">
        <v>133</v>
      </c>
      <c r="N610" s="5"/>
      <c r="O610" s="5"/>
      <c r="P610" s="5" t="s">
        <v>888</v>
      </c>
      <c r="Q610" s="5"/>
      <c r="R610" s="5" t="s">
        <v>4324</v>
      </c>
      <c r="S610" s="6">
        <v>43733</v>
      </c>
      <c r="T610" s="6">
        <v>43735</v>
      </c>
      <c r="U610" s="5"/>
      <c r="V610" s="6">
        <v>43740</v>
      </c>
      <c r="W610" s="5"/>
      <c r="X610" s="5"/>
      <c r="Y610" s="5" t="s">
        <v>66</v>
      </c>
      <c r="Z610" s="5" t="s">
        <v>66</v>
      </c>
      <c r="AA610" s="5" t="s">
        <v>66</v>
      </c>
      <c r="AB610" s="5" t="s">
        <v>67</v>
      </c>
      <c r="AC610" s="5" t="s">
        <v>67</v>
      </c>
      <c r="AD610" s="5" t="s">
        <v>67</v>
      </c>
      <c r="AE610" s="5"/>
      <c r="AF610" s="5" t="s">
        <v>2399</v>
      </c>
      <c r="AG610" s="5" t="s">
        <v>2400</v>
      </c>
      <c r="AH610" s="5" t="s">
        <v>2399</v>
      </c>
      <c r="AI610" s="5" t="s">
        <v>252</v>
      </c>
      <c r="AJ610" s="5">
        <v>0</v>
      </c>
      <c r="AK610" s="5">
        <v>0</v>
      </c>
      <c r="AL610" s="5">
        <v>0</v>
      </c>
      <c r="AM610" s="5">
        <v>0</v>
      </c>
      <c r="AN610" s="5">
        <v>2</v>
      </c>
      <c r="AO610" s="5">
        <v>255</v>
      </c>
      <c r="AP610" s="5">
        <v>2.7839999999999998</v>
      </c>
      <c r="AQ610" s="5" t="s">
        <v>713</v>
      </c>
      <c r="AR610" s="5" t="s">
        <v>1104</v>
      </c>
      <c r="AS610" s="5"/>
      <c r="AT610" s="5"/>
      <c r="AU610" s="5"/>
      <c r="AV610" s="5">
        <v>-1</v>
      </c>
      <c r="AW610" s="5" t="s">
        <v>3981</v>
      </c>
    </row>
    <row r="611" spans="1:49" x14ac:dyDescent="0.55000000000000004">
      <c r="A611" s="5" t="str">
        <f>HYPERLINK("https://www.infodis.net/philips/net/Shipment/Details?InfodisNumber=4513586&amp;DomainCode=DAP", "4513586")</f>
        <v>4513586</v>
      </c>
      <c r="B611" s="5" t="s">
        <v>4325</v>
      </c>
      <c r="C611" s="5" t="s">
        <v>3267</v>
      </c>
      <c r="D611" s="5" t="s">
        <v>3268</v>
      </c>
      <c r="E611" s="5" t="s">
        <v>304</v>
      </c>
      <c r="F611" s="5" t="s">
        <v>393</v>
      </c>
      <c r="G611" s="5" t="s">
        <v>3269</v>
      </c>
      <c r="H611" s="5" t="s">
        <v>55</v>
      </c>
      <c r="I611" s="5" t="s">
        <v>2367</v>
      </c>
      <c r="J611" s="5" t="s">
        <v>268</v>
      </c>
      <c r="K611" s="5" t="s">
        <v>3270</v>
      </c>
      <c r="L611" s="5" t="s">
        <v>267</v>
      </c>
      <c r="M611" s="5" t="s">
        <v>84</v>
      </c>
      <c r="N611" s="5"/>
      <c r="O611" s="5"/>
      <c r="P611" s="5" t="s">
        <v>3271</v>
      </c>
      <c r="Q611" s="5"/>
      <c r="R611" s="5" t="s">
        <v>3272</v>
      </c>
      <c r="S611" s="6">
        <v>44089</v>
      </c>
      <c r="T611" s="6">
        <v>44090</v>
      </c>
      <c r="U611" s="5"/>
      <c r="V611" s="6">
        <v>44093</v>
      </c>
      <c r="W611" s="5"/>
      <c r="X611" s="5"/>
      <c r="Y611" s="5" t="s">
        <v>2411</v>
      </c>
      <c r="Z611" s="5" t="s">
        <v>2411</v>
      </c>
      <c r="AA611" s="5" t="s">
        <v>66</v>
      </c>
      <c r="AB611" s="5" t="s">
        <v>67</v>
      </c>
      <c r="AC611" s="5" t="s">
        <v>67</v>
      </c>
      <c r="AD611" s="5" t="s">
        <v>67</v>
      </c>
      <c r="AE611" s="5"/>
      <c r="AF611" s="5" t="s">
        <v>2179</v>
      </c>
      <c r="AG611" s="5" t="s">
        <v>2180</v>
      </c>
      <c r="AH611" s="5" t="s">
        <v>2179</v>
      </c>
      <c r="AI611" s="5" t="s">
        <v>73</v>
      </c>
      <c r="AJ611" s="5">
        <v>0</v>
      </c>
      <c r="AK611" s="5">
        <v>0</v>
      </c>
      <c r="AL611" s="5">
        <v>0</v>
      </c>
      <c r="AM611" s="5">
        <v>0</v>
      </c>
      <c r="AN611" s="5">
        <v>10</v>
      </c>
      <c r="AO611" s="5">
        <v>4410</v>
      </c>
      <c r="AP611" s="5">
        <v>11.327999999999999</v>
      </c>
      <c r="AQ611" s="5" t="s">
        <v>713</v>
      </c>
      <c r="AR611" s="5" t="s">
        <v>1104</v>
      </c>
      <c r="AS611" s="5" t="s">
        <v>713</v>
      </c>
      <c r="AT611" s="6">
        <v>44125</v>
      </c>
      <c r="AU611" s="5" t="s">
        <v>3704</v>
      </c>
      <c r="AV611" s="5">
        <v>37</v>
      </c>
      <c r="AW611" s="5" t="s">
        <v>3705</v>
      </c>
    </row>
    <row r="612" spans="1:49" x14ac:dyDescent="0.55000000000000004">
      <c r="A612" s="5" t="str">
        <f>HYPERLINK("https://www.infodis.net/philips/net/Shipment/Details?InfodisNumber=1380206&amp;DomainCode=PHILIPSM1", "1380206")</f>
        <v>1380206</v>
      </c>
      <c r="B612" s="5" t="s">
        <v>4326</v>
      </c>
      <c r="C612" s="5" t="s">
        <v>2080</v>
      </c>
      <c r="D612" s="5" t="s">
        <v>2081</v>
      </c>
      <c r="E612" s="5" t="s">
        <v>2082</v>
      </c>
      <c r="F612" s="5" t="s">
        <v>2649</v>
      </c>
      <c r="G612" s="5" t="s">
        <v>1430</v>
      </c>
      <c r="H612" s="5" t="s">
        <v>244</v>
      </c>
      <c r="I612" s="5" t="s">
        <v>2084</v>
      </c>
      <c r="J612" s="5" t="s">
        <v>2650</v>
      </c>
      <c r="K612" s="5" t="s">
        <v>2651</v>
      </c>
      <c r="L612" s="5" t="s">
        <v>2652</v>
      </c>
      <c r="M612" s="5" t="s">
        <v>60</v>
      </c>
      <c r="N612" s="5"/>
      <c r="O612" s="5"/>
      <c r="P612" s="5" t="s">
        <v>1432</v>
      </c>
      <c r="Q612" s="5" t="s">
        <v>4327</v>
      </c>
      <c r="R612" s="5"/>
      <c r="S612" s="6">
        <v>43971</v>
      </c>
      <c r="T612" s="6">
        <v>43971</v>
      </c>
      <c r="U612" s="6">
        <v>43977</v>
      </c>
      <c r="V612" s="6">
        <v>43972</v>
      </c>
      <c r="W612" s="6">
        <v>43977</v>
      </c>
      <c r="X612" s="5"/>
      <c r="Y612" s="5" t="s">
        <v>2387</v>
      </c>
      <c r="Z612" s="5" t="s">
        <v>2387</v>
      </c>
      <c r="AA612" s="5" t="s">
        <v>603</v>
      </c>
      <c r="AB612" s="5" t="s">
        <v>67</v>
      </c>
      <c r="AC612" s="5" t="s">
        <v>67</v>
      </c>
      <c r="AD612" s="5" t="s">
        <v>68</v>
      </c>
      <c r="AE612" s="5"/>
      <c r="AF612" s="5" t="s">
        <v>2610</v>
      </c>
      <c r="AG612" s="5" t="s">
        <v>2611</v>
      </c>
      <c r="AH612" s="5" t="s">
        <v>2610</v>
      </c>
      <c r="AI612" s="5" t="s">
        <v>605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1.4</v>
      </c>
      <c r="AP612" s="5">
        <v>2.7E-2</v>
      </c>
      <c r="AQ612" s="5" t="s">
        <v>713</v>
      </c>
      <c r="AR612" s="5" t="s">
        <v>1104</v>
      </c>
      <c r="AS612" s="5"/>
      <c r="AT612" s="5"/>
      <c r="AU612" s="5"/>
      <c r="AV612" s="5">
        <v>-1</v>
      </c>
      <c r="AW612" s="5" t="s">
        <v>3672</v>
      </c>
    </row>
    <row r="613" spans="1:49" x14ac:dyDescent="0.55000000000000004">
      <c r="A613" s="5" t="str">
        <f>HYPERLINK("https://www.infodis.net/philips/net/Shipment/Details?InfodisNumber=4449797&amp;DomainCode=DAP", "4449797")</f>
        <v>4449797</v>
      </c>
      <c r="B613" s="5" t="s">
        <v>4328</v>
      </c>
      <c r="C613" s="5" t="s">
        <v>3683</v>
      </c>
      <c r="D613" s="5" t="s">
        <v>3684</v>
      </c>
      <c r="E613" s="5" t="s">
        <v>3685</v>
      </c>
      <c r="F613" s="5" t="s">
        <v>3686</v>
      </c>
      <c r="G613" s="5" t="s">
        <v>354</v>
      </c>
      <c r="H613" s="5" t="s">
        <v>79</v>
      </c>
      <c r="I613" s="5" t="s">
        <v>1813</v>
      </c>
      <c r="J613" s="5" t="s">
        <v>652</v>
      </c>
      <c r="K613" s="5" t="s">
        <v>2377</v>
      </c>
      <c r="L613" s="5" t="s">
        <v>180</v>
      </c>
      <c r="M613" s="5" t="s">
        <v>1489</v>
      </c>
      <c r="N613" s="5"/>
      <c r="O613" s="5"/>
      <c r="P613" s="5" t="s">
        <v>3687</v>
      </c>
      <c r="Q613" s="5" t="s">
        <v>4329</v>
      </c>
      <c r="R613" s="5" t="s">
        <v>2380</v>
      </c>
      <c r="S613" s="6">
        <v>43985</v>
      </c>
      <c r="T613" s="6">
        <v>43994</v>
      </c>
      <c r="U613" s="6">
        <v>43993</v>
      </c>
      <c r="V613" s="6">
        <v>43994</v>
      </c>
      <c r="W613" s="6">
        <v>43994</v>
      </c>
      <c r="X613" s="6">
        <v>44000</v>
      </c>
      <c r="Y613" s="5" t="s">
        <v>2476</v>
      </c>
      <c r="Z613" s="5" t="s">
        <v>2476</v>
      </c>
      <c r="AA613" s="5" t="s">
        <v>2476</v>
      </c>
      <c r="AB613" s="5" t="s">
        <v>67</v>
      </c>
      <c r="AC613" s="5" t="s">
        <v>67</v>
      </c>
      <c r="AD613" s="5" t="s">
        <v>67</v>
      </c>
      <c r="AE613" s="5"/>
      <c r="AF613" s="5" t="s">
        <v>2179</v>
      </c>
      <c r="AG613" s="5" t="s">
        <v>2180</v>
      </c>
      <c r="AH613" s="5" t="s">
        <v>2179</v>
      </c>
      <c r="AI613" s="5" t="s">
        <v>73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436.79</v>
      </c>
      <c r="AP613" s="5">
        <v>1.208</v>
      </c>
      <c r="AQ613" s="5" t="s">
        <v>713</v>
      </c>
      <c r="AR613" s="5" t="s">
        <v>1104</v>
      </c>
      <c r="AS613" s="5"/>
      <c r="AT613" s="5"/>
      <c r="AU613" s="5"/>
      <c r="AV613" s="5">
        <v>-1</v>
      </c>
      <c r="AW613" s="5" t="s">
        <v>2265</v>
      </c>
    </row>
    <row r="614" spans="1:49" x14ac:dyDescent="0.55000000000000004">
      <c r="A614" s="5" t="str">
        <f>HYPERLINK("https://www.infodis.net/philips/net/Shipment/Details?InfodisNumber=1394805&amp;DomainCode=PHILIPSM1", "1394805")</f>
        <v>1394805</v>
      </c>
      <c r="B614" s="5" t="s">
        <v>4330</v>
      </c>
      <c r="C614" s="5" t="s">
        <v>2491</v>
      </c>
      <c r="D614" s="5" t="s">
        <v>2492</v>
      </c>
      <c r="E614" s="5" t="s">
        <v>2491</v>
      </c>
      <c r="F614" s="5" t="s">
        <v>2493</v>
      </c>
      <c r="G614" s="5" t="s">
        <v>1431</v>
      </c>
      <c r="H614" s="5" t="s">
        <v>180</v>
      </c>
      <c r="I614" s="5" t="s">
        <v>2494</v>
      </c>
      <c r="J614" s="5" t="s">
        <v>2495</v>
      </c>
      <c r="K614" s="5" t="s">
        <v>2496</v>
      </c>
      <c r="L614" s="5" t="s">
        <v>73</v>
      </c>
      <c r="M614" s="5" t="s">
        <v>60</v>
      </c>
      <c r="N614" s="5"/>
      <c r="O614" s="5"/>
      <c r="P614" s="5" t="s">
        <v>1434</v>
      </c>
      <c r="Q614" s="5" t="s">
        <v>4331</v>
      </c>
      <c r="R614" s="5" t="s">
        <v>2498</v>
      </c>
      <c r="S614" s="6">
        <v>43985</v>
      </c>
      <c r="T614" s="6">
        <v>43985</v>
      </c>
      <c r="U614" s="6">
        <v>43985</v>
      </c>
      <c r="V614" s="6">
        <v>43986</v>
      </c>
      <c r="W614" s="6">
        <v>43987</v>
      </c>
      <c r="X614" s="5"/>
      <c r="Y614" s="5" t="s">
        <v>2387</v>
      </c>
      <c r="Z614" s="5" t="s">
        <v>2387</v>
      </c>
      <c r="AA614" s="5" t="s">
        <v>603</v>
      </c>
      <c r="AB614" s="5" t="s">
        <v>67</v>
      </c>
      <c r="AC614" s="5" t="s">
        <v>67</v>
      </c>
      <c r="AD614" s="5" t="s">
        <v>68</v>
      </c>
      <c r="AE614" s="5"/>
      <c r="AF614" s="5" t="s">
        <v>2829</v>
      </c>
      <c r="AG614" s="5" t="s">
        <v>2830</v>
      </c>
      <c r="AH614" s="5" t="s">
        <v>2829</v>
      </c>
      <c r="AI614" s="5" t="s">
        <v>605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14.3</v>
      </c>
      <c r="AP614" s="5">
        <v>5.2999999999999999E-2</v>
      </c>
      <c r="AQ614" s="5" t="s">
        <v>713</v>
      </c>
      <c r="AR614" s="5" t="s">
        <v>1104</v>
      </c>
      <c r="AS614" s="5"/>
      <c r="AT614" s="5"/>
      <c r="AU614" s="5"/>
      <c r="AV614" s="5">
        <v>-1</v>
      </c>
      <c r="AW614" s="5" t="s">
        <v>3672</v>
      </c>
    </row>
    <row r="615" spans="1:49" x14ac:dyDescent="0.55000000000000004">
      <c r="A615" s="5" t="str">
        <f>HYPERLINK("https://www.infodis.net/philips/net/Shipment/Details?InfodisNumber=5815237&amp;DomainCode=PHILIPSR1", "5815237")</f>
        <v>5815237</v>
      </c>
      <c r="B615" s="5" t="s">
        <v>4332</v>
      </c>
      <c r="C615" s="5" t="s">
        <v>2426</v>
      </c>
      <c r="D615" s="5" t="s">
        <v>2427</v>
      </c>
      <c r="E615" s="5" t="s">
        <v>458</v>
      </c>
      <c r="F615" s="5" t="s">
        <v>2679</v>
      </c>
      <c r="G615" s="5" t="s">
        <v>610</v>
      </c>
      <c r="H615" s="5" t="s">
        <v>180</v>
      </c>
      <c r="I615" s="5" t="s">
        <v>652</v>
      </c>
      <c r="J615" s="5" t="s">
        <v>2495</v>
      </c>
      <c r="K615" s="5" t="s">
        <v>2496</v>
      </c>
      <c r="L615" s="5" t="s">
        <v>73</v>
      </c>
      <c r="M615" s="5" t="s">
        <v>1489</v>
      </c>
      <c r="N615" s="5"/>
      <c r="O615" s="5"/>
      <c r="P615" s="5" t="s">
        <v>613</v>
      </c>
      <c r="Q615" s="5"/>
      <c r="R615" s="5"/>
      <c r="S615" s="6">
        <v>43729</v>
      </c>
      <c r="T615" s="6">
        <v>43729</v>
      </c>
      <c r="U615" s="6">
        <v>43731</v>
      </c>
      <c r="V615" s="6">
        <v>43732</v>
      </c>
      <c r="W615" s="6">
        <v>43732</v>
      </c>
      <c r="X615" s="5"/>
      <c r="Y615" s="5" t="s">
        <v>2476</v>
      </c>
      <c r="Z615" s="5" t="s">
        <v>2476</v>
      </c>
      <c r="AA615" s="5" t="s">
        <v>66</v>
      </c>
      <c r="AB615" s="5" t="s">
        <v>67</v>
      </c>
      <c r="AC615" s="5" t="s">
        <v>67</v>
      </c>
      <c r="AD615" s="5" t="s">
        <v>68</v>
      </c>
      <c r="AE615" s="5"/>
      <c r="AF615" s="5" t="s">
        <v>2179</v>
      </c>
      <c r="AG615" s="5" t="s">
        <v>2180</v>
      </c>
      <c r="AH615" s="5" t="s">
        <v>2179</v>
      </c>
      <c r="AI615" s="5" t="s">
        <v>252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6.35</v>
      </c>
      <c r="AP615" s="5">
        <v>4.3999999999999997E-2</v>
      </c>
      <c r="AQ615" s="5" t="s">
        <v>713</v>
      </c>
      <c r="AR615" s="5" t="s">
        <v>1104</v>
      </c>
      <c r="AS615" s="5" t="s">
        <v>713</v>
      </c>
      <c r="AT615" s="6">
        <v>43815</v>
      </c>
      <c r="AU615" s="5" t="s">
        <v>3791</v>
      </c>
      <c r="AV615" s="5">
        <v>347</v>
      </c>
      <c r="AW615" s="5" t="s">
        <v>3792</v>
      </c>
    </row>
    <row r="616" spans="1:49" x14ac:dyDescent="0.55000000000000004">
      <c r="A616" s="5" t="str">
        <f>HYPERLINK("https://www.infodis.net/philips/net/Shipment/Details?InfodisNumber=6214735&amp;DomainCode=PHILIPSR1", "6214735")</f>
        <v>6214735</v>
      </c>
      <c r="B616" s="5" t="s">
        <v>4333</v>
      </c>
      <c r="C616" s="5" t="s">
        <v>2426</v>
      </c>
      <c r="D616" s="5" t="s">
        <v>2427</v>
      </c>
      <c r="E616" s="5" t="s">
        <v>458</v>
      </c>
      <c r="F616" s="5" t="s">
        <v>2679</v>
      </c>
      <c r="G616" s="5" t="s">
        <v>610</v>
      </c>
      <c r="H616" s="5" t="s">
        <v>180</v>
      </c>
      <c r="I616" s="5" t="s">
        <v>652</v>
      </c>
      <c r="J616" s="5" t="s">
        <v>2495</v>
      </c>
      <c r="K616" s="5" t="s">
        <v>2496</v>
      </c>
      <c r="L616" s="5" t="s">
        <v>73</v>
      </c>
      <c r="M616" s="5" t="s">
        <v>84</v>
      </c>
      <c r="N616" s="5"/>
      <c r="O616" s="5"/>
      <c r="P616" s="5" t="s">
        <v>613</v>
      </c>
      <c r="Q616" s="5" t="s">
        <v>4334</v>
      </c>
      <c r="R616" s="5" t="s">
        <v>2495</v>
      </c>
      <c r="S616" s="6">
        <v>43871</v>
      </c>
      <c r="T616" s="6">
        <v>43872</v>
      </c>
      <c r="U616" s="6">
        <v>43871</v>
      </c>
      <c r="V616" s="6">
        <v>43875</v>
      </c>
      <c r="W616" s="6">
        <v>43875</v>
      </c>
      <c r="X616" s="5"/>
      <c r="Y616" s="5" t="s">
        <v>2476</v>
      </c>
      <c r="Z616" s="5" t="s">
        <v>2476</v>
      </c>
      <c r="AA616" s="5" t="s">
        <v>66</v>
      </c>
      <c r="AB616" s="5" t="s">
        <v>67</v>
      </c>
      <c r="AC616" s="5" t="s">
        <v>67</v>
      </c>
      <c r="AD616" s="5" t="s">
        <v>68</v>
      </c>
      <c r="AE616" s="5"/>
      <c r="AF616" s="5" t="s">
        <v>2179</v>
      </c>
      <c r="AG616" s="5" t="s">
        <v>2180</v>
      </c>
      <c r="AH616" s="5" t="s">
        <v>2179</v>
      </c>
      <c r="AI616" s="5" t="s">
        <v>252</v>
      </c>
      <c r="AJ616" s="5">
        <v>0</v>
      </c>
      <c r="AK616" s="5">
        <v>0</v>
      </c>
      <c r="AL616" s="5">
        <v>0</v>
      </c>
      <c r="AM616" s="5">
        <v>0</v>
      </c>
      <c r="AN616" s="5">
        <v>3</v>
      </c>
      <c r="AO616" s="5">
        <v>462.66</v>
      </c>
      <c r="AP616" s="5">
        <v>5.16</v>
      </c>
      <c r="AQ616" s="5" t="s">
        <v>713</v>
      </c>
      <c r="AR616" s="5" t="s">
        <v>1104</v>
      </c>
      <c r="AS616" s="5" t="s">
        <v>713</v>
      </c>
      <c r="AT616" s="6">
        <v>43872</v>
      </c>
      <c r="AU616" s="5" t="s">
        <v>3891</v>
      </c>
      <c r="AV616" s="5">
        <v>290</v>
      </c>
      <c r="AW616" s="5" t="s">
        <v>3892</v>
      </c>
    </row>
    <row r="617" spans="1:49" x14ac:dyDescent="0.55000000000000004">
      <c r="A617" s="5" t="str">
        <f>HYPERLINK("https://www.infodis.net/philips/net/Shipment/Details?InfodisNumber=6413103&amp;DomainCode=PHILIPSR1", "6413103")</f>
        <v>6413103</v>
      </c>
      <c r="B617" s="5" t="s">
        <v>4335</v>
      </c>
      <c r="C617" s="5" t="s">
        <v>2426</v>
      </c>
      <c r="D617" s="5" t="s">
        <v>2427</v>
      </c>
      <c r="E617" s="5" t="s">
        <v>458</v>
      </c>
      <c r="F617" s="5" t="s">
        <v>2679</v>
      </c>
      <c r="G617" s="5" t="s">
        <v>610</v>
      </c>
      <c r="H617" s="5" t="s">
        <v>180</v>
      </c>
      <c r="I617" s="5" t="s">
        <v>652</v>
      </c>
      <c r="J617" s="5" t="s">
        <v>2495</v>
      </c>
      <c r="K617" s="5" t="s">
        <v>2496</v>
      </c>
      <c r="L617" s="5" t="s">
        <v>73</v>
      </c>
      <c r="M617" s="5" t="s">
        <v>84</v>
      </c>
      <c r="N617" s="5"/>
      <c r="O617" s="5"/>
      <c r="P617" s="5" t="s">
        <v>613</v>
      </c>
      <c r="Q617" s="5" t="s">
        <v>4336</v>
      </c>
      <c r="R617" s="5" t="s">
        <v>2495</v>
      </c>
      <c r="S617" s="6">
        <v>43937</v>
      </c>
      <c r="T617" s="6">
        <v>43937</v>
      </c>
      <c r="U617" s="6">
        <v>43937</v>
      </c>
      <c r="V617" s="6">
        <v>43940</v>
      </c>
      <c r="W617" s="6">
        <v>43943</v>
      </c>
      <c r="X617" s="6">
        <v>43944</v>
      </c>
      <c r="Y617" s="5" t="s">
        <v>2476</v>
      </c>
      <c r="Z617" s="5" t="s">
        <v>2476</v>
      </c>
      <c r="AA617" s="5" t="s">
        <v>2476</v>
      </c>
      <c r="AB617" s="5" t="s">
        <v>67</v>
      </c>
      <c r="AC617" s="5" t="s">
        <v>67</v>
      </c>
      <c r="AD617" s="5" t="s">
        <v>67</v>
      </c>
      <c r="AE617" s="5"/>
      <c r="AF617" s="5" t="s">
        <v>2179</v>
      </c>
      <c r="AG617" s="5" t="s">
        <v>2180</v>
      </c>
      <c r="AH617" s="5" t="s">
        <v>2179</v>
      </c>
      <c r="AI617" s="5" t="s">
        <v>252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6.35</v>
      </c>
      <c r="AP617" s="5">
        <v>7.2999999999999995E-2</v>
      </c>
      <c r="AQ617" s="5" t="s">
        <v>713</v>
      </c>
      <c r="AR617" s="5" t="s">
        <v>1104</v>
      </c>
      <c r="AS617" s="5" t="s">
        <v>713</v>
      </c>
      <c r="AT617" s="5"/>
      <c r="AU617" s="5"/>
      <c r="AV617" s="5">
        <v>-1</v>
      </c>
      <c r="AW617" s="5" t="s">
        <v>4337</v>
      </c>
    </row>
    <row r="618" spans="1:49" x14ac:dyDescent="0.55000000000000004">
      <c r="A618" s="5" t="str">
        <f>HYPERLINK("https://www.infodis.net/philips/net/Shipment/Details?InfodisNumber=1396275&amp;DomainCode=PHILIPSM1", "1396275")</f>
        <v>1396275</v>
      </c>
      <c r="B618" s="5" t="s">
        <v>4338</v>
      </c>
      <c r="C618" s="5" t="s">
        <v>2080</v>
      </c>
      <c r="D618" s="5" t="s">
        <v>2081</v>
      </c>
      <c r="E618" s="5" t="s">
        <v>2082</v>
      </c>
      <c r="F618" s="5" t="s">
        <v>4105</v>
      </c>
      <c r="G618" s="5" t="s">
        <v>1430</v>
      </c>
      <c r="H618" s="5" t="s">
        <v>244</v>
      </c>
      <c r="I618" s="5" t="s">
        <v>2084</v>
      </c>
      <c r="J618" s="5" t="s">
        <v>681</v>
      </c>
      <c r="K618" s="5" t="s">
        <v>4106</v>
      </c>
      <c r="L618" s="5" t="s">
        <v>380</v>
      </c>
      <c r="M618" s="5" t="s">
        <v>60</v>
      </c>
      <c r="N618" s="5"/>
      <c r="O618" s="5"/>
      <c r="P618" s="5" t="s">
        <v>1432</v>
      </c>
      <c r="Q618" s="5"/>
      <c r="R618" s="5" t="s">
        <v>4107</v>
      </c>
      <c r="S618" s="6">
        <v>43986</v>
      </c>
      <c r="T618" s="6">
        <v>43987</v>
      </c>
      <c r="U618" s="6">
        <v>43987</v>
      </c>
      <c r="V618" s="6">
        <v>43992</v>
      </c>
      <c r="W618" s="6">
        <v>44002</v>
      </c>
      <c r="X618" s="5"/>
      <c r="Y618" s="5" t="s">
        <v>2518</v>
      </c>
      <c r="Z618" s="5" t="s">
        <v>2518</v>
      </c>
      <c r="AA618" s="5" t="s">
        <v>603</v>
      </c>
      <c r="AB618" s="5" t="s">
        <v>67</v>
      </c>
      <c r="AC618" s="5" t="s">
        <v>67</v>
      </c>
      <c r="AD618" s="5" t="s">
        <v>68</v>
      </c>
      <c r="AE618" s="5"/>
      <c r="AF618" s="5" t="s">
        <v>2399</v>
      </c>
      <c r="AG618" s="5" t="s">
        <v>2400</v>
      </c>
      <c r="AH618" s="5" t="s">
        <v>2399</v>
      </c>
      <c r="AI618" s="5" t="s">
        <v>605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51.2</v>
      </c>
      <c r="AP618" s="5">
        <v>0</v>
      </c>
      <c r="AQ618" s="5" t="s">
        <v>713</v>
      </c>
      <c r="AR618" s="5" t="s">
        <v>1104</v>
      </c>
      <c r="AS618" s="5" t="s">
        <v>713</v>
      </c>
      <c r="AT618" s="6">
        <v>43991</v>
      </c>
      <c r="AU618" s="5" t="s">
        <v>4108</v>
      </c>
      <c r="AV618" s="5">
        <v>171</v>
      </c>
      <c r="AW618" s="5" t="s">
        <v>4109</v>
      </c>
    </row>
    <row r="619" spans="1:49" x14ac:dyDescent="0.55000000000000004">
      <c r="A619" s="5" t="str">
        <f>HYPERLINK("https://www.infodis.net/philips/net/Shipment/Details?InfodisNumber=1356156&amp;DomainCode=PHILIPSM1", "1356156")</f>
        <v>1356156</v>
      </c>
      <c r="B619" s="5" t="s">
        <v>4339</v>
      </c>
      <c r="C619" s="5" t="s">
        <v>2491</v>
      </c>
      <c r="D619" s="5" t="s">
        <v>2492</v>
      </c>
      <c r="E619" s="5" t="s">
        <v>2491</v>
      </c>
      <c r="F619" s="5" t="s">
        <v>3754</v>
      </c>
      <c r="G619" s="5" t="s">
        <v>1431</v>
      </c>
      <c r="H619" s="5" t="s">
        <v>180</v>
      </c>
      <c r="I619" s="5" t="s">
        <v>2494</v>
      </c>
      <c r="J619" s="5" t="s">
        <v>3755</v>
      </c>
      <c r="K619" s="5" t="s">
        <v>3756</v>
      </c>
      <c r="L619" s="5" t="s">
        <v>3757</v>
      </c>
      <c r="M619" s="5" t="s">
        <v>60</v>
      </c>
      <c r="N619" s="5"/>
      <c r="O619" s="5"/>
      <c r="P619" s="5" t="s">
        <v>1434</v>
      </c>
      <c r="Q619" s="5" t="s">
        <v>4340</v>
      </c>
      <c r="R619" s="5" t="s">
        <v>2922</v>
      </c>
      <c r="S619" s="6">
        <v>43945</v>
      </c>
      <c r="T619" s="6">
        <v>43945</v>
      </c>
      <c r="U619" s="6">
        <v>43945</v>
      </c>
      <c r="V619" s="6">
        <v>43946</v>
      </c>
      <c r="W619" s="6">
        <v>43950</v>
      </c>
      <c r="X619" s="5"/>
      <c r="Y619" s="5" t="s">
        <v>2387</v>
      </c>
      <c r="Z619" s="5" t="s">
        <v>2387</v>
      </c>
      <c r="AA619" s="5" t="s">
        <v>603</v>
      </c>
      <c r="AB619" s="5" t="s">
        <v>67</v>
      </c>
      <c r="AC619" s="5" t="s">
        <v>67</v>
      </c>
      <c r="AD619" s="5" t="s">
        <v>68</v>
      </c>
      <c r="AE619" s="5"/>
      <c r="AF619" s="5" t="s">
        <v>2610</v>
      </c>
      <c r="AG619" s="5" t="s">
        <v>2611</v>
      </c>
      <c r="AH619" s="5" t="s">
        <v>2610</v>
      </c>
      <c r="AI619" s="5" t="s">
        <v>605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2</v>
      </c>
      <c r="AP619" s="5">
        <v>2.5000000000000001E-2</v>
      </c>
      <c r="AQ619" s="5" t="s">
        <v>713</v>
      </c>
      <c r="AR619" s="5" t="s">
        <v>1104</v>
      </c>
      <c r="AS619" s="5"/>
      <c r="AT619" s="5"/>
      <c r="AU619" s="5"/>
      <c r="AV619" s="5">
        <v>-1</v>
      </c>
      <c r="AW619" s="5" t="s">
        <v>3672</v>
      </c>
    </row>
    <row r="620" spans="1:49" x14ac:dyDescent="0.55000000000000004">
      <c r="A620" s="5" t="str">
        <f>HYPERLINK("https://www.infodis.net/philips/net/Shipment/Details?InfodisNumber=4513971&amp;DomainCode=DAP", "4513971")</f>
        <v>4513971</v>
      </c>
      <c r="B620" s="5" t="s">
        <v>4341</v>
      </c>
      <c r="C620" s="5" t="s">
        <v>3430</v>
      </c>
      <c r="D620" s="5" t="s">
        <v>3431</v>
      </c>
      <c r="E620" s="5" t="s">
        <v>3430</v>
      </c>
      <c r="F620" s="5" t="s">
        <v>256</v>
      </c>
      <c r="G620" s="5" t="s">
        <v>192</v>
      </c>
      <c r="H620" s="5" t="s">
        <v>79</v>
      </c>
      <c r="I620" s="5" t="s">
        <v>587</v>
      </c>
      <c r="J620" s="5" t="s">
        <v>2626</v>
      </c>
      <c r="K620" s="5" t="s">
        <v>259</v>
      </c>
      <c r="L620" s="5" t="s">
        <v>260</v>
      </c>
      <c r="M620" s="5" t="s">
        <v>84</v>
      </c>
      <c r="N620" s="5"/>
      <c r="O620" s="5"/>
      <c r="P620" s="5" t="s">
        <v>3432</v>
      </c>
      <c r="Q620" s="5"/>
      <c r="R620" s="5" t="s">
        <v>262</v>
      </c>
      <c r="S620" s="6">
        <v>44089</v>
      </c>
      <c r="T620" s="6">
        <v>44090</v>
      </c>
      <c r="U620" s="5"/>
      <c r="V620" s="6">
        <v>44093</v>
      </c>
      <c r="W620" s="5"/>
      <c r="X620" s="5"/>
      <c r="Y620" s="5" t="s">
        <v>66</v>
      </c>
      <c r="Z620" s="5" t="s">
        <v>2411</v>
      </c>
      <c r="AA620" s="5" t="s">
        <v>2411</v>
      </c>
      <c r="AB620" s="5" t="s">
        <v>68</v>
      </c>
      <c r="AC620" s="5" t="s">
        <v>67</v>
      </c>
      <c r="AD620" s="5" t="s">
        <v>67</v>
      </c>
      <c r="AE620" s="5"/>
      <c r="AF620" s="5" t="s">
        <v>2179</v>
      </c>
      <c r="AG620" s="5" t="s">
        <v>2180</v>
      </c>
      <c r="AH620" s="5" t="s">
        <v>2179</v>
      </c>
      <c r="AI620" s="5" t="s">
        <v>73</v>
      </c>
      <c r="AJ620" s="5">
        <v>0</v>
      </c>
      <c r="AK620" s="5">
        <v>0</v>
      </c>
      <c r="AL620" s="5">
        <v>0</v>
      </c>
      <c r="AM620" s="5">
        <v>0</v>
      </c>
      <c r="AN620" s="5">
        <v>16</v>
      </c>
      <c r="AO620" s="5">
        <v>1887</v>
      </c>
      <c r="AP620" s="5">
        <v>15.821</v>
      </c>
      <c r="AQ620" s="5" t="s">
        <v>713</v>
      </c>
      <c r="AR620" s="5" t="s">
        <v>1104</v>
      </c>
      <c r="AS620" s="5"/>
      <c r="AT620" s="5"/>
      <c r="AU620" s="5"/>
      <c r="AV620" s="5">
        <v>-1</v>
      </c>
      <c r="AW620" s="5" t="s">
        <v>1368</v>
      </c>
    </row>
    <row r="621" spans="1:49" x14ac:dyDescent="0.55000000000000004">
      <c r="A621" s="5" t="str">
        <f>HYPERLINK("https://www.infodis.net/philips/net/Shipment/Details?InfodisNumber=5792738&amp;DomainCode=PHILIPSR1", "5792738")</f>
        <v>5792738</v>
      </c>
      <c r="B621" s="5" t="s">
        <v>4342</v>
      </c>
      <c r="C621" s="5" t="s">
        <v>2426</v>
      </c>
      <c r="D621" s="5" t="s">
        <v>2427</v>
      </c>
      <c r="E621" s="5" t="s">
        <v>458</v>
      </c>
      <c r="F621" s="5" t="s">
        <v>2679</v>
      </c>
      <c r="G621" s="5" t="s">
        <v>610</v>
      </c>
      <c r="H621" s="5" t="s">
        <v>180</v>
      </c>
      <c r="I621" s="5" t="s">
        <v>652</v>
      </c>
      <c r="J621" s="5" t="s">
        <v>2495</v>
      </c>
      <c r="K621" s="5" t="s">
        <v>2496</v>
      </c>
      <c r="L621" s="5" t="s">
        <v>73</v>
      </c>
      <c r="M621" s="5" t="s">
        <v>1489</v>
      </c>
      <c r="N621" s="5"/>
      <c r="O621" s="5"/>
      <c r="P621" s="5" t="s">
        <v>613</v>
      </c>
      <c r="Q621" s="5"/>
      <c r="R621" s="5" t="s">
        <v>2495</v>
      </c>
      <c r="S621" s="6">
        <v>43721</v>
      </c>
      <c r="T621" s="6">
        <v>43724</v>
      </c>
      <c r="U621" s="6">
        <v>43721</v>
      </c>
      <c r="V621" s="6">
        <v>43727</v>
      </c>
      <c r="W621" s="6">
        <v>43725</v>
      </c>
      <c r="X621" s="5"/>
      <c r="Y621" s="5" t="s">
        <v>2476</v>
      </c>
      <c r="Z621" s="5" t="s">
        <v>2476</v>
      </c>
      <c r="AA621" s="5" t="s">
        <v>66</v>
      </c>
      <c r="AB621" s="5" t="s">
        <v>67</v>
      </c>
      <c r="AC621" s="5" t="s">
        <v>67</v>
      </c>
      <c r="AD621" s="5" t="s">
        <v>68</v>
      </c>
      <c r="AE621" s="5"/>
      <c r="AF621" s="5" t="s">
        <v>2179</v>
      </c>
      <c r="AG621" s="5" t="s">
        <v>2180</v>
      </c>
      <c r="AH621" s="5" t="s">
        <v>2179</v>
      </c>
      <c r="AI621" s="5" t="s">
        <v>252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10.885999999999999</v>
      </c>
      <c r="AP621" s="5">
        <v>8.900000000000001E-2</v>
      </c>
      <c r="AQ621" s="5" t="s">
        <v>713</v>
      </c>
      <c r="AR621" s="5" t="s">
        <v>1104</v>
      </c>
      <c r="AS621" s="5" t="s">
        <v>713</v>
      </c>
      <c r="AT621" s="6">
        <v>43815</v>
      </c>
      <c r="AU621" s="5" t="s">
        <v>3791</v>
      </c>
      <c r="AV621" s="5">
        <v>347</v>
      </c>
      <c r="AW621" s="5" t="s">
        <v>3792</v>
      </c>
    </row>
    <row r="622" spans="1:49" x14ac:dyDescent="0.55000000000000004">
      <c r="A622" s="5" t="str">
        <f>HYPERLINK("https://www.infodis.net/philips/net/Shipment/Details?InfodisNumber=4212118&amp;DomainCode=DAP", "4212118")</f>
        <v>4212118</v>
      </c>
      <c r="B622" s="5" t="s">
        <v>4343</v>
      </c>
      <c r="C622" s="5" t="s">
        <v>3057</v>
      </c>
      <c r="D622" s="5" t="s">
        <v>3058</v>
      </c>
      <c r="E622" s="5" t="s">
        <v>3057</v>
      </c>
      <c r="F622" s="5" t="s">
        <v>4344</v>
      </c>
      <c r="G622" s="5" t="s">
        <v>4216</v>
      </c>
      <c r="H622" s="5" t="s">
        <v>244</v>
      </c>
      <c r="I622" s="5" t="s">
        <v>2084</v>
      </c>
      <c r="J622" s="5"/>
      <c r="K622" s="5" t="s">
        <v>82</v>
      </c>
      <c r="L622" s="5" t="s">
        <v>83</v>
      </c>
      <c r="M622" s="5" t="s">
        <v>60</v>
      </c>
      <c r="N622" s="5"/>
      <c r="O622" s="5"/>
      <c r="P622" s="5" t="s">
        <v>4220</v>
      </c>
      <c r="Q622" s="5" t="s">
        <v>4345</v>
      </c>
      <c r="R622" s="5" t="s">
        <v>87</v>
      </c>
      <c r="S622" s="6">
        <v>43633</v>
      </c>
      <c r="T622" s="6">
        <v>43647</v>
      </c>
      <c r="U622" s="6">
        <v>43633</v>
      </c>
      <c r="V622" s="6">
        <v>43650</v>
      </c>
      <c r="W622" s="6">
        <v>43633</v>
      </c>
      <c r="X622" s="5"/>
      <c r="Y622" s="5" t="s">
        <v>66</v>
      </c>
      <c r="Z622" s="5" t="s">
        <v>66</v>
      </c>
      <c r="AA622" s="5" t="s">
        <v>66</v>
      </c>
      <c r="AB622" s="5" t="s">
        <v>67</v>
      </c>
      <c r="AC622" s="5" t="s">
        <v>67</v>
      </c>
      <c r="AD622" s="5" t="s">
        <v>67</v>
      </c>
      <c r="AE622" s="5"/>
      <c r="AF622" s="5" t="s">
        <v>2179</v>
      </c>
      <c r="AG622" s="5" t="s">
        <v>2180</v>
      </c>
      <c r="AH622" s="5" t="s">
        <v>2179</v>
      </c>
      <c r="AI622" s="5" t="s">
        <v>73</v>
      </c>
      <c r="AJ622" s="5">
        <v>0</v>
      </c>
      <c r="AK622" s="5">
        <v>0</v>
      </c>
      <c r="AL622" s="5">
        <v>0</v>
      </c>
      <c r="AM622" s="5">
        <v>0</v>
      </c>
      <c r="AN622" s="5">
        <v>3</v>
      </c>
      <c r="AO622" s="5">
        <v>150</v>
      </c>
      <c r="AP622" s="5">
        <v>1.728</v>
      </c>
      <c r="AQ622" s="5" t="s">
        <v>713</v>
      </c>
      <c r="AR622" s="5" t="s">
        <v>1104</v>
      </c>
      <c r="AS622" s="5"/>
      <c r="AT622" s="5"/>
      <c r="AU622" s="5"/>
      <c r="AV622" s="5">
        <v>-1</v>
      </c>
      <c r="AW622" s="5" t="s">
        <v>3934</v>
      </c>
    </row>
    <row r="623" spans="1:49" x14ac:dyDescent="0.55000000000000004">
      <c r="A623" s="5" t="str">
        <f>HYPERLINK("https://www.infodis.net/philips/net/Shipment/Details?InfodisNumber=5825213&amp;DomainCode=PHILIPSR1", "5825213")</f>
        <v>5825213</v>
      </c>
      <c r="B623" s="5" t="s">
        <v>4346</v>
      </c>
      <c r="C623" s="5" t="s">
        <v>2243</v>
      </c>
      <c r="D623" s="5" t="s">
        <v>2244</v>
      </c>
      <c r="E623" s="5" t="s">
        <v>1067</v>
      </c>
      <c r="F623" s="5" t="s">
        <v>4347</v>
      </c>
      <c r="G623" s="5" t="s">
        <v>1069</v>
      </c>
      <c r="H623" s="5" t="s">
        <v>180</v>
      </c>
      <c r="I623" s="5" t="s">
        <v>1070</v>
      </c>
      <c r="J623" s="5" t="s">
        <v>1704</v>
      </c>
      <c r="K623" s="5" t="s">
        <v>4263</v>
      </c>
      <c r="L623" s="5" t="s">
        <v>132</v>
      </c>
      <c r="M623" s="5" t="s">
        <v>60</v>
      </c>
      <c r="N623" s="5"/>
      <c r="O623" s="5"/>
      <c r="P623" s="5" t="s">
        <v>1072</v>
      </c>
      <c r="Q623" s="5"/>
      <c r="R623" s="5" t="s">
        <v>4348</v>
      </c>
      <c r="S623" s="6">
        <v>43733</v>
      </c>
      <c r="T623" s="6">
        <v>43734</v>
      </c>
      <c r="U623" s="6">
        <v>43750</v>
      </c>
      <c r="V623" s="6">
        <v>43750</v>
      </c>
      <c r="W623" s="6">
        <v>43753</v>
      </c>
      <c r="X623" s="5"/>
      <c r="Y623" s="5" t="s">
        <v>2387</v>
      </c>
      <c r="Z623" s="5" t="s">
        <v>2387</v>
      </c>
      <c r="AA623" s="5" t="s">
        <v>66</v>
      </c>
      <c r="AB623" s="5" t="s">
        <v>67</v>
      </c>
      <c r="AC623" s="5" t="s">
        <v>67</v>
      </c>
      <c r="AD623" s="5" t="s">
        <v>68</v>
      </c>
      <c r="AE623" s="5"/>
      <c r="AF623" s="5" t="s">
        <v>2179</v>
      </c>
      <c r="AG623" s="5" t="s">
        <v>2180</v>
      </c>
      <c r="AH623" s="5" t="s">
        <v>2179</v>
      </c>
      <c r="AI623" s="5" t="s">
        <v>252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0.9</v>
      </c>
      <c r="AP623" s="5">
        <v>1.0999999999999999E-2</v>
      </c>
      <c r="AQ623" s="5" t="s">
        <v>713</v>
      </c>
      <c r="AR623" s="5" t="s">
        <v>1104</v>
      </c>
      <c r="AS623" s="5"/>
      <c r="AT623" s="5"/>
      <c r="AU623" s="5"/>
      <c r="AV623" s="5">
        <v>-1</v>
      </c>
      <c r="AW623" s="5" t="s">
        <v>4349</v>
      </c>
    </row>
    <row r="624" spans="1:49" x14ac:dyDescent="0.55000000000000004">
      <c r="A624" s="5" t="str">
        <f>HYPERLINK("https://www.infodis.net/philips/net/Shipment/Details?InfodisNumber=1373155&amp;DomainCode=PHILIPSM1", "1373155")</f>
        <v>1373155</v>
      </c>
      <c r="B624" s="5" t="s">
        <v>4350</v>
      </c>
      <c r="C624" s="5" t="s">
        <v>2080</v>
      </c>
      <c r="D624" s="5" t="s">
        <v>2081</v>
      </c>
      <c r="E624" s="5" t="s">
        <v>2082</v>
      </c>
      <c r="F624" s="5" t="s">
        <v>4351</v>
      </c>
      <c r="G624" s="5" t="s">
        <v>1430</v>
      </c>
      <c r="H624" s="5" t="s">
        <v>244</v>
      </c>
      <c r="I624" s="5" t="s">
        <v>2084</v>
      </c>
      <c r="J624" s="5" t="s">
        <v>1607</v>
      </c>
      <c r="K624" s="5" t="s">
        <v>4352</v>
      </c>
      <c r="L624" s="5" t="s">
        <v>1609</v>
      </c>
      <c r="M624" s="5" t="s">
        <v>60</v>
      </c>
      <c r="N624" s="5"/>
      <c r="O624" s="5"/>
      <c r="P624" s="5" t="s">
        <v>1432</v>
      </c>
      <c r="Q624" s="5" t="s">
        <v>4353</v>
      </c>
      <c r="R624" s="5" t="s">
        <v>3104</v>
      </c>
      <c r="S624" s="6">
        <v>43965</v>
      </c>
      <c r="T624" s="6">
        <v>43965</v>
      </c>
      <c r="U624" s="6">
        <v>43965</v>
      </c>
      <c r="V624" s="6">
        <v>43965</v>
      </c>
      <c r="W624" s="6">
        <v>43974</v>
      </c>
      <c r="X624" s="5"/>
      <c r="Y624" s="5" t="s">
        <v>2387</v>
      </c>
      <c r="Z624" s="5" t="s">
        <v>2387</v>
      </c>
      <c r="AA624" s="5" t="s">
        <v>603</v>
      </c>
      <c r="AB624" s="5" t="s">
        <v>67</v>
      </c>
      <c r="AC624" s="5" t="s">
        <v>67</v>
      </c>
      <c r="AD624" s="5" t="s">
        <v>68</v>
      </c>
      <c r="AE624" s="5"/>
      <c r="AF624" s="5" t="s">
        <v>2388</v>
      </c>
      <c r="AG624" s="5" t="s">
        <v>2389</v>
      </c>
      <c r="AH624" s="5" t="s">
        <v>2388</v>
      </c>
      <c r="AI624" s="5" t="s">
        <v>605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77.5</v>
      </c>
      <c r="AP624" s="5">
        <v>0.309</v>
      </c>
      <c r="AQ624" s="5" t="s">
        <v>713</v>
      </c>
      <c r="AR624" s="5" t="s">
        <v>1104</v>
      </c>
      <c r="AS624" s="5"/>
      <c r="AT624" s="5"/>
      <c r="AU624" s="5"/>
      <c r="AV624" s="5">
        <v>-1</v>
      </c>
      <c r="AW624" s="5" t="s">
        <v>3715</v>
      </c>
    </row>
    <row r="625" spans="1:49" x14ac:dyDescent="0.55000000000000004">
      <c r="A625" s="5" t="str">
        <f>HYPERLINK("https://www.infodis.net/philips/net/Shipment/Details?InfodisNumber=1399849&amp;DomainCode=PHILIPSM1", "1399849")</f>
        <v>1399849</v>
      </c>
      <c r="B625" s="5" t="s">
        <v>4354</v>
      </c>
      <c r="C625" s="5" t="s">
        <v>2080</v>
      </c>
      <c r="D625" s="5" t="s">
        <v>2081</v>
      </c>
      <c r="E625" s="5" t="s">
        <v>2082</v>
      </c>
      <c r="F625" s="5"/>
      <c r="G625" s="5" t="s">
        <v>1430</v>
      </c>
      <c r="H625" s="5" t="s">
        <v>244</v>
      </c>
      <c r="I625" s="5" t="s">
        <v>2084</v>
      </c>
      <c r="J625" s="5" t="s">
        <v>4355</v>
      </c>
      <c r="K625" s="5" t="s">
        <v>4356</v>
      </c>
      <c r="L625" s="5" t="s">
        <v>4357</v>
      </c>
      <c r="M625" s="5" t="s">
        <v>60</v>
      </c>
      <c r="N625" s="5"/>
      <c r="O625" s="5"/>
      <c r="P625" s="5" t="s">
        <v>1432</v>
      </c>
      <c r="Q625" s="5" t="s">
        <v>4358</v>
      </c>
      <c r="R625" s="5" t="s">
        <v>4359</v>
      </c>
      <c r="S625" s="6">
        <v>43990</v>
      </c>
      <c r="T625" s="6">
        <v>43991</v>
      </c>
      <c r="U625" s="6">
        <v>43992</v>
      </c>
      <c r="V625" s="6">
        <v>43996</v>
      </c>
      <c r="W625" s="5"/>
      <c r="X625" s="5"/>
      <c r="Y625" s="5" t="s">
        <v>2359</v>
      </c>
      <c r="Z625" s="5" t="s">
        <v>2359</v>
      </c>
      <c r="AA625" s="5" t="s">
        <v>603</v>
      </c>
      <c r="AB625" s="5" t="s">
        <v>67</v>
      </c>
      <c r="AC625" s="5" t="s">
        <v>67</v>
      </c>
      <c r="AD625" s="5" t="s">
        <v>68</v>
      </c>
      <c r="AE625" s="5"/>
      <c r="AF625" s="5" t="s">
        <v>2399</v>
      </c>
      <c r="AG625" s="5" t="s">
        <v>2400</v>
      </c>
      <c r="AH625" s="5" t="s">
        <v>2399</v>
      </c>
      <c r="AI625" s="5" t="s">
        <v>605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115.5</v>
      </c>
      <c r="AP625" s="5">
        <v>0.70400000000000007</v>
      </c>
      <c r="AQ625" s="5" t="s">
        <v>713</v>
      </c>
      <c r="AR625" s="5" t="s">
        <v>1104</v>
      </c>
      <c r="AS625" s="5"/>
      <c r="AT625" s="5"/>
      <c r="AU625" s="5"/>
      <c r="AV625" s="5">
        <v>-1</v>
      </c>
      <c r="AW625" s="5" t="s">
        <v>4360</v>
      </c>
    </row>
    <row r="626" spans="1:49" x14ac:dyDescent="0.55000000000000004">
      <c r="A626" s="5" t="str">
        <f>HYPERLINK("https://www.infodis.net/philips/net/Shipment/Details?InfodisNumber=4220791&amp;DomainCode=DAP", "4220791")</f>
        <v>4220791</v>
      </c>
      <c r="B626" s="5" t="s">
        <v>4361</v>
      </c>
      <c r="C626" s="5" t="s">
        <v>4362</v>
      </c>
      <c r="D626" s="5" t="s">
        <v>4363</v>
      </c>
      <c r="E626" s="5" t="s">
        <v>242</v>
      </c>
      <c r="F626" s="5" t="s">
        <v>1450</v>
      </c>
      <c r="G626" s="5" t="s">
        <v>4364</v>
      </c>
      <c r="H626" s="5" t="s">
        <v>180</v>
      </c>
      <c r="I626" s="5" t="s">
        <v>4365</v>
      </c>
      <c r="J626" s="5" t="s">
        <v>268</v>
      </c>
      <c r="K626" s="5" t="s">
        <v>1452</v>
      </c>
      <c r="L626" s="5" t="s">
        <v>267</v>
      </c>
      <c r="M626" s="5" t="s">
        <v>133</v>
      </c>
      <c r="N626" s="5"/>
      <c r="O626" s="5"/>
      <c r="P626" s="5" t="s">
        <v>4366</v>
      </c>
      <c r="Q626" s="5" t="s">
        <v>4367</v>
      </c>
      <c r="R626" s="5"/>
      <c r="S626" s="6">
        <v>43641</v>
      </c>
      <c r="T626" s="6">
        <v>43642</v>
      </c>
      <c r="U626" s="6">
        <v>43644</v>
      </c>
      <c r="V626" s="6">
        <v>43647</v>
      </c>
      <c r="W626" s="6">
        <v>43644</v>
      </c>
      <c r="X626" s="6">
        <v>43649</v>
      </c>
      <c r="Y626" s="5" t="s">
        <v>1735</v>
      </c>
      <c r="Z626" s="5" t="s">
        <v>1735</v>
      </c>
      <c r="AA626" s="5" t="s">
        <v>1735</v>
      </c>
      <c r="AB626" s="5" t="s">
        <v>67</v>
      </c>
      <c r="AC626" s="5" t="s">
        <v>67</v>
      </c>
      <c r="AD626" s="5" t="s">
        <v>67</v>
      </c>
      <c r="AE626" s="5"/>
      <c r="AF626" s="5" t="s">
        <v>2399</v>
      </c>
      <c r="AG626" s="5" t="s">
        <v>2400</v>
      </c>
      <c r="AH626" s="5" t="s">
        <v>2399</v>
      </c>
      <c r="AI626" s="5" t="s">
        <v>73</v>
      </c>
      <c r="AJ626" s="5">
        <v>0</v>
      </c>
      <c r="AK626" s="5">
        <v>0</v>
      </c>
      <c r="AL626" s="5">
        <v>0</v>
      </c>
      <c r="AM626" s="5">
        <v>0</v>
      </c>
      <c r="AN626" s="5">
        <v>1</v>
      </c>
      <c r="AO626" s="5">
        <v>315</v>
      </c>
      <c r="AP626" s="5">
        <v>2.298</v>
      </c>
      <c r="AQ626" s="5" t="s">
        <v>713</v>
      </c>
      <c r="AR626" s="5" t="s">
        <v>1104</v>
      </c>
      <c r="AS626" s="5" t="s">
        <v>713</v>
      </c>
      <c r="AT626" s="6">
        <v>43771</v>
      </c>
      <c r="AU626" s="5" t="s">
        <v>4368</v>
      </c>
      <c r="AV626" s="5">
        <v>391</v>
      </c>
      <c r="AW626" s="5" t="s">
        <v>4369</v>
      </c>
    </row>
    <row r="627" spans="1:49" x14ac:dyDescent="0.55000000000000004">
      <c r="A627" s="5" t="str">
        <f>HYPERLINK("https://www.infodis.net/philips/net/Shipment/Details?InfodisNumber=1381617&amp;DomainCode=PHILIPSM1", "1381617")</f>
        <v>1381617</v>
      </c>
      <c r="B627" s="5" t="s">
        <v>4370</v>
      </c>
      <c r="C627" s="5" t="s">
        <v>2080</v>
      </c>
      <c r="D627" s="5" t="s">
        <v>2081</v>
      </c>
      <c r="E627" s="5" t="s">
        <v>2089</v>
      </c>
      <c r="F627" s="5"/>
      <c r="G627" s="5" t="s">
        <v>1430</v>
      </c>
      <c r="H627" s="5" t="s">
        <v>244</v>
      </c>
      <c r="I627" s="5" t="s">
        <v>2084</v>
      </c>
      <c r="J627" s="5" t="s">
        <v>2583</v>
      </c>
      <c r="K627" s="5" t="s">
        <v>4371</v>
      </c>
      <c r="L627" s="5" t="s">
        <v>881</v>
      </c>
      <c r="M627" s="5" t="s">
        <v>60</v>
      </c>
      <c r="N627" s="5"/>
      <c r="O627" s="5"/>
      <c r="P627" s="5" t="s">
        <v>1432</v>
      </c>
      <c r="Q627" s="5" t="s">
        <v>4372</v>
      </c>
      <c r="R627" s="5" t="s">
        <v>4373</v>
      </c>
      <c r="S627" s="6">
        <v>43971</v>
      </c>
      <c r="T627" s="6">
        <v>43973</v>
      </c>
      <c r="U627" s="6">
        <v>43979</v>
      </c>
      <c r="V627" s="6">
        <v>43973</v>
      </c>
      <c r="W627" s="6">
        <v>43980</v>
      </c>
      <c r="X627" s="5"/>
      <c r="Y627" s="5" t="s">
        <v>2387</v>
      </c>
      <c r="Z627" s="5" t="s">
        <v>2387</v>
      </c>
      <c r="AA627" s="5" t="s">
        <v>603</v>
      </c>
      <c r="AB627" s="5" t="s">
        <v>67</v>
      </c>
      <c r="AC627" s="5" t="s">
        <v>67</v>
      </c>
      <c r="AD627" s="5" t="s">
        <v>68</v>
      </c>
      <c r="AE627" s="5"/>
      <c r="AF627" s="5" t="s">
        <v>2388</v>
      </c>
      <c r="AG627" s="5" t="s">
        <v>2389</v>
      </c>
      <c r="AH627" s="5" t="s">
        <v>2388</v>
      </c>
      <c r="AI627" s="5" t="s">
        <v>605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2.4</v>
      </c>
      <c r="AP627" s="5">
        <v>5.1999999999999998E-2</v>
      </c>
      <c r="AQ627" s="5" t="s">
        <v>713</v>
      </c>
      <c r="AR627" s="5" t="s">
        <v>1104</v>
      </c>
      <c r="AS627" s="5"/>
      <c r="AT627" s="5"/>
      <c r="AU627" s="5"/>
      <c r="AV627" s="5">
        <v>-1</v>
      </c>
      <c r="AW627" s="5" t="s">
        <v>3672</v>
      </c>
    </row>
    <row r="628" spans="1:49" x14ac:dyDescent="0.55000000000000004">
      <c r="A628" s="5" t="str">
        <f>HYPERLINK("https://www.infodis.net/philips/net/Shipment/Details?InfodisNumber=4219279&amp;DomainCode=DAP", "4219279")</f>
        <v>4219279</v>
      </c>
      <c r="B628" s="5" t="s">
        <v>4374</v>
      </c>
      <c r="C628" s="5" t="s">
        <v>4225</v>
      </c>
      <c r="D628" s="5" t="s">
        <v>4226</v>
      </c>
      <c r="E628" s="5" t="s">
        <v>1187</v>
      </c>
      <c r="F628" s="5" t="s">
        <v>1627</v>
      </c>
      <c r="G628" s="5" t="s">
        <v>880</v>
      </c>
      <c r="H628" s="5" t="s">
        <v>881</v>
      </c>
      <c r="I628" s="5" t="s">
        <v>2583</v>
      </c>
      <c r="J628" s="5" t="s">
        <v>2688</v>
      </c>
      <c r="K628" s="5" t="s">
        <v>1629</v>
      </c>
      <c r="L628" s="5" t="s">
        <v>207</v>
      </c>
      <c r="M628" s="5" t="s">
        <v>60</v>
      </c>
      <c r="N628" s="5"/>
      <c r="O628" s="5"/>
      <c r="P628" s="5" t="s">
        <v>888</v>
      </c>
      <c r="Q628" s="5" t="s">
        <v>4375</v>
      </c>
      <c r="R628" s="5" t="s">
        <v>1631</v>
      </c>
      <c r="S628" s="6">
        <v>43640</v>
      </c>
      <c r="T628" s="6">
        <v>43640</v>
      </c>
      <c r="U628" s="6">
        <v>43651</v>
      </c>
      <c r="V628" s="6">
        <v>43652</v>
      </c>
      <c r="W628" s="6">
        <v>43651</v>
      </c>
      <c r="X628" s="6">
        <v>43654</v>
      </c>
      <c r="Y628" s="5" t="s">
        <v>1735</v>
      </c>
      <c r="Z628" s="5" t="s">
        <v>1735</v>
      </c>
      <c r="AA628" s="5" t="s">
        <v>1735</v>
      </c>
      <c r="AB628" s="5" t="s">
        <v>67</v>
      </c>
      <c r="AC628" s="5" t="s">
        <v>67</v>
      </c>
      <c r="AD628" s="5" t="s">
        <v>67</v>
      </c>
      <c r="AE628" s="5"/>
      <c r="AF628" s="5" t="s">
        <v>2179</v>
      </c>
      <c r="AG628" s="5" t="s">
        <v>2180</v>
      </c>
      <c r="AH628" s="5" t="s">
        <v>2179</v>
      </c>
      <c r="AI628" s="5" t="s">
        <v>73</v>
      </c>
      <c r="AJ628" s="5">
        <v>0</v>
      </c>
      <c r="AK628" s="5">
        <v>0</v>
      </c>
      <c r="AL628" s="5">
        <v>0</v>
      </c>
      <c r="AM628" s="5">
        <v>0</v>
      </c>
      <c r="AN628" s="5">
        <v>2</v>
      </c>
      <c r="AO628" s="5">
        <v>211</v>
      </c>
      <c r="AP628" s="5">
        <v>1.536</v>
      </c>
      <c r="AQ628" s="5" t="s">
        <v>713</v>
      </c>
      <c r="AR628" s="5" t="s">
        <v>1104</v>
      </c>
      <c r="AS628" s="5"/>
      <c r="AT628" s="5"/>
      <c r="AU628" s="5"/>
      <c r="AV628" s="5">
        <v>-1</v>
      </c>
      <c r="AW628" s="5" t="s">
        <v>4376</v>
      </c>
    </row>
    <row r="629" spans="1:49" x14ac:dyDescent="0.55000000000000004">
      <c r="A629" s="5" t="str">
        <f>HYPERLINK("https://www.infodis.net/philips/net/Shipment/Details?InfodisNumber=4264354&amp;DomainCode=DAP", "4264354")</f>
        <v>4264354</v>
      </c>
      <c r="B629" s="5" t="s">
        <v>4377</v>
      </c>
      <c r="C629" s="5" t="s">
        <v>4225</v>
      </c>
      <c r="D629" s="5" t="s">
        <v>4226</v>
      </c>
      <c r="E629" s="5" t="s">
        <v>1187</v>
      </c>
      <c r="F629" s="5" t="s">
        <v>4322</v>
      </c>
      <c r="G629" s="5" t="s">
        <v>880</v>
      </c>
      <c r="H629" s="5" t="s">
        <v>881</v>
      </c>
      <c r="I629" s="5" t="s">
        <v>2583</v>
      </c>
      <c r="J629" s="5" t="s">
        <v>2435</v>
      </c>
      <c r="K629" s="5" t="s">
        <v>58</v>
      </c>
      <c r="L629" s="5" t="s">
        <v>59</v>
      </c>
      <c r="M629" s="5" t="s">
        <v>1794</v>
      </c>
      <c r="N629" s="5"/>
      <c r="O629" s="5" t="s">
        <v>4378</v>
      </c>
      <c r="P629" s="5" t="s">
        <v>888</v>
      </c>
      <c r="Q629" s="5"/>
      <c r="R629" s="5" t="s">
        <v>4324</v>
      </c>
      <c r="S629" s="6">
        <v>43689</v>
      </c>
      <c r="T629" s="6">
        <v>43692</v>
      </c>
      <c r="U629" s="6">
        <v>43690</v>
      </c>
      <c r="V629" s="6">
        <v>43695</v>
      </c>
      <c r="W629" s="6">
        <v>43692</v>
      </c>
      <c r="X629" s="6">
        <v>43694</v>
      </c>
      <c r="Y629" s="5" t="s">
        <v>2518</v>
      </c>
      <c r="Z629" s="5" t="s">
        <v>2518</v>
      </c>
      <c r="AA629" s="5" t="s">
        <v>2518</v>
      </c>
      <c r="AB629" s="5" t="s">
        <v>67</v>
      </c>
      <c r="AC629" s="5" t="s">
        <v>67</v>
      </c>
      <c r="AD629" s="5" t="s">
        <v>67</v>
      </c>
      <c r="AE629" s="5"/>
      <c r="AF629" s="5" t="s">
        <v>2179</v>
      </c>
      <c r="AG629" s="5" t="s">
        <v>2180</v>
      </c>
      <c r="AH629" s="5" t="s">
        <v>2179</v>
      </c>
      <c r="AI629" s="5" t="s">
        <v>73</v>
      </c>
      <c r="AJ629" s="5">
        <v>0</v>
      </c>
      <c r="AK629" s="5">
        <v>0</v>
      </c>
      <c r="AL629" s="5">
        <v>0</v>
      </c>
      <c r="AM629" s="5">
        <v>0</v>
      </c>
      <c r="AN629" s="5">
        <v>1</v>
      </c>
      <c r="AO629" s="5">
        <v>103</v>
      </c>
      <c r="AP629" s="5">
        <v>1.1519999999999999</v>
      </c>
      <c r="AQ629" s="5" t="s">
        <v>713</v>
      </c>
      <c r="AR629" s="5" t="s">
        <v>1104</v>
      </c>
      <c r="AS629" s="5"/>
      <c r="AT629" s="5"/>
      <c r="AU629" s="5"/>
      <c r="AV629" s="5">
        <v>-1</v>
      </c>
      <c r="AW629" s="5" t="s">
        <v>2301</v>
      </c>
    </row>
    <row r="630" spans="1:49" x14ac:dyDescent="0.55000000000000004">
      <c r="A630" s="5" t="str">
        <f>HYPERLINK("https://www.infodis.net/philips/net/Shipment/Details?InfodisNumber=1502880&amp;DomainCode=PHILIPSM1", "1502880")</f>
        <v>1502880</v>
      </c>
      <c r="B630" s="5" t="s">
        <v>4379</v>
      </c>
      <c r="C630" s="5" t="s">
        <v>2491</v>
      </c>
      <c r="D630" s="5" t="s">
        <v>2492</v>
      </c>
      <c r="E630" s="5" t="s">
        <v>2491</v>
      </c>
      <c r="F630" s="5" t="s">
        <v>3160</v>
      </c>
      <c r="G630" s="5" t="s">
        <v>1431</v>
      </c>
      <c r="H630" s="5" t="s">
        <v>180</v>
      </c>
      <c r="I630" s="5" t="s">
        <v>2494</v>
      </c>
      <c r="J630" s="5" t="s">
        <v>2308</v>
      </c>
      <c r="K630" s="5" t="s">
        <v>2430</v>
      </c>
      <c r="L630" s="5" t="s">
        <v>2134</v>
      </c>
      <c r="M630" s="5" t="s">
        <v>60</v>
      </c>
      <c r="N630" s="5"/>
      <c r="O630" s="5"/>
      <c r="P630" s="5" t="s">
        <v>1434</v>
      </c>
      <c r="Q630" s="5" t="s">
        <v>4380</v>
      </c>
      <c r="R630" s="5" t="s">
        <v>3162</v>
      </c>
      <c r="S630" s="6">
        <v>44085</v>
      </c>
      <c r="T630" s="6">
        <v>44085</v>
      </c>
      <c r="U630" s="6">
        <v>44085</v>
      </c>
      <c r="V630" s="6">
        <v>44088</v>
      </c>
      <c r="W630" s="6">
        <v>44097</v>
      </c>
      <c r="X630" s="5"/>
      <c r="Y630" s="5" t="s">
        <v>2387</v>
      </c>
      <c r="Z630" s="5" t="s">
        <v>2387</v>
      </c>
      <c r="AA630" s="5" t="s">
        <v>603</v>
      </c>
      <c r="AB630" s="5" t="s">
        <v>67</v>
      </c>
      <c r="AC630" s="5" t="s">
        <v>67</v>
      </c>
      <c r="AD630" s="5" t="s">
        <v>68</v>
      </c>
      <c r="AE630" s="5"/>
      <c r="AF630" s="5" t="s">
        <v>2179</v>
      </c>
      <c r="AG630" s="5" t="s">
        <v>2180</v>
      </c>
      <c r="AH630" s="5" t="s">
        <v>2179</v>
      </c>
      <c r="AI630" s="5" t="s">
        <v>605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74.400000000000006</v>
      </c>
      <c r="AP630" s="5">
        <v>0.77099999999999991</v>
      </c>
      <c r="AQ630" s="5" t="s">
        <v>713</v>
      </c>
      <c r="AR630" s="5" t="s">
        <v>1104</v>
      </c>
      <c r="AS630" s="5"/>
      <c r="AT630" s="5"/>
      <c r="AU630" s="5"/>
      <c r="AV630" s="5">
        <v>-1</v>
      </c>
      <c r="AW630" s="5" t="s">
        <v>3752</v>
      </c>
    </row>
    <row r="631" spans="1:49" x14ac:dyDescent="0.55000000000000004">
      <c r="A631" s="5" t="str">
        <f>HYPERLINK("https://www.infodis.net/philips/net/Shipment/Details?InfodisNumber=1443023&amp;DomainCode=PHILIPSM1", "1443023")</f>
        <v>1443023</v>
      </c>
      <c r="B631" s="5" t="s">
        <v>4381</v>
      </c>
      <c r="C631" s="5" t="s">
        <v>2353</v>
      </c>
      <c r="D631" s="5" t="s">
        <v>2354</v>
      </c>
      <c r="E631" s="5" t="s">
        <v>2355</v>
      </c>
      <c r="F631" s="5" t="s">
        <v>3953</v>
      </c>
      <c r="G631" s="5" t="s">
        <v>667</v>
      </c>
      <c r="H631" s="5" t="s">
        <v>79</v>
      </c>
      <c r="I631" s="5" t="s">
        <v>1813</v>
      </c>
      <c r="J631" s="5" t="s">
        <v>4197</v>
      </c>
      <c r="K631" s="5" t="s">
        <v>3954</v>
      </c>
      <c r="L631" s="5" t="s">
        <v>132</v>
      </c>
      <c r="M631" s="5" t="s">
        <v>60</v>
      </c>
      <c r="N631" s="5"/>
      <c r="O631" s="5"/>
      <c r="P631" s="5" t="s">
        <v>1853</v>
      </c>
      <c r="Q631" s="5" t="s">
        <v>4382</v>
      </c>
      <c r="R631" s="5" t="s">
        <v>3956</v>
      </c>
      <c r="S631" s="6">
        <v>44027</v>
      </c>
      <c r="T631" s="6">
        <v>44028</v>
      </c>
      <c r="U631" s="6">
        <v>44027</v>
      </c>
      <c r="V631" s="6">
        <v>44033</v>
      </c>
      <c r="W631" s="6">
        <v>44030</v>
      </c>
      <c r="X631" s="5"/>
      <c r="Y631" s="5" t="s">
        <v>2387</v>
      </c>
      <c r="Z631" s="5" t="s">
        <v>2387</v>
      </c>
      <c r="AA631" s="5" t="s">
        <v>603</v>
      </c>
      <c r="AB631" s="5" t="s">
        <v>67</v>
      </c>
      <c r="AC631" s="5" t="s">
        <v>67</v>
      </c>
      <c r="AD631" s="5" t="s">
        <v>68</v>
      </c>
      <c r="AE631" s="5"/>
      <c r="AF631" s="5" t="s">
        <v>2179</v>
      </c>
      <c r="AG631" s="5" t="s">
        <v>2180</v>
      </c>
      <c r="AH631" s="5" t="s">
        <v>2179</v>
      </c>
      <c r="AI631" s="5" t="s">
        <v>605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330</v>
      </c>
      <c r="AP631" s="5">
        <v>2.5979999999999999</v>
      </c>
      <c r="AQ631" s="5" t="s">
        <v>713</v>
      </c>
      <c r="AR631" s="5" t="s">
        <v>1104</v>
      </c>
      <c r="AS631" s="5"/>
      <c r="AT631" s="5"/>
      <c r="AU631" s="5"/>
      <c r="AV631" s="5">
        <v>-1</v>
      </c>
      <c r="AW631" s="5" t="s">
        <v>3715</v>
      </c>
    </row>
    <row r="632" spans="1:49" x14ac:dyDescent="0.55000000000000004">
      <c r="A632" s="5" t="str">
        <f>HYPERLINK("https://www.infodis.net/philips/net/Shipment/Details?InfodisNumber=1502855&amp;DomainCode=PHILIPSM1", "1502855")</f>
        <v>1502855</v>
      </c>
      <c r="B632" s="5" t="s">
        <v>4383</v>
      </c>
      <c r="C632" s="5" t="s">
        <v>2491</v>
      </c>
      <c r="D632" s="5" t="s">
        <v>2492</v>
      </c>
      <c r="E632" s="5" t="s">
        <v>2491</v>
      </c>
      <c r="F632" s="5" t="s">
        <v>2937</v>
      </c>
      <c r="G632" s="5" t="s">
        <v>1431</v>
      </c>
      <c r="H632" s="5" t="s">
        <v>180</v>
      </c>
      <c r="I632" s="5" t="s">
        <v>2494</v>
      </c>
      <c r="J632" s="5" t="s">
        <v>2938</v>
      </c>
      <c r="K632" s="5" t="s">
        <v>2939</v>
      </c>
      <c r="L632" s="5" t="s">
        <v>2940</v>
      </c>
      <c r="M632" s="5" t="s">
        <v>60</v>
      </c>
      <c r="N632" s="5"/>
      <c r="O632" s="5"/>
      <c r="P632" s="5" t="s">
        <v>1434</v>
      </c>
      <c r="Q632" s="5" t="s">
        <v>4384</v>
      </c>
      <c r="R632" s="5" t="s">
        <v>2942</v>
      </c>
      <c r="S632" s="6">
        <v>44085</v>
      </c>
      <c r="T632" s="6">
        <v>44085</v>
      </c>
      <c r="U632" s="6">
        <v>44102</v>
      </c>
      <c r="V632" s="6">
        <v>44086</v>
      </c>
      <c r="W632" s="6">
        <v>44112</v>
      </c>
      <c r="X632" s="5"/>
      <c r="Y632" s="5" t="s">
        <v>2387</v>
      </c>
      <c r="Z632" s="5" t="s">
        <v>2387</v>
      </c>
      <c r="AA632" s="5" t="s">
        <v>603</v>
      </c>
      <c r="AB632" s="5" t="s">
        <v>67</v>
      </c>
      <c r="AC632" s="5" t="s">
        <v>67</v>
      </c>
      <c r="AD632" s="5" t="s">
        <v>68</v>
      </c>
      <c r="AE632" s="5"/>
      <c r="AF632" s="5" t="s">
        <v>2829</v>
      </c>
      <c r="AG632" s="5" t="s">
        <v>2830</v>
      </c>
      <c r="AH632" s="5" t="s">
        <v>2829</v>
      </c>
      <c r="AI632" s="5" t="s">
        <v>605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5.7</v>
      </c>
      <c r="AP632" s="5">
        <v>5.5E-2</v>
      </c>
      <c r="AQ632" s="5" t="s">
        <v>713</v>
      </c>
      <c r="AR632" s="5" t="s">
        <v>1104</v>
      </c>
      <c r="AS632" s="5"/>
      <c r="AT632" s="5"/>
      <c r="AU632" s="5"/>
      <c r="AV632" s="5">
        <v>-1</v>
      </c>
      <c r="AW632" s="5" t="s">
        <v>3752</v>
      </c>
    </row>
    <row r="633" spans="1:49" x14ac:dyDescent="0.55000000000000004">
      <c r="A633" s="5" t="str">
        <f>HYPERLINK("https://www.infodis.net/philips/net/Shipment/Details?InfodisNumber=1487094&amp;DomainCode=PHILIPSM1", "1487094")</f>
        <v>1487094</v>
      </c>
      <c r="B633" s="5" t="s">
        <v>4385</v>
      </c>
      <c r="C633" s="5" t="s">
        <v>2491</v>
      </c>
      <c r="D633" s="5" t="s">
        <v>2492</v>
      </c>
      <c r="E633" s="5" t="s">
        <v>2491</v>
      </c>
      <c r="F633" s="5" t="s">
        <v>2493</v>
      </c>
      <c r="G633" s="5" t="s">
        <v>1431</v>
      </c>
      <c r="H633" s="5" t="s">
        <v>180</v>
      </c>
      <c r="I633" s="5" t="s">
        <v>2494</v>
      </c>
      <c r="J633" s="5" t="s">
        <v>2495</v>
      </c>
      <c r="K633" s="5" t="s">
        <v>2496</v>
      </c>
      <c r="L633" s="5" t="s">
        <v>73</v>
      </c>
      <c r="M633" s="5" t="s">
        <v>60</v>
      </c>
      <c r="N633" s="5"/>
      <c r="O633" s="5"/>
      <c r="P633" s="5" t="s">
        <v>1434</v>
      </c>
      <c r="Q633" s="5" t="s">
        <v>4386</v>
      </c>
      <c r="R633" s="5" t="s">
        <v>2498</v>
      </c>
      <c r="S633" s="6">
        <v>44067</v>
      </c>
      <c r="T633" s="6">
        <v>44067</v>
      </c>
      <c r="U633" s="6">
        <v>44067</v>
      </c>
      <c r="V633" s="6">
        <v>44067</v>
      </c>
      <c r="W633" s="6">
        <v>44078</v>
      </c>
      <c r="X633" s="5"/>
      <c r="Y633" s="5" t="s">
        <v>2387</v>
      </c>
      <c r="Z633" s="5" t="s">
        <v>2387</v>
      </c>
      <c r="AA633" s="5" t="s">
        <v>603</v>
      </c>
      <c r="AB633" s="5" t="s">
        <v>67</v>
      </c>
      <c r="AC633" s="5" t="s">
        <v>67</v>
      </c>
      <c r="AD633" s="5" t="s">
        <v>68</v>
      </c>
      <c r="AE633" s="5"/>
      <c r="AF633" s="5" t="s">
        <v>2499</v>
      </c>
      <c r="AG633" s="5" t="s">
        <v>2500</v>
      </c>
      <c r="AH633" s="5" t="s">
        <v>2499</v>
      </c>
      <c r="AI633" s="5" t="s">
        <v>605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1564.1</v>
      </c>
      <c r="AP633" s="5">
        <v>20.783000000000001</v>
      </c>
      <c r="AQ633" s="5" t="s">
        <v>713</v>
      </c>
      <c r="AR633" s="5" t="s">
        <v>1104</v>
      </c>
      <c r="AS633" s="5"/>
      <c r="AT633" s="5"/>
      <c r="AU633" s="5"/>
      <c r="AV633" s="5">
        <v>-1</v>
      </c>
      <c r="AW633" s="5" t="s">
        <v>3752</v>
      </c>
    </row>
    <row r="634" spans="1:49" x14ac:dyDescent="0.55000000000000004">
      <c r="A634" s="5" t="str">
        <f>HYPERLINK("https://www.infodis.net/philips/net/Shipment/Details?InfodisNumber=1487095&amp;DomainCode=PHILIPSM1", "1487095")</f>
        <v>1487095</v>
      </c>
      <c r="B634" s="5" t="s">
        <v>4387</v>
      </c>
      <c r="C634" s="5" t="s">
        <v>3659</v>
      </c>
      <c r="D634" s="5" t="s">
        <v>3660</v>
      </c>
      <c r="E634" s="5" t="s">
        <v>3659</v>
      </c>
      <c r="F634" s="5" t="s">
        <v>3086</v>
      </c>
      <c r="G634" s="5" t="s">
        <v>3662</v>
      </c>
      <c r="H634" s="5" t="s">
        <v>180</v>
      </c>
      <c r="I634" s="5" t="s">
        <v>2057</v>
      </c>
      <c r="J634" s="5" t="s">
        <v>2607</v>
      </c>
      <c r="K634" s="5" t="s">
        <v>1380</v>
      </c>
      <c r="L634" s="5" t="s">
        <v>132</v>
      </c>
      <c r="M634" s="5" t="s">
        <v>60</v>
      </c>
      <c r="N634" s="5"/>
      <c r="O634" s="5"/>
      <c r="P634" s="5" t="s">
        <v>3663</v>
      </c>
      <c r="Q634" s="5" t="s">
        <v>4388</v>
      </c>
      <c r="R634" s="5" t="s">
        <v>2609</v>
      </c>
      <c r="S634" s="6">
        <v>44067</v>
      </c>
      <c r="T634" s="6">
        <v>44067</v>
      </c>
      <c r="U634" s="6">
        <v>44068</v>
      </c>
      <c r="V634" s="6">
        <v>44070</v>
      </c>
      <c r="W634" s="6">
        <v>44073</v>
      </c>
      <c r="X634" s="5"/>
      <c r="Y634" s="5" t="s">
        <v>2387</v>
      </c>
      <c r="Z634" s="5" t="s">
        <v>2387</v>
      </c>
      <c r="AA634" s="5" t="s">
        <v>2387</v>
      </c>
      <c r="AB634" s="5" t="s">
        <v>67</v>
      </c>
      <c r="AC634" s="5" t="s">
        <v>67</v>
      </c>
      <c r="AD634" s="5" t="s">
        <v>67</v>
      </c>
      <c r="AE634" s="5"/>
      <c r="AF634" s="5" t="s">
        <v>2179</v>
      </c>
      <c r="AG634" s="5" t="s">
        <v>2180</v>
      </c>
      <c r="AH634" s="5" t="s">
        <v>2179</v>
      </c>
      <c r="AI634" s="5" t="s">
        <v>605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50.3</v>
      </c>
      <c r="AP634" s="5">
        <v>0.318</v>
      </c>
      <c r="AQ634" s="5" t="s">
        <v>713</v>
      </c>
      <c r="AR634" s="5" t="s">
        <v>1104</v>
      </c>
      <c r="AS634" s="5" t="s">
        <v>713</v>
      </c>
      <c r="AT634" s="6">
        <v>44127</v>
      </c>
      <c r="AU634" s="5" t="s">
        <v>3664</v>
      </c>
      <c r="AV634" s="5">
        <v>35</v>
      </c>
      <c r="AW634" s="5" t="s">
        <v>3665</v>
      </c>
    </row>
    <row r="635" spans="1:49" x14ac:dyDescent="0.55000000000000004">
      <c r="A635" s="5" t="str">
        <f>HYPERLINK("https://www.infodis.net/philips/net/Shipment/Details?InfodisNumber=1485574&amp;DomainCode=PHILIPSM1", "1485574")</f>
        <v>1485574</v>
      </c>
      <c r="B635" s="5" t="s">
        <v>4389</v>
      </c>
      <c r="C635" s="5" t="s">
        <v>3659</v>
      </c>
      <c r="D635" s="5" t="s">
        <v>3660</v>
      </c>
      <c r="E635" s="5" t="s">
        <v>3659</v>
      </c>
      <c r="F635" s="5" t="s">
        <v>4390</v>
      </c>
      <c r="G635" s="5" t="s">
        <v>3662</v>
      </c>
      <c r="H635" s="5" t="s">
        <v>180</v>
      </c>
      <c r="I635" s="5" t="s">
        <v>2057</v>
      </c>
      <c r="J635" s="5" t="s">
        <v>2084</v>
      </c>
      <c r="K635" s="5" t="s">
        <v>4391</v>
      </c>
      <c r="L635" s="5" t="s">
        <v>244</v>
      </c>
      <c r="M635" s="5" t="s">
        <v>60</v>
      </c>
      <c r="N635" s="5"/>
      <c r="O635" s="5"/>
      <c r="P635" s="5" t="s">
        <v>3663</v>
      </c>
      <c r="Q635" s="5"/>
      <c r="R635" s="5" t="s">
        <v>4392</v>
      </c>
      <c r="S635" s="6">
        <v>44064</v>
      </c>
      <c r="T635" s="6">
        <v>44064</v>
      </c>
      <c r="U635" s="5"/>
      <c r="V635" s="6">
        <v>44067</v>
      </c>
      <c r="W635" s="5"/>
      <c r="X635" s="5"/>
      <c r="Y635" s="5" t="s">
        <v>2387</v>
      </c>
      <c r="Z635" s="5" t="s">
        <v>2387</v>
      </c>
      <c r="AA635" s="5" t="s">
        <v>2387</v>
      </c>
      <c r="AB635" s="5" t="s">
        <v>67</v>
      </c>
      <c r="AC635" s="5" t="s">
        <v>67</v>
      </c>
      <c r="AD635" s="5" t="s">
        <v>67</v>
      </c>
      <c r="AE635" s="5"/>
      <c r="AF635" s="5" t="s">
        <v>2179</v>
      </c>
      <c r="AG635" s="5" t="s">
        <v>2180</v>
      </c>
      <c r="AH635" s="5" t="s">
        <v>2179</v>
      </c>
      <c r="AI635" s="5" t="s">
        <v>605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1.36</v>
      </c>
      <c r="AP635" s="5">
        <v>1.7000000000000001E-2</v>
      </c>
      <c r="AQ635" s="5" t="s">
        <v>713</v>
      </c>
      <c r="AR635" s="5" t="s">
        <v>1104</v>
      </c>
      <c r="AS635" s="5" t="s">
        <v>713</v>
      </c>
      <c r="AT635" s="6">
        <v>44127</v>
      </c>
      <c r="AU635" s="5" t="s">
        <v>3664</v>
      </c>
      <c r="AV635" s="5">
        <v>35</v>
      </c>
      <c r="AW635" s="5" t="s">
        <v>3665</v>
      </c>
    </row>
    <row r="636" spans="1:49" x14ac:dyDescent="0.55000000000000004">
      <c r="A636" s="5" t="str">
        <f>HYPERLINK("https://www.infodis.net/philips/net/Shipment/Details?InfodisNumber=1485559&amp;DomainCode=PHILIPSM1", "1485559")</f>
        <v>1485559</v>
      </c>
      <c r="B636" s="5" t="s">
        <v>4393</v>
      </c>
      <c r="C636" s="5" t="s">
        <v>3659</v>
      </c>
      <c r="D636" s="5" t="s">
        <v>3660</v>
      </c>
      <c r="E636" s="5" t="s">
        <v>3659</v>
      </c>
      <c r="F636" s="5" t="s">
        <v>4394</v>
      </c>
      <c r="G636" s="5" t="s">
        <v>3662</v>
      </c>
      <c r="H636" s="5" t="s">
        <v>180</v>
      </c>
      <c r="I636" s="5" t="s">
        <v>2057</v>
      </c>
      <c r="J636" s="5" t="s">
        <v>268</v>
      </c>
      <c r="K636" s="5" t="s">
        <v>1452</v>
      </c>
      <c r="L636" s="5" t="s">
        <v>267</v>
      </c>
      <c r="M636" s="5" t="s">
        <v>60</v>
      </c>
      <c r="N636" s="5"/>
      <c r="O636" s="5"/>
      <c r="P636" s="5" t="s">
        <v>3663</v>
      </c>
      <c r="Q636" s="5" t="s">
        <v>4395</v>
      </c>
      <c r="R636" s="5" t="s">
        <v>2578</v>
      </c>
      <c r="S636" s="6">
        <v>44064</v>
      </c>
      <c r="T636" s="6">
        <v>44064</v>
      </c>
      <c r="U636" s="6">
        <v>44068</v>
      </c>
      <c r="V636" s="6">
        <v>44067</v>
      </c>
      <c r="W636" s="6">
        <v>44075</v>
      </c>
      <c r="X636" s="5"/>
      <c r="Y636" s="5" t="s">
        <v>2387</v>
      </c>
      <c r="Z636" s="5" t="s">
        <v>2387</v>
      </c>
      <c r="AA636" s="5" t="s">
        <v>2387</v>
      </c>
      <c r="AB636" s="5" t="s">
        <v>67</v>
      </c>
      <c r="AC636" s="5" t="s">
        <v>67</v>
      </c>
      <c r="AD636" s="5" t="s">
        <v>67</v>
      </c>
      <c r="AE636" s="5"/>
      <c r="AF636" s="5" t="s">
        <v>2179</v>
      </c>
      <c r="AG636" s="5" t="s">
        <v>2180</v>
      </c>
      <c r="AH636" s="5" t="s">
        <v>2179</v>
      </c>
      <c r="AI636" s="5" t="s">
        <v>605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2.2999999999999998</v>
      </c>
      <c r="AP636" s="5">
        <v>5.2999999999999999E-2</v>
      </c>
      <c r="AQ636" s="5" t="s">
        <v>713</v>
      </c>
      <c r="AR636" s="5" t="s">
        <v>1104</v>
      </c>
      <c r="AS636" s="5"/>
      <c r="AT636" s="5"/>
      <c r="AU636" s="5"/>
      <c r="AV636" s="5">
        <v>-1</v>
      </c>
      <c r="AW636" s="5" t="s">
        <v>3752</v>
      </c>
    </row>
    <row r="637" spans="1:49" x14ac:dyDescent="0.55000000000000004">
      <c r="A637" s="5" t="str">
        <f>HYPERLINK("https://www.infodis.net/philips/net/Shipment/Details?InfodisNumber=4501157&amp;DomainCode=DAP", "4501157")</f>
        <v>4501157</v>
      </c>
      <c r="B637" s="5" t="s">
        <v>4396</v>
      </c>
      <c r="C637" s="5" t="s">
        <v>2067</v>
      </c>
      <c r="D637" s="5" t="s">
        <v>2068</v>
      </c>
      <c r="E637" s="5" t="s">
        <v>4207</v>
      </c>
      <c r="F637" s="5" t="s">
        <v>4208</v>
      </c>
      <c r="G637" s="5" t="s">
        <v>82</v>
      </c>
      <c r="H637" s="5" t="s">
        <v>83</v>
      </c>
      <c r="I637" s="5" t="s">
        <v>2141</v>
      </c>
      <c r="J637" s="5" t="s">
        <v>2396</v>
      </c>
      <c r="K637" s="5" t="s">
        <v>3692</v>
      </c>
      <c r="L637" s="5" t="s">
        <v>79</v>
      </c>
      <c r="M637" s="5" t="s">
        <v>84</v>
      </c>
      <c r="N637" s="5"/>
      <c r="O637" s="5"/>
      <c r="P637" s="5" t="s">
        <v>87</v>
      </c>
      <c r="Q637" s="5" t="s">
        <v>4397</v>
      </c>
      <c r="R637" s="5" t="s">
        <v>4210</v>
      </c>
      <c r="S637" s="6">
        <v>44072</v>
      </c>
      <c r="T637" s="6">
        <v>44074</v>
      </c>
      <c r="U637" s="6">
        <v>44083</v>
      </c>
      <c r="V637" s="6">
        <v>44077</v>
      </c>
      <c r="W637" s="6">
        <v>44085</v>
      </c>
      <c r="X637" s="6">
        <v>44091</v>
      </c>
      <c r="Y637" s="5" t="s">
        <v>2411</v>
      </c>
      <c r="Z637" s="5" t="s">
        <v>2411</v>
      </c>
      <c r="AA637" s="5" t="s">
        <v>2411</v>
      </c>
      <c r="AB637" s="5" t="s">
        <v>67</v>
      </c>
      <c r="AC637" s="5" t="s">
        <v>67</v>
      </c>
      <c r="AD637" s="5" t="s">
        <v>67</v>
      </c>
      <c r="AE637" s="5"/>
      <c r="AF637" s="5" t="s">
        <v>2179</v>
      </c>
      <c r="AG637" s="5" t="s">
        <v>2180</v>
      </c>
      <c r="AH637" s="5" t="s">
        <v>2179</v>
      </c>
      <c r="AI637" s="5" t="s">
        <v>73</v>
      </c>
      <c r="AJ637" s="5">
        <v>0</v>
      </c>
      <c r="AK637" s="5">
        <v>0</v>
      </c>
      <c r="AL637" s="5">
        <v>0</v>
      </c>
      <c r="AM637" s="5">
        <v>0</v>
      </c>
      <c r="AN637" s="5">
        <v>1</v>
      </c>
      <c r="AO637" s="5">
        <v>36</v>
      </c>
      <c r="AP637" s="5">
        <v>0.72</v>
      </c>
      <c r="AQ637" s="5" t="s">
        <v>713</v>
      </c>
      <c r="AR637" s="5" t="s">
        <v>1104</v>
      </c>
      <c r="AS637" s="5" t="s">
        <v>713</v>
      </c>
      <c r="AT637" s="6">
        <v>44075</v>
      </c>
      <c r="AU637" s="5" t="s">
        <v>4398</v>
      </c>
      <c r="AV637" s="5">
        <v>87</v>
      </c>
      <c r="AW637" s="5" t="s">
        <v>4399</v>
      </c>
    </row>
    <row r="638" spans="1:49" x14ac:dyDescent="0.55000000000000004">
      <c r="A638" s="5" t="str">
        <f>HYPERLINK("https://www.infodis.net/philips/net/Shipment/Details?InfodisNumber=1484230&amp;DomainCode=PHILIPSM1", "1484230")</f>
        <v>1484230</v>
      </c>
      <c r="B638" s="5" t="s">
        <v>4400</v>
      </c>
      <c r="C638" s="5" t="s">
        <v>3659</v>
      </c>
      <c r="D638" s="5" t="s">
        <v>3660</v>
      </c>
      <c r="E638" s="5" t="s">
        <v>3659</v>
      </c>
      <c r="F638" s="5" t="s">
        <v>3736</v>
      </c>
      <c r="G638" s="5" t="s">
        <v>3662</v>
      </c>
      <c r="H638" s="5" t="s">
        <v>180</v>
      </c>
      <c r="I638" s="5" t="s">
        <v>2057</v>
      </c>
      <c r="J638" s="5" t="s">
        <v>1201</v>
      </c>
      <c r="K638" s="5" t="s">
        <v>3737</v>
      </c>
      <c r="L638" s="5" t="s">
        <v>1203</v>
      </c>
      <c r="M638" s="5" t="s">
        <v>60</v>
      </c>
      <c r="N638" s="5"/>
      <c r="O638" s="5"/>
      <c r="P638" s="5" t="s">
        <v>3663</v>
      </c>
      <c r="Q638" s="5" t="s">
        <v>4401</v>
      </c>
      <c r="R638" s="5" t="s">
        <v>1201</v>
      </c>
      <c r="S638" s="6">
        <v>44063</v>
      </c>
      <c r="T638" s="6">
        <v>44063</v>
      </c>
      <c r="U638" s="6">
        <v>44068</v>
      </c>
      <c r="V638" s="6">
        <v>44066</v>
      </c>
      <c r="W638" s="6">
        <v>44073</v>
      </c>
      <c r="X638" s="6">
        <v>44078</v>
      </c>
      <c r="Y638" s="5" t="s">
        <v>2387</v>
      </c>
      <c r="Z638" s="5" t="s">
        <v>2387</v>
      </c>
      <c r="AA638" s="5" t="s">
        <v>2387</v>
      </c>
      <c r="AB638" s="5" t="s">
        <v>67</v>
      </c>
      <c r="AC638" s="5" t="s">
        <v>67</v>
      </c>
      <c r="AD638" s="5" t="s">
        <v>67</v>
      </c>
      <c r="AE638" s="5"/>
      <c r="AF638" s="5" t="s">
        <v>2179</v>
      </c>
      <c r="AG638" s="5" t="s">
        <v>2180</v>
      </c>
      <c r="AH638" s="5" t="s">
        <v>2179</v>
      </c>
      <c r="AI638" s="5" t="s">
        <v>605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86.2</v>
      </c>
      <c r="AP638" s="5">
        <v>1.661</v>
      </c>
      <c r="AQ638" s="5" t="s">
        <v>713</v>
      </c>
      <c r="AR638" s="5" t="s">
        <v>1104</v>
      </c>
      <c r="AS638" s="5" t="s">
        <v>713</v>
      </c>
      <c r="AT638" s="6">
        <v>44127</v>
      </c>
      <c r="AU638" s="5" t="s">
        <v>3664</v>
      </c>
      <c r="AV638" s="5">
        <v>35</v>
      </c>
      <c r="AW638" s="5" t="s">
        <v>3665</v>
      </c>
    </row>
    <row r="639" spans="1:49" x14ac:dyDescent="0.55000000000000004">
      <c r="A639" s="5" t="str">
        <f>HYPERLINK("https://www.infodis.net/philips/net/Shipment/Details?InfodisNumber=4509436&amp;DomainCode=DAP", "4509436")</f>
        <v>4509436</v>
      </c>
      <c r="B639" s="5" t="s">
        <v>4402</v>
      </c>
      <c r="C639" s="5" t="s">
        <v>3829</v>
      </c>
      <c r="D639" s="5" t="s">
        <v>3830</v>
      </c>
      <c r="E639" s="5" t="s">
        <v>3829</v>
      </c>
      <c r="F639" s="5" t="s">
        <v>256</v>
      </c>
      <c r="G639" s="5" t="s">
        <v>667</v>
      </c>
      <c r="H639" s="5" t="s">
        <v>79</v>
      </c>
      <c r="I639" s="5" t="s">
        <v>1813</v>
      </c>
      <c r="J639" s="5" t="s">
        <v>2626</v>
      </c>
      <c r="K639" s="5" t="s">
        <v>259</v>
      </c>
      <c r="L639" s="5" t="s">
        <v>260</v>
      </c>
      <c r="M639" s="5" t="s">
        <v>1489</v>
      </c>
      <c r="N639" s="5"/>
      <c r="O639" s="5"/>
      <c r="P639" s="5" t="s">
        <v>1180</v>
      </c>
      <c r="Q639" s="5"/>
      <c r="R639" s="5" t="s">
        <v>262</v>
      </c>
      <c r="S639" s="6">
        <v>44083</v>
      </c>
      <c r="T639" s="6">
        <v>44088</v>
      </c>
      <c r="U639" s="5"/>
      <c r="V639" s="6">
        <v>44091</v>
      </c>
      <c r="W639" s="5"/>
      <c r="X639" s="5"/>
      <c r="Y639" s="5" t="s">
        <v>2411</v>
      </c>
      <c r="Z639" s="5" t="s">
        <v>2411</v>
      </c>
      <c r="AA639" s="5" t="s">
        <v>2411</v>
      </c>
      <c r="AB639" s="5" t="s">
        <v>67</v>
      </c>
      <c r="AC639" s="5" t="s">
        <v>67</v>
      </c>
      <c r="AD639" s="5" t="s">
        <v>67</v>
      </c>
      <c r="AE639" s="5"/>
      <c r="AF639" s="5" t="s">
        <v>2179</v>
      </c>
      <c r="AG639" s="5" t="s">
        <v>2180</v>
      </c>
      <c r="AH639" s="5" t="s">
        <v>2179</v>
      </c>
      <c r="AI639" s="5" t="s">
        <v>73</v>
      </c>
      <c r="AJ639" s="5">
        <v>0</v>
      </c>
      <c r="AK639" s="5">
        <v>0</v>
      </c>
      <c r="AL639" s="5">
        <v>0</v>
      </c>
      <c r="AM639" s="5">
        <v>0</v>
      </c>
      <c r="AN639" s="5">
        <v>1</v>
      </c>
      <c r="AO639" s="5">
        <v>1674.2</v>
      </c>
      <c r="AP639" s="5">
        <v>23.436</v>
      </c>
      <c r="AQ639" s="5" t="s">
        <v>713</v>
      </c>
      <c r="AR639" s="5" t="s">
        <v>1104</v>
      </c>
      <c r="AS639" s="5"/>
      <c r="AT639" s="5"/>
      <c r="AU639" s="5"/>
      <c r="AV639" s="5">
        <v>-1</v>
      </c>
      <c r="AW639" s="5" t="s">
        <v>1368</v>
      </c>
    </row>
    <row r="640" spans="1:49" x14ac:dyDescent="0.55000000000000004">
      <c r="A640" s="5" t="str">
        <f>HYPERLINK("https://www.infodis.net/philips/net/Shipment/Details?InfodisNumber=1488300&amp;DomainCode=PHILIPSM1", "1488300")</f>
        <v>1488300</v>
      </c>
      <c r="B640" s="5" t="s">
        <v>4403</v>
      </c>
      <c r="C640" s="5" t="s">
        <v>2353</v>
      </c>
      <c r="D640" s="5" t="s">
        <v>2354</v>
      </c>
      <c r="E640" s="5" t="s">
        <v>2355</v>
      </c>
      <c r="F640" s="5" t="s">
        <v>3847</v>
      </c>
      <c r="G640" s="5" t="s">
        <v>667</v>
      </c>
      <c r="H640" s="5" t="s">
        <v>79</v>
      </c>
      <c r="I640" s="5" t="s">
        <v>1813</v>
      </c>
      <c r="J640" s="5" t="s">
        <v>293</v>
      </c>
      <c r="K640" s="5" t="s">
        <v>937</v>
      </c>
      <c r="L640" s="5" t="s">
        <v>938</v>
      </c>
      <c r="M640" s="5" t="s">
        <v>84</v>
      </c>
      <c r="N640" s="5"/>
      <c r="O640" s="5"/>
      <c r="P640" s="5" t="s">
        <v>1853</v>
      </c>
      <c r="Q640" s="5"/>
      <c r="R640" s="5" t="s">
        <v>2517</v>
      </c>
      <c r="S640" s="6">
        <v>44068</v>
      </c>
      <c r="T640" s="6">
        <v>44069</v>
      </c>
      <c r="U640" s="5"/>
      <c r="V640" s="6">
        <v>44072</v>
      </c>
      <c r="W640" s="5"/>
      <c r="X640" s="5"/>
      <c r="Y640" s="5" t="s">
        <v>3615</v>
      </c>
      <c r="Z640" s="5" t="s">
        <v>3615</v>
      </c>
      <c r="AA640" s="5" t="s">
        <v>603</v>
      </c>
      <c r="AB640" s="5" t="s">
        <v>67</v>
      </c>
      <c r="AC640" s="5" t="s">
        <v>67</v>
      </c>
      <c r="AD640" s="5" t="s">
        <v>68</v>
      </c>
      <c r="AE640" s="5"/>
      <c r="AF640" s="5" t="s">
        <v>2179</v>
      </c>
      <c r="AG640" s="5" t="s">
        <v>2180</v>
      </c>
      <c r="AH640" s="5" t="s">
        <v>2179</v>
      </c>
      <c r="AI640" s="5" t="s">
        <v>605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15</v>
      </c>
      <c r="AP640" s="5">
        <v>0.20100000000000001</v>
      </c>
      <c r="AQ640" s="5" t="s">
        <v>713</v>
      </c>
      <c r="AR640" s="5" t="s">
        <v>1104</v>
      </c>
      <c r="AS640" s="5" t="s">
        <v>713</v>
      </c>
      <c r="AT640" s="5"/>
      <c r="AU640" s="5"/>
      <c r="AV640" s="5">
        <v>-1</v>
      </c>
      <c r="AW640" s="5" t="s">
        <v>3848</v>
      </c>
    </row>
    <row r="641" spans="1:49" x14ac:dyDescent="0.55000000000000004">
      <c r="A641" s="5" t="str">
        <f>HYPERLINK("https://www.infodis.net/philips/net/Shipment/Details?InfodisNumber=1482445&amp;DomainCode=PHILIPSM1", "1482445")</f>
        <v>1482445</v>
      </c>
      <c r="B641" s="5" t="s">
        <v>4404</v>
      </c>
      <c r="C641" s="5" t="s">
        <v>3659</v>
      </c>
      <c r="D641" s="5" t="s">
        <v>3660</v>
      </c>
      <c r="E641" s="5" t="s">
        <v>3659</v>
      </c>
      <c r="F641" s="5" t="s">
        <v>3736</v>
      </c>
      <c r="G641" s="5" t="s">
        <v>3662</v>
      </c>
      <c r="H641" s="5" t="s">
        <v>180</v>
      </c>
      <c r="I641" s="5" t="s">
        <v>2057</v>
      </c>
      <c r="J641" s="5" t="s">
        <v>1201</v>
      </c>
      <c r="K641" s="5" t="s">
        <v>3737</v>
      </c>
      <c r="L641" s="5" t="s">
        <v>1203</v>
      </c>
      <c r="M641" s="5" t="s">
        <v>60</v>
      </c>
      <c r="N641" s="5"/>
      <c r="O641" s="5"/>
      <c r="P641" s="5" t="s">
        <v>3663</v>
      </c>
      <c r="Q641" s="5"/>
      <c r="R641" s="5" t="s">
        <v>1201</v>
      </c>
      <c r="S641" s="6">
        <v>44062</v>
      </c>
      <c r="T641" s="6">
        <v>44062</v>
      </c>
      <c r="U641" s="5"/>
      <c r="V641" s="6">
        <v>44065</v>
      </c>
      <c r="W641" s="5"/>
      <c r="X641" s="5"/>
      <c r="Y641" s="5" t="s">
        <v>2387</v>
      </c>
      <c r="Z641" s="5" t="s">
        <v>2387</v>
      </c>
      <c r="AA641" s="5" t="s">
        <v>2387</v>
      </c>
      <c r="AB641" s="5" t="s">
        <v>67</v>
      </c>
      <c r="AC641" s="5" t="s">
        <v>67</v>
      </c>
      <c r="AD641" s="5" t="s">
        <v>67</v>
      </c>
      <c r="AE641" s="5"/>
      <c r="AF641" s="5" t="s">
        <v>2179</v>
      </c>
      <c r="AG641" s="5" t="s">
        <v>2180</v>
      </c>
      <c r="AH641" s="5" t="s">
        <v>2179</v>
      </c>
      <c r="AI641" s="5" t="s">
        <v>605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9.07</v>
      </c>
      <c r="AP641" s="5">
        <v>6.0999999999999999E-2</v>
      </c>
      <c r="AQ641" s="5" t="s">
        <v>713</v>
      </c>
      <c r="AR641" s="5" t="s">
        <v>1104</v>
      </c>
      <c r="AS641" s="5" t="s">
        <v>713</v>
      </c>
      <c r="AT641" s="6">
        <v>44127</v>
      </c>
      <c r="AU641" s="5" t="s">
        <v>3664</v>
      </c>
      <c r="AV641" s="5">
        <v>35</v>
      </c>
      <c r="AW641" s="5" t="s">
        <v>3665</v>
      </c>
    </row>
    <row r="642" spans="1:49" x14ac:dyDescent="0.55000000000000004">
      <c r="A642" s="5" t="str">
        <f>HYPERLINK("https://www.infodis.net/philips/net/Shipment/Details?InfodisNumber=1482434&amp;DomainCode=PHILIPSM1", "1482434")</f>
        <v>1482434</v>
      </c>
      <c r="B642" s="5" t="s">
        <v>4405</v>
      </c>
      <c r="C642" s="5" t="s">
        <v>2353</v>
      </c>
      <c r="D642" s="5" t="s">
        <v>2354</v>
      </c>
      <c r="E642" s="5" t="s">
        <v>2355</v>
      </c>
      <c r="F642" s="5" t="s">
        <v>3866</v>
      </c>
      <c r="G642" s="5" t="s">
        <v>667</v>
      </c>
      <c r="H642" s="5" t="s">
        <v>79</v>
      </c>
      <c r="I642" s="5" t="s">
        <v>1813</v>
      </c>
      <c r="J642" s="5" t="s">
        <v>2367</v>
      </c>
      <c r="K642" s="5" t="s">
        <v>3867</v>
      </c>
      <c r="L642" s="5" t="s">
        <v>55</v>
      </c>
      <c r="M642" s="5" t="s">
        <v>84</v>
      </c>
      <c r="N642" s="5"/>
      <c r="O642" s="5"/>
      <c r="P642" s="5" t="s">
        <v>1853</v>
      </c>
      <c r="Q642" s="5"/>
      <c r="R642" s="5" t="s">
        <v>3868</v>
      </c>
      <c r="S642" s="6">
        <v>44062</v>
      </c>
      <c r="T642" s="6">
        <v>44063</v>
      </c>
      <c r="U642" s="5"/>
      <c r="V642" s="6">
        <v>44066</v>
      </c>
      <c r="W642" s="5"/>
      <c r="X642" s="5"/>
      <c r="Y642" s="5" t="s">
        <v>3615</v>
      </c>
      <c r="Z642" s="5" t="s">
        <v>3615</v>
      </c>
      <c r="AA642" s="5" t="s">
        <v>603</v>
      </c>
      <c r="AB642" s="5" t="s">
        <v>67</v>
      </c>
      <c r="AC642" s="5" t="s">
        <v>67</v>
      </c>
      <c r="AD642" s="5" t="s">
        <v>68</v>
      </c>
      <c r="AE642" s="5"/>
      <c r="AF642" s="5" t="s">
        <v>2179</v>
      </c>
      <c r="AG642" s="5" t="s">
        <v>2180</v>
      </c>
      <c r="AH642" s="5" t="s">
        <v>2179</v>
      </c>
      <c r="AI642" s="5" t="s">
        <v>605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95.5</v>
      </c>
      <c r="AP642" s="5">
        <v>1.0489999999999999</v>
      </c>
      <c r="AQ642" s="5" t="s">
        <v>713</v>
      </c>
      <c r="AR642" s="5" t="s">
        <v>1104</v>
      </c>
      <c r="AS642" s="5" t="s">
        <v>713</v>
      </c>
      <c r="AT642" s="6">
        <v>44069</v>
      </c>
      <c r="AU642" s="5" t="s">
        <v>4406</v>
      </c>
      <c r="AV642" s="5">
        <v>93</v>
      </c>
      <c r="AW642" s="5" t="s">
        <v>4407</v>
      </c>
    </row>
    <row r="643" spans="1:49" x14ac:dyDescent="0.55000000000000004">
      <c r="A643" s="5" t="str">
        <f>HYPERLINK("https://www.infodis.net/philips/net/Shipment/Details?InfodisNumber=4510059&amp;DomainCode=DAP", "4510059")</f>
        <v>4510059</v>
      </c>
      <c r="B643" s="5" t="s">
        <v>4408</v>
      </c>
      <c r="C643" s="5" t="s">
        <v>2125</v>
      </c>
      <c r="D643" s="5" t="s">
        <v>2126</v>
      </c>
      <c r="E643" s="5" t="s">
        <v>393</v>
      </c>
      <c r="F643" s="5" t="s">
        <v>4409</v>
      </c>
      <c r="G643" s="5" t="s">
        <v>394</v>
      </c>
      <c r="H643" s="5" t="s">
        <v>79</v>
      </c>
      <c r="I643" s="5" t="s">
        <v>587</v>
      </c>
      <c r="J643" s="5" t="s">
        <v>2634</v>
      </c>
      <c r="K643" s="5" t="s">
        <v>2203</v>
      </c>
      <c r="L643" s="5" t="s">
        <v>2204</v>
      </c>
      <c r="M643" s="5" t="s">
        <v>84</v>
      </c>
      <c r="N643" s="5"/>
      <c r="O643" s="5"/>
      <c r="P643" s="5" t="s">
        <v>398</v>
      </c>
      <c r="Q643" s="5"/>
      <c r="R643" s="5" t="s">
        <v>2205</v>
      </c>
      <c r="S643" s="6">
        <v>44084</v>
      </c>
      <c r="T643" s="6">
        <v>44088</v>
      </c>
      <c r="U643" s="5"/>
      <c r="V643" s="6">
        <v>44091</v>
      </c>
      <c r="W643" s="5"/>
      <c r="X643" s="5"/>
      <c r="Y643" s="5" t="s">
        <v>3291</v>
      </c>
      <c r="Z643" s="5" t="s">
        <v>2411</v>
      </c>
      <c r="AA643" s="5" t="s">
        <v>2411</v>
      </c>
      <c r="AB643" s="5" t="s">
        <v>67</v>
      </c>
      <c r="AC643" s="5" t="s">
        <v>67</v>
      </c>
      <c r="AD643" s="5" t="s">
        <v>67</v>
      </c>
      <c r="AE643" s="5"/>
      <c r="AF643" s="5" t="s">
        <v>2179</v>
      </c>
      <c r="AG643" s="5" t="s">
        <v>2180</v>
      </c>
      <c r="AH643" s="5" t="s">
        <v>2179</v>
      </c>
      <c r="AI643" s="5" t="s">
        <v>73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60</v>
      </c>
      <c r="AP643" s="5">
        <v>0.307</v>
      </c>
      <c r="AQ643" s="5" t="s">
        <v>713</v>
      </c>
      <c r="AR643" s="5" t="s">
        <v>1104</v>
      </c>
      <c r="AS643" s="5" t="s">
        <v>713</v>
      </c>
      <c r="AT643" s="6">
        <v>44098</v>
      </c>
      <c r="AU643" s="5" t="s">
        <v>4410</v>
      </c>
      <c r="AV643" s="5">
        <v>64</v>
      </c>
      <c r="AW643" s="5" t="s">
        <v>4411</v>
      </c>
    </row>
    <row r="644" spans="1:49" x14ac:dyDescent="0.55000000000000004">
      <c r="A644" s="5" t="str">
        <f>HYPERLINK("https://www.infodis.net/philips/net/Shipment/Details?InfodisNumber=1482414&amp;DomainCode=PHILIPSM1", "1482414")</f>
        <v>1482414</v>
      </c>
      <c r="B644" s="5" t="s">
        <v>4412</v>
      </c>
      <c r="C644" s="5" t="s">
        <v>2080</v>
      </c>
      <c r="D644" s="5" t="s">
        <v>2081</v>
      </c>
      <c r="E644" s="5" t="s">
        <v>2082</v>
      </c>
      <c r="F644" s="5"/>
      <c r="G644" s="5" t="s">
        <v>1430</v>
      </c>
      <c r="H644" s="5" t="s">
        <v>244</v>
      </c>
      <c r="I644" s="5" t="s">
        <v>2084</v>
      </c>
      <c r="J644" s="5" t="s">
        <v>4413</v>
      </c>
      <c r="K644" s="5" t="s">
        <v>4414</v>
      </c>
      <c r="L644" s="5" t="s">
        <v>4415</v>
      </c>
      <c r="M644" s="5" t="s">
        <v>60</v>
      </c>
      <c r="N644" s="5"/>
      <c r="O644" s="5"/>
      <c r="P644" s="5" t="s">
        <v>1432</v>
      </c>
      <c r="Q644" s="5" t="s">
        <v>4416</v>
      </c>
      <c r="R644" s="5" t="s">
        <v>4417</v>
      </c>
      <c r="S644" s="6">
        <v>44062</v>
      </c>
      <c r="T644" s="6">
        <v>44062</v>
      </c>
      <c r="U644" s="6">
        <v>44062</v>
      </c>
      <c r="V644" s="6">
        <v>44065</v>
      </c>
      <c r="W644" s="6">
        <v>44069</v>
      </c>
      <c r="X644" s="5"/>
      <c r="Y644" s="5" t="s">
        <v>2387</v>
      </c>
      <c r="Z644" s="5" t="s">
        <v>2387</v>
      </c>
      <c r="AA644" s="5" t="s">
        <v>603</v>
      </c>
      <c r="AB644" s="5" t="s">
        <v>67</v>
      </c>
      <c r="AC644" s="5" t="s">
        <v>67</v>
      </c>
      <c r="AD644" s="5" t="s">
        <v>68</v>
      </c>
      <c r="AE644" s="5"/>
      <c r="AF644" s="5" t="s">
        <v>2179</v>
      </c>
      <c r="AG644" s="5" t="s">
        <v>2180</v>
      </c>
      <c r="AH644" s="5" t="s">
        <v>2179</v>
      </c>
      <c r="AI644" s="5" t="s">
        <v>605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1573.6</v>
      </c>
      <c r="AP644" s="5">
        <v>10.442</v>
      </c>
      <c r="AQ644" s="5" t="s">
        <v>713</v>
      </c>
      <c r="AR644" s="5" t="s">
        <v>1104</v>
      </c>
      <c r="AS644" s="5"/>
      <c r="AT644" s="5"/>
      <c r="AU644" s="5"/>
      <c r="AV644" s="5">
        <v>-1</v>
      </c>
      <c r="AW644" s="5" t="s">
        <v>3752</v>
      </c>
    </row>
    <row r="645" spans="1:49" x14ac:dyDescent="0.55000000000000004">
      <c r="A645" s="5" t="str">
        <f>HYPERLINK("https://www.infodis.net/philips/net/Shipment/Details?InfodisNumber=1482413&amp;DomainCode=PHILIPSM1", "1482413")</f>
        <v>1482413</v>
      </c>
      <c r="B645" s="5" t="s">
        <v>4418</v>
      </c>
      <c r="C645" s="5" t="s">
        <v>2080</v>
      </c>
      <c r="D645" s="5" t="s">
        <v>2081</v>
      </c>
      <c r="E645" s="5" t="s">
        <v>2082</v>
      </c>
      <c r="F645" s="5"/>
      <c r="G645" s="5" t="s">
        <v>1430</v>
      </c>
      <c r="H645" s="5" t="s">
        <v>244</v>
      </c>
      <c r="I645" s="5" t="s">
        <v>2084</v>
      </c>
      <c r="J645" s="5" t="s">
        <v>4413</v>
      </c>
      <c r="K645" s="5" t="s">
        <v>4414</v>
      </c>
      <c r="L645" s="5" t="s">
        <v>4415</v>
      </c>
      <c r="M645" s="5" t="s">
        <v>60</v>
      </c>
      <c r="N645" s="5"/>
      <c r="O645" s="5"/>
      <c r="P645" s="5" t="s">
        <v>1432</v>
      </c>
      <c r="Q645" s="5" t="s">
        <v>4419</v>
      </c>
      <c r="R645" s="5" t="s">
        <v>4417</v>
      </c>
      <c r="S645" s="6">
        <v>44062</v>
      </c>
      <c r="T645" s="6">
        <v>44062</v>
      </c>
      <c r="U645" s="6">
        <v>44062</v>
      </c>
      <c r="V645" s="6">
        <v>44065</v>
      </c>
      <c r="W645" s="6">
        <v>44069</v>
      </c>
      <c r="X645" s="5"/>
      <c r="Y645" s="5" t="s">
        <v>2387</v>
      </c>
      <c r="Z645" s="5" t="s">
        <v>2387</v>
      </c>
      <c r="AA645" s="5" t="s">
        <v>603</v>
      </c>
      <c r="AB645" s="5" t="s">
        <v>67</v>
      </c>
      <c r="AC645" s="5" t="s">
        <v>67</v>
      </c>
      <c r="AD645" s="5" t="s">
        <v>68</v>
      </c>
      <c r="AE645" s="5"/>
      <c r="AF645" s="5" t="s">
        <v>2179</v>
      </c>
      <c r="AG645" s="5" t="s">
        <v>2180</v>
      </c>
      <c r="AH645" s="5" t="s">
        <v>2179</v>
      </c>
      <c r="AI645" s="5" t="s">
        <v>605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562.20000000000005</v>
      </c>
      <c r="AP645" s="5">
        <v>3.8570000000000002</v>
      </c>
      <c r="AQ645" s="5" t="s">
        <v>713</v>
      </c>
      <c r="AR645" s="5" t="s">
        <v>1104</v>
      </c>
      <c r="AS645" s="5"/>
      <c r="AT645" s="5"/>
      <c r="AU645" s="5"/>
      <c r="AV645" s="5">
        <v>-1</v>
      </c>
      <c r="AW645" s="5" t="s">
        <v>3752</v>
      </c>
    </row>
    <row r="646" spans="1:49" x14ac:dyDescent="0.55000000000000004">
      <c r="A646" s="5" t="str">
        <f>HYPERLINK("https://www.infodis.net/philips/net/Shipment/Details?InfodisNumber=1500615&amp;DomainCode=PHILIPSM1", "1500615")</f>
        <v>1500615</v>
      </c>
      <c r="B646" s="5" t="s">
        <v>4420</v>
      </c>
      <c r="C646" s="5" t="s">
        <v>2491</v>
      </c>
      <c r="D646" s="5" t="s">
        <v>2492</v>
      </c>
      <c r="E646" s="5" t="s">
        <v>2491</v>
      </c>
      <c r="F646" s="5" t="s">
        <v>4421</v>
      </c>
      <c r="G646" s="5" t="s">
        <v>1431</v>
      </c>
      <c r="H646" s="5" t="s">
        <v>180</v>
      </c>
      <c r="I646" s="5" t="s">
        <v>2494</v>
      </c>
      <c r="J646" s="5" t="s">
        <v>2308</v>
      </c>
      <c r="K646" s="5" t="s">
        <v>2430</v>
      </c>
      <c r="L646" s="5" t="s">
        <v>2134</v>
      </c>
      <c r="M646" s="5" t="s">
        <v>60</v>
      </c>
      <c r="N646" s="5"/>
      <c r="O646" s="5"/>
      <c r="P646" s="5" t="s">
        <v>1434</v>
      </c>
      <c r="Q646" s="5" t="s">
        <v>4422</v>
      </c>
      <c r="R646" s="5" t="s">
        <v>4423</v>
      </c>
      <c r="S646" s="6">
        <v>44085</v>
      </c>
      <c r="T646" s="6">
        <v>44085</v>
      </c>
      <c r="U646" s="6">
        <v>44085</v>
      </c>
      <c r="V646" s="6">
        <v>44088</v>
      </c>
      <c r="W646" s="6">
        <v>44097</v>
      </c>
      <c r="X646" s="5"/>
      <c r="Y646" s="5" t="s">
        <v>2387</v>
      </c>
      <c r="Z646" s="5" t="s">
        <v>2387</v>
      </c>
      <c r="AA646" s="5" t="s">
        <v>603</v>
      </c>
      <c r="AB646" s="5" t="s">
        <v>67</v>
      </c>
      <c r="AC646" s="5" t="s">
        <v>67</v>
      </c>
      <c r="AD646" s="5" t="s">
        <v>68</v>
      </c>
      <c r="AE646" s="5"/>
      <c r="AF646" s="5" t="s">
        <v>2179</v>
      </c>
      <c r="AG646" s="5" t="s">
        <v>2180</v>
      </c>
      <c r="AH646" s="5" t="s">
        <v>2179</v>
      </c>
      <c r="AI646" s="5" t="s">
        <v>605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118.8</v>
      </c>
      <c r="AP646" s="5">
        <v>1.585</v>
      </c>
      <c r="AQ646" s="5" t="s">
        <v>713</v>
      </c>
      <c r="AR646" s="5" t="s">
        <v>1104</v>
      </c>
      <c r="AS646" s="5"/>
      <c r="AT646" s="5"/>
      <c r="AU646" s="5"/>
      <c r="AV646" s="5">
        <v>-1</v>
      </c>
      <c r="AW646" s="5" t="s">
        <v>3752</v>
      </c>
    </row>
    <row r="647" spans="1:49" x14ac:dyDescent="0.55000000000000004">
      <c r="A647" s="5" t="str">
        <f>HYPERLINK("https://www.infodis.net/philips/net/Shipment/Details?InfodisNumber=4494085&amp;DomainCode=DAP", "4494085")</f>
        <v>4494085</v>
      </c>
      <c r="B647" s="5" t="s">
        <v>4424</v>
      </c>
      <c r="C647" s="5" t="s">
        <v>2502</v>
      </c>
      <c r="D647" s="5" t="s">
        <v>2503</v>
      </c>
      <c r="E647" s="5" t="s">
        <v>256</v>
      </c>
      <c r="F647" s="5" t="s">
        <v>256</v>
      </c>
      <c r="G647" s="5" t="s">
        <v>1179</v>
      </c>
      <c r="H647" s="5" t="s">
        <v>180</v>
      </c>
      <c r="I647" s="5" t="s">
        <v>2368</v>
      </c>
      <c r="J647" s="5" t="s">
        <v>2626</v>
      </c>
      <c r="K647" s="5" t="s">
        <v>259</v>
      </c>
      <c r="L647" s="5" t="s">
        <v>260</v>
      </c>
      <c r="M647" s="5" t="s">
        <v>60</v>
      </c>
      <c r="N647" s="5"/>
      <c r="O647" s="5"/>
      <c r="P647" s="5" t="s">
        <v>1181</v>
      </c>
      <c r="Q647" s="5"/>
      <c r="R647" s="5" t="s">
        <v>262</v>
      </c>
      <c r="S647" s="6">
        <v>44061</v>
      </c>
      <c r="T647" s="6">
        <v>44062</v>
      </c>
      <c r="U647" s="5"/>
      <c r="V647" s="6">
        <v>44065</v>
      </c>
      <c r="W647" s="5"/>
      <c r="X647" s="5"/>
      <c r="Y647" s="5" t="s">
        <v>2476</v>
      </c>
      <c r="Z647" s="5" t="s">
        <v>2476</v>
      </c>
      <c r="AA647" s="5" t="s">
        <v>2476</v>
      </c>
      <c r="AB647" s="5" t="s">
        <v>67</v>
      </c>
      <c r="AC647" s="5" t="s">
        <v>67</v>
      </c>
      <c r="AD647" s="5" t="s">
        <v>67</v>
      </c>
      <c r="AE647" s="5"/>
      <c r="AF647" s="5" t="s">
        <v>2179</v>
      </c>
      <c r="AG647" s="5" t="s">
        <v>2180</v>
      </c>
      <c r="AH647" s="5" t="s">
        <v>2179</v>
      </c>
      <c r="AI647" s="5" t="s">
        <v>73</v>
      </c>
      <c r="AJ647" s="5">
        <v>0</v>
      </c>
      <c r="AK647" s="5">
        <v>0</v>
      </c>
      <c r="AL647" s="5">
        <v>0</v>
      </c>
      <c r="AM647" s="5">
        <v>0</v>
      </c>
      <c r="AN647" s="5">
        <v>1</v>
      </c>
      <c r="AO647" s="5">
        <v>110</v>
      </c>
      <c r="AP647" s="5">
        <v>0.52600000000000002</v>
      </c>
      <c r="AQ647" s="5" t="s">
        <v>713</v>
      </c>
      <c r="AR647" s="5" t="s">
        <v>1104</v>
      </c>
      <c r="AS647" s="5"/>
      <c r="AT647" s="5"/>
      <c r="AU647" s="5"/>
      <c r="AV647" s="5">
        <v>-1</v>
      </c>
      <c r="AW647" s="5" t="s">
        <v>1110</v>
      </c>
    </row>
    <row r="648" spans="1:49" x14ac:dyDescent="0.55000000000000004">
      <c r="A648" s="5" t="str">
        <f>HYPERLINK("https://www.infodis.net/philips/net/Shipment/Details?InfodisNumber=1480786&amp;DomainCode=PHILIPSM1", "1480786")</f>
        <v>1480786</v>
      </c>
      <c r="B648" s="5" t="s">
        <v>4425</v>
      </c>
      <c r="C648" s="5" t="s">
        <v>3659</v>
      </c>
      <c r="D648" s="5" t="s">
        <v>3660</v>
      </c>
      <c r="E648" s="5" t="s">
        <v>3659</v>
      </c>
      <c r="F648" s="5" t="s">
        <v>3736</v>
      </c>
      <c r="G648" s="5" t="s">
        <v>3662</v>
      </c>
      <c r="H648" s="5" t="s">
        <v>180</v>
      </c>
      <c r="I648" s="5" t="s">
        <v>2057</v>
      </c>
      <c r="J648" s="5" t="s">
        <v>1201</v>
      </c>
      <c r="K648" s="5" t="s">
        <v>3737</v>
      </c>
      <c r="L648" s="5" t="s">
        <v>1203</v>
      </c>
      <c r="M648" s="5" t="s">
        <v>60</v>
      </c>
      <c r="N648" s="5"/>
      <c r="O648" s="5"/>
      <c r="P648" s="5" t="s">
        <v>3663</v>
      </c>
      <c r="Q648" s="5" t="s">
        <v>4426</v>
      </c>
      <c r="R648" s="5" t="s">
        <v>1201</v>
      </c>
      <c r="S648" s="6">
        <v>44061</v>
      </c>
      <c r="T648" s="6">
        <v>44060</v>
      </c>
      <c r="U648" s="6">
        <v>44060</v>
      </c>
      <c r="V648" s="6">
        <v>44063</v>
      </c>
      <c r="W648" s="6">
        <v>44063</v>
      </c>
      <c r="X648" s="6">
        <v>44071</v>
      </c>
      <c r="Y648" s="5" t="s">
        <v>2387</v>
      </c>
      <c r="Z648" s="5" t="s">
        <v>2387</v>
      </c>
      <c r="AA648" s="5" t="s">
        <v>2387</v>
      </c>
      <c r="AB648" s="5" t="s">
        <v>67</v>
      </c>
      <c r="AC648" s="5" t="s">
        <v>67</v>
      </c>
      <c r="AD648" s="5" t="s">
        <v>67</v>
      </c>
      <c r="AE648" s="5"/>
      <c r="AF648" s="5" t="s">
        <v>2179</v>
      </c>
      <c r="AG648" s="5" t="s">
        <v>2180</v>
      </c>
      <c r="AH648" s="5" t="s">
        <v>2179</v>
      </c>
      <c r="AI648" s="5" t="s">
        <v>605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1</v>
      </c>
      <c r="AP648" s="5">
        <v>6.0000000000000001E-3</v>
      </c>
      <c r="AQ648" s="5" t="s">
        <v>713</v>
      </c>
      <c r="AR648" s="5" t="s">
        <v>1104</v>
      </c>
      <c r="AS648" s="5" t="s">
        <v>713</v>
      </c>
      <c r="AT648" s="6">
        <v>44127</v>
      </c>
      <c r="AU648" s="5" t="s">
        <v>3664</v>
      </c>
      <c r="AV648" s="5">
        <v>35</v>
      </c>
      <c r="AW648" s="5" t="s">
        <v>3665</v>
      </c>
    </row>
    <row r="649" spans="1:49" x14ac:dyDescent="0.55000000000000004">
      <c r="A649" s="5" t="str">
        <f>HYPERLINK("https://www.infodis.net/philips/net/Shipment/Details?InfodisNumber=1482437&amp;DomainCode=PHILIPSM1", "1482437")</f>
        <v>1482437</v>
      </c>
      <c r="B649" s="5" t="s">
        <v>4427</v>
      </c>
      <c r="C649" s="5" t="s">
        <v>2353</v>
      </c>
      <c r="D649" s="5" t="s">
        <v>2354</v>
      </c>
      <c r="E649" s="5" t="s">
        <v>2355</v>
      </c>
      <c r="F649" s="5" t="s">
        <v>3847</v>
      </c>
      <c r="G649" s="5" t="s">
        <v>667</v>
      </c>
      <c r="H649" s="5" t="s">
        <v>79</v>
      </c>
      <c r="I649" s="5" t="s">
        <v>1813</v>
      </c>
      <c r="J649" s="5" t="s">
        <v>293</v>
      </c>
      <c r="K649" s="5" t="s">
        <v>937</v>
      </c>
      <c r="L649" s="5" t="s">
        <v>938</v>
      </c>
      <c r="M649" s="5" t="s">
        <v>84</v>
      </c>
      <c r="N649" s="5"/>
      <c r="O649" s="5"/>
      <c r="P649" s="5" t="s">
        <v>1853</v>
      </c>
      <c r="Q649" s="5"/>
      <c r="R649" s="5" t="s">
        <v>2517</v>
      </c>
      <c r="S649" s="6">
        <v>44062</v>
      </c>
      <c r="T649" s="6">
        <v>44063</v>
      </c>
      <c r="U649" s="5"/>
      <c r="V649" s="6">
        <v>44066</v>
      </c>
      <c r="W649" s="5"/>
      <c r="X649" s="5"/>
      <c r="Y649" s="5" t="s">
        <v>3615</v>
      </c>
      <c r="Z649" s="5" t="s">
        <v>3615</v>
      </c>
      <c r="AA649" s="5" t="s">
        <v>603</v>
      </c>
      <c r="AB649" s="5" t="s">
        <v>67</v>
      </c>
      <c r="AC649" s="5" t="s">
        <v>67</v>
      </c>
      <c r="AD649" s="5" t="s">
        <v>68</v>
      </c>
      <c r="AE649" s="5"/>
      <c r="AF649" s="5" t="s">
        <v>2179</v>
      </c>
      <c r="AG649" s="5" t="s">
        <v>2180</v>
      </c>
      <c r="AH649" s="5" t="s">
        <v>2179</v>
      </c>
      <c r="AI649" s="5" t="s">
        <v>605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249</v>
      </c>
      <c r="AP649" s="5">
        <v>3.4489999999999998</v>
      </c>
      <c r="AQ649" s="5" t="s">
        <v>713</v>
      </c>
      <c r="AR649" s="5" t="s">
        <v>1104</v>
      </c>
      <c r="AS649" s="5" t="s">
        <v>713</v>
      </c>
      <c r="AT649" s="5"/>
      <c r="AU649" s="5"/>
      <c r="AV649" s="5">
        <v>-1</v>
      </c>
      <c r="AW649" s="5" t="s">
        <v>3848</v>
      </c>
    </row>
    <row r="650" spans="1:49" x14ac:dyDescent="0.55000000000000004">
      <c r="A650" s="5" t="str">
        <f>HYPERLINK("https://www.infodis.net/philips/net/Shipment/Details?InfodisNumber=1480838&amp;DomainCode=PHILIPSM1", "1480838")</f>
        <v>1480838</v>
      </c>
      <c r="B650" s="5" t="s">
        <v>4428</v>
      </c>
      <c r="C650" s="5" t="s">
        <v>2491</v>
      </c>
      <c r="D650" s="5" t="s">
        <v>2492</v>
      </c>
      <c r="E650" s="5" t="s">
        <v>2491</v>
      </c>
      <c r="F650" s="5" t="s">
        <v>3459</v>
      </c>
      <c r="G650" s="5" t="s">
        <v>1431</v>
      </c>
      <c r="H650" s="5" t="s">
        <v>180</v>
      </c>
      <c r="I650" s="5" t="s">
        <v>2494</v>
      </c>
      <c r="J650" s="5" t="s">
        <v>3460</v>
      </c>
      <c r="K650" s="5" t="s">
        <v>3461</v>
      </c>
      <c r="L650" s="5" t="s">
        <v>3462</v>
      </c>
      <c r="M650" s="5" t="s">
        <v>60</v>
      </c>
      <c r="N650" s="5"/>
      <c r="O650" s="5"/>
      <c r="P650" s="5" t="s">
        <v>1434</v>
      </c>
      <c r="Q650" s="5" t="s">
        <v>4429</v>
      </c>
      <c r="R650" s="5" t="s">
        <v>2922</v>
      </c>
      <c r="S650" s="6">
        <v>44061</v>
      </c>
      <c r="T650" s="6">
        <v>44061</v>
      </c>
      <c r="U650" s="6">
        <v>44061</v>
      </c>
      <c r="V650" s="6">
        <v>44064</v>
      </c>
      <c r="W650" s="6">
        <v>44064</v>
      </c>
      <c r="X650" s="5"/>
      <c r="Y650" s="5" t="s">
        <v>2387</v>
      </c>
      <c r="Z650" s="5" t="s">
        <v>2387</v>
      </c>
      <c r="AA650" s="5" t="s">
        <v>603</v>
      </c>
      <c r="AB650" s="5" t="s">
        <v>67</v>
      </c>
      <c r="AC650" s="5" t="s">
        <v>67</v>
      </c>
      <c r="AD650" s="5" t="s">
        <v>68</v>
      </c>
      <c r="AE650" s="5"/>
      <c r="AF650" s="5" t="s">
        <v>2179</v>
      </c>
      <c r="AG650" s="5" t="s">
        <v>2180</v>
      </c>
      <c r="AH650" s="5" t="s">
        <v>2179</v>
      </c>
      <c r="AI650" s="5" t="s">
        <v>605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840.9</v>
      </c>
      <c r="AP650" s="5">
        <v>7.4060000000000006</v>
      </c>
      <c r="AQ650" s="5" t="s">
        <v>713</v>
      </c>
      <c r="AR650" s="5" t="s">
        <v>1104</v>
      </c>
      <c r="AS650" s="5"/>
      <c r="AT650" s="5"/>
      <c r="AU650" s="5"/>
      <c r="AV650" s="5">
        <v>-1</v>
      </c>
      <c r="AW650" s="5" t="s">
        <v>3752</v>
      </c>
    </row>
    <row r="651" spans="1:49" x14ac:dyDescent="0.55000000000000004">
      <c r="A651" s="5" t="str">
        <f>HYPERLINK("https://www.infodis.net/philips/net/Shipment/Details?InfodisNumber=1488301&amp;DomainCode=PHILIPSM1", "1488301")</f>
        <v>1488301</v>
      </c>
      <c r="B651" s="5" t="s">
        <v>4430</v>
      </c>
      <c r="C651" s="5" t="s">
        <v>2353</v>
      </c>
      <c r="D651" s="5" t="s">
        <v>2354</v>
      </c>
      <c r="E651" s="5" t="s">
        <v>2355</v>
      </c>
      <c r="F651" s="5" t="s">
        <v>3866</v>
      </c>
      <c r="G651" s="5" t="s">
        <v>667</v>
      </c>
      <c r="H651" s="5" t="s">
        <v>79</v>
      </c>
      <c r="I651" s="5" t="s">
        <v>1813</v>
      </c>
      <c r="J651" s="5" t="s">
        <v>2367</v>
      </c>
      <c r="K651" s="5" t="s">
        <v>3867</v>
      </c>
      <c r="L651" s="5" t="s">
        <v>55</v>
      </c>
      <c r="M651" s="5" t="s">
        <v>84</v>
      </c>
      <c r="N651" s="5"/>
      <c r="O651" s="5"/>
      <c r="P651" s="5" t="s">
        <v>1853</v>
      </c>
      <c r="Q651" s="5"/>
      <c r="R651" s="5" t="s">
        <v>3868</v>
      </c>
      <c r="S651" s="6">
        <v>44068</v>
      </c>
      <c r="T651" s="6">
        <v>44069</v>
      </c>
      <c r="U651" s="5"/>
      <c r="V651" s="6">
        <v>44072</v>
      </c>
      <c r="W651" s="5"/>
      <c r="X651" s="5"/>
      <c r="Y651" s="5" t="s">
        <v>3615</v>
      </c>
      <c r="Z651" s="5" t="s">
        <v>3615</v>
      </c>
      <c r="AA651" s="5" t="s">
        <v>603</v>
      </c>
      <c r="AB651" s="5" t="s">
        <v>67</v>
      </c>
      <c r="AC651" s="5" t="s">
        <v>67</v>
      </c>
      <c r="AD651" s="5" t="s">
        <v>68</v>
      </c>
      <c r="AE651" s="5"/>
      <c r="AF651" s="5" t="s">
        <v>2179</v>
      </c>
      <c r="AG651" s="5" t="s">
        <v>2180</v>
      </c>
      <c r="AH651" s="5" t="s">
        <v>2179</v>
      </c>
      <c r="AI651" s="5" t="s">
        <v>605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104.5</v>
      </c>
      <c r="AP651" s="5">
        <v>1.3779999999999999</v>
      </c>
      <c r="AQ651" s="5" t="s">
        <v>713</v>
      </c>
      <c r="AR651" s="5" t="s">
        <v>1104</v>
      </c>
      <c r="AS651" s="5" t="s">
        <v>713</v>
      </c>
      <c r="AT651" s="6">
        <v>44069</v>
      </c>
      <c r="AU651" s="5" t="s">
        <v>4406</v>
      </c>
      <c r="AV651" s="5">
        <v>93</v>
      </c>
      <c r="AW651" s="5" t="s">
        <v>4407</v>
      </c>
    </row>
    <row r="652" spans="1:49" x14ac:dyDescent="0.55000000000000004">
      <c r="A652" s="5" t="str">
        <f>HYPERLINK("https://www.infodis.net/philips/net/Shipment/Details?InfodisNumber=4503548&amp;DomainCode=DAP", "4503548")</f>
        <v>4503548</v>
      </c>
      <c r="B652" s="5" t="s">
        <v>4431</v>
      </c>
      <c r="C652" s="5" t="s">
        <v>2125</v>
      </c>
      <c r="D652" s="5" t="s">
        <v>2126</v>
      </c>
      <c r="E652" s="5" t="s">
        <v>393</v>
      </c>
      <c r="F652" s="5" t="s">
        <v>2127</v>
      </c>
      <c r="G652" s="5" t="s">
        <v>394</v>
      </c>
      <c r="H652" s="5" t="s">
        <v>79</v>
      </c>
      <c r="I652" s="5" t="s">
        <v>587</v>
      </c>
      <c r="J652" s="5" t="s">
        <v>2626</v>
      </c>
      <c r="K652" s="5" t="s">
        <v>259</v>
      </c>
      <c r="L652" s="5" t="s">
        <v>260</v>
      </c>
      <c r="M652" s="5" t="s">
        <v>84</v>
      </c>
      <c r="N652" s="5"/>
      <c r="O652" s="5"/>
      <c r="P652" s="5" t="s">
        <v>398</v>
      </c>
      <c r="Q652" s="5"/>
      <c r="R652" s="5" t="s">
        <v>262</v>
      </c>
      <c r="S652" s="6">
        <v>44076</v>
      </c>
      <c r="T652" s="6">
        <v>44078</v>
      </c>
      <c r="U652" s="6">
        <v>44078</v>
      </c>
      <c r="V652" s="6">
        <v>44081</v>
      </c>
      <c r="W652" s="5"/>
      <c r="X652" s="6">
        <v>44090</v>
      </c>
      <c r="Y652" s="5" t="s">
        <v>3291</v>
      </c>
      <c r="Z652" s="5" t="s">
        <v>2411</v>
      </c>
      <c r="AA652" s="5" t="s">
        <v>2411</v>
      </c>
      <c r="AB652" s="5" t="s">
        <v>67</v>
      </c>
      <c r="AC652" s="5" t="s">
        <v>67</v>
      </c>
      <c r="AD652" s="5" t="s">
        <v>67</v>
      </c>
      <c r="AE652" s="5"/>
      <c r="AF652" s="5" t="s">
        <v>2179</v>
      </c>
      <c r="AG652" s="5" t="s">
        <v>2180</v>
      </c>
      <c r="AH652" s="5" t="s">
        <v>2179</v>
      </c>
      <c r="AI652" s="5" t="s">
        <v>73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34.86</v>
      </c>
      <c r="AP652" s="5">
        <v>0.48</v>
      </c>
      <c r="AQ652" s="5" t="s">
        <v>713</v>
      </c>
      <c r="AR652" s="5" t="s">
        <v>1104</v>
      </c>
      <c r="AS652" s="5" t="s">
        <v>713</v>
      </c>
      <c r="AT652" s="6">
        <v>44098</v>
      </c>
      <c r="AU652" s="5" t="s">
        <v>4410</v>
      </c>
      <c r="AV652" s="5">
        <v>64</v>
      </c>
      <c r="AW652" s="5" t="s">
        <v>4411</v>
      </c>
    </row>
    <row r="653" spans="1:49" x14ac:dyDescent="0.55000000000000004">
      <c r="A653" s="5" t="str">
        <f>HYPERLINK("https://www.infodis.net/philips/net/Shipment/Details?InfodisNumber=4501827&amp;DomainCode=DAP", "4501827")</f>
        <v>4501827</v>
      </c>
      <c r="B653" s="5" t="s">
        <v>4432</v>
      </c>
      <c r="C653" s="5" t="s">
        <v>2502</v>
      </c>
      <c r="D653" s="5" t="s">
        <v>2503</v>
      </c>
      <c r="E653" s="5" t="s">
        <v>2504</v>
      </c>
      <c r="F653" s="5" t="s">
        <v>2826</v>
      </c>
      <c r="G653" s="5" t="s">
        <v>1179</v>
      </c>
      <c r="H653" s="5" t="s">
        <v>180</v>
      </c>
      <c r="I653" s="5" t="s">
        <v>194</v>
      </c>
      <c r="J653" s="5" t="s">
        <v>2827</v>
      </c>
      <c r="K653" s="5" t="s">
        <v>2828</v>
      </c>
      <c r="L653" s="5" t="s">
        <v>357</v>
      </c>
      <c r="M653" s="5" t="s">
        <v>358</v>
      </c>
      <c r="N653" s="5"/>
      <c r="O653" s="5"/>
      <c r="P653" s="5" t="s">
        <v>1181</v>
      </c>
      <c r="Q653" s="5"/>
      <c r="R653" s="5" t="s">
        <v>526</v>
      </c>
      <c r="S653" s="6">
        <v>44074</v>
      </c>
      <c r="T653" s="6">
        <v>44074</v>
      </c>
      <c r="U653" s="5"/>
      <c r="V653" s="6">
        <v>44075</v>
      </c>
      <c r="W653" s="5"/>
      <c r="X653" s="5"/>
      <c r="Y653" s="5" t="s">
        <v>2476</v>
      </c>
      <c r="Z653" s="5" t="s">
        <v>2476</v>
      </c>
      <c r="AA653" s="5" t="s">
        <v>2398</v>
      </c>
      <c r="AB653" s="5" t="s">
        <v>67</v>
      </c>
      <c r="AC653" s="5" t="s">
        <v>67</v>
      </c>
      <c r="AD653" s="5" t="s">
        <v>67</v>
      </c>
      <c r="AE653" s="5"/>
      <c r="AF653" s="5" t="s">
        <v>2829</v>
      </c>
      <c r="AG653" s="5" t="s">
        <v>2830</v>
      </c>
      <c r="AH653" s="5" t="s">
        <v>2829</v>
      </c>
      <c r="AI653" s="5" t="s">
        <v>73</v>
      </c>
      <c r="AJ653" s="5">
        <v>0</v>
      </c>
      <c r="AK653" s="5">
        <v>0</v>
      </c>
      <c r="AL653" s="5">
        <v>0</v>
      </c>
      <c r="AM653" s="5">
        <v>0</v>
      </c>
      <c r="AN653" s="5">
        <v>4</v>
      </c>
      <c r="AO653" s="5">
        <v>1279.5</v>
      </c>
      <c r="AP653" s="5">
        <v>-1</v>
      </c>
      <c r="AQ653" s="5" t="s">
        <v>713</v>
      </c>
      <c r="AR653" s="5" t="s">
        <v>1104</v>
      </c>
      <c r="AS653" s="5"/>
      <c r="AT653" s="5"/>
      <c r="AU653" s="5"/>
      <c r="AV653" s="5">
        <v>-1</v>
      </c>
      <c r="AW653" s="5" t="s">
        <v>1110</v>
      </c>
    </row>
    <row r="654" spans="1:49" x14ac:dyDescent="0.55000000000000004">
      <c r="A654" s="5" t="str">
        <f>HYPERLINK("https://www.infodis.net/philips/net/Shipment/Details?InfodisNumber=4501826&amp;DomainCode=DAP", "4501826")</f>
        <v>4501826</v>
      </c>
      <c r="B654" s="5" t="s">
        <v>4433</v>
      </c>
      <c r="C654" s="5" t="s">
        <v>4434</v>
      </c>
      <c r="D654" s="5" t="s">
        <v>4435</v>
      </c>
      <c r="E654" s="5" t="s">
        <v>4434</v>
      </c>
      <c r="F654" s="5" t="s">
        <v>167</v>
      </c>
      <c r="G654" s="5" t="s">
        <v>4436</v>
      </c>
      <c r="H654" s="5" t="s">
        <v>180</v>
      </c>
      <c r="I654" s="5" t="s">
        <v>3134</v>
      </c>
      <c r="J654" s="5" t="s">
        <v>2405</v>
      </c>
      <c r="K654" s="5" t="s">
        <v>1125</v>
      </c>
      <c r="L654" s="5" t="s">
        <v>172</v>
      </c>
      <c r="M654" s="5" t="s">
        <v>84</v>
      </c>
      <c r="N654" s="5"/>
      <c r="O654" s="5"/>
      <c r="P654" s="5" t="s">
        <v>4437</v>
      </c>
      <c r="Q654" s="5" t="s">
        <v>4438</v>
      </c>
      <c r="R654" s="5" t="s">
        <v>1128</v>
      </c>
      <c r="S654" s="6">
        <v>44074</v>
      </c>
      <c r="T654" s="6">
        <v>44075</v>
      </c>
      <c r="U654" s="6">
        <v>44075</v>
      </c>
      <c r="V654" s="6">
        <v>44078</v>
      </c>
      <c r="W654" s="6">
        <v>44079</v>
      </c>
      <c r="X654" s="6">
        <v>44088</v>
      </c>
      <c r="Y654" s="5" t="s">
        <v>2411</v>
      </c>
      <c r="Z654" s="5" t="s">
        <v>2411</v>
      </c>
      <c r="AA654" s="5" t="s">
        <v>2411</v>
      </c>
      <c r="AB654" s="5" t="s">
        <v>67</v>
      </c>
      <c r="AC654" s="5" t="s">
        <v>67</v>
      </c>
      <c r="AD654" s="5" t="s">
        <v>67</v>
      </c>
      <c r="AE654" s="5"/>
      <c r="AF654" s="5" t="s">
        <v>2179</v>
      </c>
      <c r="AG654" s="5" t="s">
        <v>2180</v>
      </c>
      <c r="AH654" s="5" t="s">
        <v>2179</v>
      </c>
      <c r="AI654" s="5" t="s">
        <v>73</v>
      </c>
      <c r="AJ654" s="5">
        <v>0</v>
      </c>
      <c r="AK654" s="5">
        <v>0</v>
      </c>
      <c r="AL654" s="5">
        <v>0</v>
      </c>
      <c r="AM654" s="5">
        <v>0</v>
      </c>
      <c r="AN654" s="5">
        <v>5</v>
      </c>
      <c r="AO654" s="5">
        <v>2349.61</v>
      </c>
      <c r="AP654" s="5">
        <v>5.8449999999999998</v>
      </c>
      <c r="AQ654" s="5" t="s">
        <v>713</v>
      </c>
      <c r="AR654" s="5" t="s">
        <v>1104</v>
      </c>
      <c r="AS654" s="5"/>
      <c r="AT654" s="5"/>
      <c r="AU654" s="5"/>
      <c r="AV654" s="5">
        <v>-1</v>
      </c>
      <c r="AW654" s="5" t="s">
        <v>1368</v>
      </c>
    </row>
    <row r="655" spans="1:49" x14ac:dyDescent="0.55000000000000004">
      <c r="A655" s="5" t="str">
        <f>HYPERLINK("https://www.infodis.net/philips/net/Shipment/Details?InfodisNumber=1490672&amp;DomainCode=PHILIPSM1", "1490672")</f>
        <v>1490672</v>
      </c>
      <c r="B655" s="5" t="s">
        <v>4439</v>
      </c>
      <c r="C655" s="5" t="s">
        <v>3659</v>
      </c>
      <c r="D655" s="5" t="s">
        <v>3660</v>
      </c>
      <c r="E655" s="5" t="s">
        <v>3659</v>
      </c>
      <c r="F655" s="5" t="s">
        <v>2445</v>
      </c>
      <c r="G655" s="5" t="s">
        <v>3662</v>
      </c>
      <c r="H655" s="5" t="s">
        <v>180</v>
      </c>
      <c r="I655" s="5" t="s">
        <v>2057</v>
      </c>
      <c r="J655" s="5" t="s">
        <v>2607</v>
      </c>
      <c r="K655" s="5" t="s">
        <v>1037</v>
      </c>
      <c r="L655" s="5" t="s">
        <v>132</v>
      </c>
      <c r="M655" s="5" t="s">
        <v>60</v>
      </c>
      <c r="N655" s="5"/>
      <c r="O655" s="5"/>
      <c r="P655" s="5" t="s">
        <v>3663</v>
      </c>
      <c r="Q655" s="5" t="s">
        <v>4440</v>
      </c>
      <c r="R655" s="5" t="s">
        <v>1040</v>
      </c>
      <c r="S655" s="6">
        <v>44074</v>
      </c>
      <c r="T655" s="6">
        <v>44074</v>
      </c>
      <c r="U655" s="6">
        <v>44076</v>
      </c>
      <c r="V655" s="6">
        <v>44077</v>
      </c>
      <c r="W655" s="6">
        <v>44080</v>
      </c>
      <c r="X655" s="5"/>
      <c r="Y655" s="5" t="s">
        <v>2387</v>
      </c>
      <c r="Z655" s="5" t="s">
        <v>2387</v>
      </c>
      <c r="AA655" s="5" t="s">
        <v>2387</v>
      </c>
      <c r="AB655" s="5" t="s">
        <v>67</v>
      </c>
      <c r="AC655" s="5" t="s">
        <v>67</v>
      </c>
      <c r="AD655" s="5" t="s">
        <v>67</v>
      </c>
      <c r="AE655" s="5"/>
      <c r="AF655" s="5" t="s">
        <v>2179</v>
      </c>
      <c r="AG655" s="5" t="s">
        <v>2180</v>
      </c>
      <c r="AH655" s="5" t="s">
        <v>2179</v>
      </c>
      <c r="AI655" s="5" t="s">
        <v>605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0.9</v>
      </c>
      <c r="AP655" s="5">
        <v>6.0000000000000001E-3</v>
      </c>
      <c r="AQ655" s="5" t="s">
        <v>713</v>
      </c>
      <c r="AR655" s="5" t="s">
        <v>1104</v>
      </c>
      <c r="AS655" s="5" t="s">
        <v>713</v>
      </c>
      <c r="AT655" s="6">
        <v>44127</v>
      </c>
      <c r="AU655" s="5" t="s">
        <v>3664</v>
      </c>
      <c r="AV655" s="5">
        <v>35</v>
      </c>
      <c r="AW655" s="5" t="s">
        <v>3665</v>
      </c>
    </row>
    <row r="656" spans="1:49" x14ac:dyDescent="0.55000000000000004">
      <c r="A656" s="5" t="str">
        <f>HYPERLINK("https://www.infodis.net/philips/net/Shipment/Details?InfodisNumber=1489984&amp;DomainCode=PHILIPSM1", "1489984")</f>
        <v>1489984</v>
      </c>
      <c r="B656" s="5" t="s">
        <v>4441</v>
      </c>
      <c r="C656" s="5" t="s">
        <v>3659</v>
      </c>
      <c r="D656" s="5" t="s">
        <v>3660</v>
      </c>
      <c r="E656" s="5" t="s">
        <v>3659</v>
      </c>
      <c r="F656" s="5" t="s">
        <v>4442</v>
      </c>
      <c r="G656" s="5" t="s">
        <v>3662</v>
      </c>
      <c r="H656" s="5" t="s">
        <v>180</v>
      </c>
      <c r="I656" s="5" t="s">
        <v>2057</v>
      </c>
      <c r="J656" s="5" t="s">
        <v>268</v>
      </c>
      <c r="K656" s="5" t="s">
        <v>4443</v>
      </c>
      <c r="L656" s="5" t="s">
        <v>267</v>
      </c>
      <c r="M656" s="5" t="s">
        <v>60</v>
      </c>
      <c r="N656" s="5"/>
      <c r="O656" s="5"/>
      <c r="P656" s="5" t="s">
        <v>3663</v>
      </c>
      <c r="Q656" s="5"/>
      <c r="R656" s="5" t="s">
        <v>855</v>
      </c>
      <c r="S656" s="6">
        <v>44071</v>
      </c>
      <c r="T656" s="6">
        <v>44071</v>
      </c>
      <c r="U656" s="5"/>
      <c r="V656" s="6">
        <v>44074</v>
      </c>
      <c r="W656" s="5"/>
      <c r="X656" s="5"/>
      <c r="Y656" s="5" t="s">
        <v>2387</v>
      </c>
      <c r="Z656" s="5" t="s">
        <v>2387</v>
      </c>
      <c r="AA656" s="5" t="s">
        <v>603</v>
      </c>
      <c r="AB656" s="5" t="s">
        <v>67</v>
      </c>
      <c r="AC656" s="5" t="s">
        <v>67</v>
      </c>
      <c r="AD656" s="5" t="s">
        <v>68</v>
      </c>
      <c r="AE656" s="5"/>
      <c r="AF656" s="5" t="s">
        <v>2179</v>
      </c>
      <c r="AG656" s="5" t="s">
        <v>2180</v>
      </c>
      <c r="AH656" s="5" t="s">
        <v>2179</v>
      </c>
      <c r="AI656" s="5" t="s">
        <v>605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1.36</v>
      </c>
      <c r="AP656" s="5">
        <v>2.3E-2</v>
      </c>
      <c r="AQ656" s="5" t="s">
        <v>713</v>
      </c>
      <c r="AR656" s="5" t="s">
        <v>1104</v>
      </c>
      <c r="AS656" s="5"/>
      <c r="AT656" s="5"/>
      <c r="AU656" s="5"/>
      <c r="AV656" s="5">
        <v>-1</v>
      </c>
      <c r="AW656" s="5" t="s">
        <v>3752</v>
      </c>
    </row>
    <row r="657" spans="1:49" x14ac:dyDescent="0.55000000000000004">
      <c r="A657" s="5" t="str">
        <f>HYPERLINK("https://www.infodis.net/philips/net/Shipment/Details?InfodisNumber=1490014&amp;DomainCode=PHILIPSM1", "1490014")</f>
        <v>1490014</v>
      </c>
      <c r="B657" s="5" t="s">
        <v>4444</v>
      </c>
      <c r="C657" s="5" t="s">
        <v>3659</v>
      </c>
      <c r="D657" s="5" t="s">
        <v>3660</v>
      </c>
      <c r="E657" s="5" t="s">
        <v>3659</v>
      </c>
      <c r="F657" s="5"/>
      <c r="G657" s="5" t="s">
        <v>3662</v>
      </c>
      <c r="H657" s="5" t="s">
        <v>180</v>
      </c>
      <c r="I657" s="5" t="s">
        <v>2057</v>
      </c>
      <c r="J657" s="5" t="s">
        <v>2084</v>
      </c>
      <c r="K657" s="5" t="s">
        <v>204</v>
      </c>
      <c r="L657" s="5" t="s">
        <v>79</v>
      </c>
      <c r="M657" s="5" t="s">
        <v>60</v>
      </c>
      <c r="N657" s="5"/>
      <c r="O657" s="5"/>
      <c r="P657" s="5" t="s">
        <v>3663</v>
      </c>
      <c r="Q657" s="5" t="s">
        <v>4445</v>
      </c>
      <c r="R657" s="5" t="s">
        <v>1853</v>
      </c>
      <c r="S657" s="6">
        <v>44071</v>
      </c>
      <c r="T657" s="6">
        <v>44071</v>
      </c>
      <c r="U657" s="6">
        <v>44077</v>
      </c>
      <c r="V657" s="6">
        <v>44074</v>
      </c>
      <c r="W657" s="6">
        <v>44082</v>
      </c>
      <c r="X657" s="5"/>
      <c r="Y657" s="5" t="s">
        <v>2387</v>
      </c>
      <c r="Z657" s="5" t="s">
        <v>2387</v>
      </c>
      <c r="AA657" s="5" t="s">
        <v>2387</v>
      </c>
      <c r="AB657" s="5" t="s">
        <v>67</v>
      </c>
      <c r="AC657" s="5" t="s">
        <v>67</v>
      </c>
      <c r="AD657" s="5" t="s">
        <v>67</v>
      </c>
      <c r="AE657" s="5"/>
      <c r="AF657" s="5" t="s">
        <v>2179</v>
      </c>
      <c r="AG657" s="5" t="s">
        <v>2180</v>
      </c>
      <c r="AH657" s="5" t="s">
        <v>2179</v>
      </c>
      <c r="AI657" s="5" t="s">
        <v>605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6.9</v>
      </c>
      <c r="AP657" s="5">
        <v>4.0999999999999988E-2</v>
      </c>
      <c r="AQ657" s="5" t="s">
        <v>713</v>
      </c>
      <c r="AR657" s="5" t="s">
        <v>1104</v>
      </c>
      <c r="AS657" s="5" t="s">
        <v>713</v>
      </c>
      <c r="AT657" s="6">
        <v>44127</v>
      </c>
      <c r="AU657" s="5" t="s">
        <v>3664</v>
      </c>
      <c r="AV657" s="5">
        <v>35</v>
      </c>
      <c r="AW657" s="5" t="s">
        <v>3665</v>
      </c>
    </row>
    <row r="658" spans="1:49" x14ac:dyDescent="0.55000000000000004">
      <c r="A658" s="5" t="str">
        <f>HYPERLINK("https://www.infodis.net/philips/net/Shipment/Details?InfodisNumber=1489987&amp;DomainCode=PHILIPSM1", "1489987")</f>
        <v>1489987</v>
      </c>
      <c r="B658" s="5" t="s">
        <v>4446</v>
      </c>
      <c r="C658" s="5" t="s">
        <v>3659</v>
      </c>
      <c r="D658" s="5" t="s">
        <v>3660</v>
      </c>
      <c r="E658" s="5" t="s">
        <v>3659</v>
      </c>
      <c r="F658" s="5" t="s">
        <v>4442</v>
      </c>
      <c r="G658" s="5" t="s">
        <v>3662</v>
      </c>
      <c r="H658" s="5" t="s">
        <v>180</v>
      </c>
      <c r="I658" s="5" t="s">
        <v>2057</v>
      </c>
      <c r="J658" s="5" t="s">
        <v>268</v>
      </c>
      <c r="K658" s="5" t="s">
        <v>4443</v>
      </c>
      <c r="L658" s="5" t="s">
        <v>267</v>
      </c>
      <c r="M658" s="5" t="s">
        <v>60</v>
      </c>
      <c r="N658" s="5"/>
      <c r="O658" s="5"/>
      <c r="P658" s="5" t="s">
        <v>3663</v>
      </c>
      <c r="Q658" s="5"/>
      <c r="R658" s="5" t="s">
        <v>855</v>
      </c>
      <c r="S658" s="6">
        <v>44071</v>
      </c>
      <c r="T658" s="6">
        <v>44071</v>
      </c>
      <c r="U658" s="5"/>
      <c r="V658" s="6">
        <v>44074</v>
      </c>
      <c r="W658" s="5"/>
      <c r="X658" s="5"/>
      <c r="Y658" s="5" t="s">
        <v>2387</v>
      </c>
      <c r="Z658" s="5" t="s">
        <v>2387</v>
      </c>
      <c r="AA658" s="5" t="s">
        <v>603</v>
      </c>
      <c r="AB658" s="5" t="s">
        <v>67</v>
      </c>
      <c r="AC658" s="5" t="s">
        <v>67</v>
      </c>
      <c r="AD658" s="5" t="s">
        <v>68</v>
      </c>
      <c r="AE658" s="5"/>
      <c r="AF658" s="5" t="s">
        <v>2179</v>
      </c>
      <c r="AG658" s="5" t="s">
        <v>2180</v>
      </c>
      <c r="AH658" s="5" t="s">
        <v>2179</v>
      </c>
      <c r="AI658" s="5" t="s">
        <v>605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22.68</v>
      </c>
      <c r="AP658" s="5">
        <v>0.26700000000000002</v>
      </c>
      <c r="AQ658" s="5" t="s">
        <v>713</v>
      </c>
      <c r="AR658" s="5" t="s">
        <v>1104</v>
      </c>
      <c r="AS658" s="5"/>
      <c r="AT658" s="5"/>
      <c r="AU658" s="5"/>
      <c r="AV658" s="5">
        <v>-1</v>
      </c>
      <c r="AW658" s="5" t="s">
        <v>3752</v>
      </c>
    </row>
    <row r="659" spans="1:49" x14ac:dyDescent="0.55000000000000004">
      <c r="A659" s="5" t="str">
        <f>HYPERLINK("https://www.infodis.net/philips/net/Shipment/Details?InfodisNumber=4440531&amp;DomainCode=DAP", "4440531")</f>
        <v>4440531</v>
      </c>
      <c r="B659" s="5" t="s">
        <v>4447</v>
      </c>
      <c r="C659" s="5" t="s">
        <v>3683</v>
      </c>
      <c r="D659" s="5" t="s">
        <v>3684</v>
      </c>
      <c r="E659" s="5" t="s">
        <v>3685</v>
      </c>
      <c r="F659" s="5" t="s">
        <v>3686</v>
      </c>
      <c r="G659" s="5" t="s">
        <v>354</v>
      </c>
      <c r="H659" s="5" t="s">
        <v>79</v>
      </c>
      <c r="I659" s="5" t="s">
        <v>1813</v>
      </c>
      <c r="J659" s="5" t="s">
        <v>652</v>
      </c>
      <c r="K659" s="5" t="s">
        <v>2377</v>
      </c>
      <c r="L659" s="5" t="s">
        <v>180</v>
      </c>
      <c r="M659" s="5" t="s">
        <v>84</v>
      </c>
      <c r="N659" s="5"/>
      <c r="O659" s="5"/>
      <c r="P659" s="5" t="s">
        <v>3687</v>
      </c>
      <c r="Q659" s="5" t="s">
        <v>4448</v>
      </c>
      <c r="R659" s="5" t="s">
        <v>2380</v>
      </c>
      <c r="S659" s="6">
        <v>43965</v>
      </c>
      <c r="T659" s="6">
        <v>43970</v>
      </c>
      <c r="U659" s="6">
        <v>43971</v>
      </c>
      <c r="V659" s="6">
        <v>43973</v>
      </c>
      <c r="W659" s="6">
        <v>43972</v>
      </c>
      <c r="X659" s="6">
        <v>43983</v>
      </c>
      <c r="Y659" s="5" t="s">
        <v>2476</v>
      </c>
      <c r="Z659" s="5" t="s">
        <v>2476</v>
      </c>
      <c r="AA659" s="5" t="s">
        <v>2476</v>
      </c>
      <c r="AB659" s="5" t="s">
        <v>67</v>
      </c>
      <c r="AC659" s="5" t="s">
        <v>67</v>
      </c>
      <c r="AD659" s="5" t="s">
        <v>67</v>
      </c>
      <c r="AE659" s="5"/>
      <c r="AF659" s="5" t="s">
        <v>2179</v>
      </c>
      <c r="AG659" s="5" t="s">
        <v>2180</v>
      </c>
      <c r="AH659" s="5" t="s">
        <v>2179</v>
      </c>
      <c r="AI659" s="5" t="s">
        <v>73</v>
      </c>
      <c r="AJ659" s="5">
        <v>0</v>
      </c>
      <c r="AK659" s="5">
        <v>0</v>
      </c>
      <c r="AL659" s="5">
        <v>0</v>
      </c>
      <c r="AM659" s="5">
        <v>0</v>
      </c>
      <c r="AN659" s="5">
        <v>1</v>
      </c>
      <c r="AO659" s="5">
        <v>291.20999999999998</v>
      </c>
      <c r="AP659" s="5">
        <v>0.80599999999999994</v>
      </c>
      <c r="AQ659" s="5" t="s">
        <v>713</v>
      </c>
      <c r="AR659" s="5" t="s">
        <v>1104</v>
      </c>
      <c r="AS659" s="5"/>
      <c r="AT659" s="5"/>
      <c r="AU659" s="5"/>
      <c r="AV659" s="5">
        <v>-1</v>
      </c>
      <c r="AW659" s="5" t="s">
        <v>2265</v>
      </c>
    </row>
    <row r="660" spans="1:49" x14ac:dyDescent="0.55000000000000004">
      <c r="A660" s="5" t="str">
        <f>HYPERLINK("https://www.infodis.net/philips/net/Shipment/Details?InfodisNumber=4498732&amp;DomainCode=DAP", "4498732")</f>
        <v>4498732</v>
      </c>
      <c r="B660" s="5" t="s">
        <v>4449</v>
      </c>
      <c r="C660" s="5" t="s">
        <v>2502</v>
      </c>
      <c r="D660" s="5" t="s">
        <v>2503</v>
      </c>
      <c r="E660" s="5" t="s">
        <v>2504</v>
      </c>
      <c r="F660" s="5" t="s">
        <v>2826</v>
      </c>
      <c r="G660" s="5" t="s">
        <v>1179</v>
      </c>
      <c r="H660" s="5" t="s">
        <v>180</v>
      </c>
      <c r="I660" s="5" t="s">
        <v>194</v>
      </c>
      <c r="J660" s="5" t="s">
        <v>2827</v>
      </c>
      <c r="K660" s="5" t="s">
        <v>2828</v>
      </c>
      <c r="L660" s="5" t="s">
        <v>357</v>
      </c>
      <c r="M660" s="5" t="s">
        <v>358</v>
      </c>
      <c r="N660" s="5"/>
      <c r="O660" s="5"/>
      <c r="P660" s="5" t="s">
        <v>1181</v>
      </c>
      <c r="Q660" s="5"/>
      <c r="R660" s="5" t="s">
        <v>526</v>
      </c>
      <c r="S660" s="6">
        <v>44068</v>
      </c>
      <c r="T660" s="6">
        <v>44068</v>
      </c>
      <c r="U660" s="5"/>
      <c r="V660" s="6">
        <v>44069</v>
      </c>
      <c r="W660" s="5"/>
      <c r="X660" s="5"/>
      <c r="Y660" s="5" t="s">
        <v>2476</v>
      </c>
      <c r="Z660" s="5" t="s">
        <v>2476</v>
      </c>
      <c r="AA660" s="5" t="s">
        <v>2476</v>
      </c>
      <c r="AB660" s="5" t="s">
        <v>67</v>
      </c>
      <c r="AC660" s="5" t="s">
        <v>67</v>
      </c>
      <c r="AD660" s="5" t="s">
        <v>67</v>
      </c>
      <c r="AE660" s="5"/>
      <c r="AF660" s="5" t="s">
        <v>2829</v>
      </c>
      <c r="AG660" s="5" t="s">
        <v>2830</v>
      </c>
      <c r="AH660" s="5" t="s">
        <v>2829</v>
      </c>
      <c r="AI660" s="5" t="s">
        <v>73</v>
      </c>
      <c r="AJ660" s="5">
        <v>0</v>
      </c>
      <c r="AK660" s="5">
        <v>0</v>
      </c>
      <c r="AL660" s="5">
        <v>0</v>
      </c>
      <c r="AM660" s="5">
        <v>0</v>
      </c>
      <c r="AN660" s="5">
        <v>14</v>
      </c>
      <c r="AO660" s="5">
        <v>1892</v>
      </c>
      <c r="AP660" s="5">
        <v>23.196000000000002</v>
      </c>
      <c r="AQ660" s="5" t="s">
        <v>713</v>
      </c>
      <c r="AR660" s="5" t="s">
        <v>1104</v>
      </c>
      <c r="AS660" s="5"/>
      <c r="AT660" s="5"/>
      <c r="AU660" s="5"/>
      <c r="AV660" s="5">
        <v>-1</v>
      </c>
      <c r="AW660" s="5" t="s">
        <v>1110</v>
      </c>
    </row>
    <row r="661" spans="1:49" x14ac:dyDescent="0.55000000000000004">
      <c r="A661" s="5" t="str">
        <f>HYPERLINK("https://www.infodis.net/philips/net/Shipment/Details?InfodisNumber=4350059&amp;DomainCode=DAP", "4350059")</f>
        <v>4350059</v>
      </c>
      <c r="B661" s="5" t="s">
        <v>4450</v>
      </c>
      <c r="C661" s="5" t="s">
        <v>2344</v>
      </c>
      <c r="D661" s="5" t="s">
        <v>2345</v>
      </c>
      <c r="E661" s="5" t="s">
        <v>2344</v>
      </c>
      <c r="F661" s="5" t="s">
        <v>280</v>
      </c>
      <c r="G661" s="5" t="s">
        <v>281</v>
      </c>
      <c r="H661" s="5" t="s">
        <v>79</v>
      </c>
      <c r="I661" s="5" t="s">
        <v>2347</v>
      </c>
      <c r="J661" s="5" t="s">
        <v>2640</v>
      </c>
      <c r="K661" s="5" t="s">
        <v>284</v>
      </c>
      <c r="L661" s="5" t="s">
        <v>285</v>
      </c>
      <c r="M661" s="5" t="s">
        <v>84</v>
      </c>
      <c r="N661" s="5"/>
      <c r="O661" s="5"/>
      <c r="P661" s="5" t="s">
        <v>286</v>
      </c>
      <c r="Q661" s="5"/>
      <c r="R661" s="5" t="s">
        <v>287</v>
      </c>
      <c r="S661" s="6">
        <v>43798</v>
      </c>
      <c r="T661" s="6">
        <v>43801</v>
      </c>
      <c r="U661" s="5"/>
      <c r="V661" s="6">
        <v>43804</v>
      </c>
      <c r="W661" s="5"/>
      <c r="X661" s="5"/>
      <c r="Y661" s="5" t="s">
        <v>66</v>
      </c>
      <c r="Z661" s="5" t="s">
        <v>2411</v>
      </c>
      <c r="AA661" s="5" t="s">
        <v>2411</v>
      </c>
      <c r="AB661" s="5" t="s">
        <v>68</v>
      </c>
      <c r="AC661" s="5" t="s">
        <v>67</v>
      </c>
      <c r="AD661" s="5" t="s">
        <v>67</v>
      </c>
      <c r="AE661" s="5"/>
      <c r="AF661" s="5" t="s">
        <v>2179</v>
      </c>
      <c r="AG661" s="5" t="s">
        <v>2180</v>
      </c>
      <c r="AH661" s="5" t="s">
        <v>2179</v>
      </c>
      <c r="AI661" s="5" t="s">
        <v>73</v>
      </c>
      <c r="AJ661" s="5">
        <v>0</v>
      </c>
      <c r="AK661" s="5">
        <v>0</v>
      </c>
      <c r="AL661" s="5">
        <v>0</v>
      </c>
      <c r="AM661" s="5">
        <v>0</v>
      </c>
      <c r="AN661" s="5">
        <v>4</v>
      </c>
      <c r="AO661" s="5">
        <v>622</v>
      </c>
      <c r="AP661" s="5">
        <v>3.6160000000000001</v>
      </c>
      <c r="AQ661" s="5" t="s">
        <v>713</v>
      </c>
      <c r="AR661" s="5" t="s">
        <v>1104</v>
      </c>
      <c r="AS661" s="5" t="s">
        <v>713</v>
      </c>
      <c r="AT661" s="6">
        <v>43817</v>
      </c>
      <c r="AU661" s="5" t="s">
        <v>4451</v>
      </c>
      <c r="AV661" s="5">
        <v>345</v>
      </c>
      <c r="AW661" s="5" t="s">
        <v>4452</v>
      </c>
    </row>
    <row r="662" spans="1:49" x14ac:dyDescent="0.55000000000000004">
      <c r="A662" s="5" t="str">
        <f>HYPERLINK("https://www.infodis.net/philips/net/Shipment/Details?InfodisNumber=1488600&amp;DomainCode=PHILIPSM1", "1488600")</f>
        <v>1488600</v>
      </c>
      <c r="B662" s="5" t="s">
        <v>4453</v>
      </c>
      <c r="C662" s="5" t="s">
        <v>2353</v>
      </c>
      <c r="D662" s="5" t="s">
        <v>2354</v>
      </c>
      <c r="E662" s="5" t="s">
        <v>2355</v>
      </c>
      <c r="F662" s="5" t="s">
        <v>3847</v>
      </c>
      <c r="G662" s="5" t="s">
        <v>667</v>
      </c>
      <c r="H662" s="5" t="s">
        <v>79</v>
      </c>
      <c r="I662" s="5" t="s">
        <v>1813</v>
      </c>
      <c r="J662" s="5" t="s">
        <v>293</v>
      </c>
      <c r="K662" s="5" t="s">
        <v>937</v>
      </c>
      <c r="L662" s="5" t="s">
        <v>938</v>
      </c>
      <c r="M662" s="5" t="s">
        <v>84</v>
      </c>
      <c r="N662" s="5"/>
      <c r="O662" s="5"/>
      <c r="P662" s="5" t="s">
        <v>1853</v>
      </c>
      <c r="Q662" s="5"/>
      <c r="R662" s="5" t="s">
        <v>2517</v>
      </c>
      <c r="S662" s="6">
        <v>44070</v>
      </c>
      <c r="T662" s="6">
        <v>44071</v>
      </c>
      <c r="U662" s="5"/>
      <c r="V662" s="6">
        <v>44074</v>
      </c>
      <c r="W662" s="5"/>
      <c r="X662" s="5"/>
      <c r="Y662" s="5" t="s">
        <v>3615</v>
      </c>
      <c r="Z662" s="5" t="s">
        <v>3615</v>
      </c>
      <c r="AA662" s="5" t="s">
        <v>603</v>
      </c>
      <c r="AB662" s="5" t="s">
        <v>67</v>
      </c>
      <c r="AC662" s="5" t="s">
        <v>67</v>
      </c>
      <c r="AD662" s="5" t="s">
        <v>68</v>
      </c>
      <c r="AE662" s="5"/>
      <c r="AF662" s="5" t="s">
        <v>2179</v>
      </c>
      <c r="AG662" s="5" t="s">
        <v>2180</v>
      </c>
      <c r="AH662" s="5" t="s">
        <v>2179</v>
      </c>
      <c r="AI662" s="5" t="s">
        <v>605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142.5</v>
      </c>
      <c r="AP662" s="5">
        <v>1.7130000000000001</v>
      </c>
      <c r="AQ662" s="5" t="s">
        <v>713</v>
      </c>
      <c r="AR662" s="5" t="s">
        <v>1104</v>
      </c>
      <c r="AS662" s="5" t="s">
        <v>713</v>
      </c>
      <c r="AT662" s="5"/>
      <c r="AU662" s="5"/>
      <c r="AV662" s="5">
        <v>-1</v>
      </c>
      <c r="AW662" s="5" t="s">
        <v>3848</v>
      </c>
    </row>
    <row r="663" spans="1:49" x14ac:dyDescent="0.55000000000000004">
      <c r="A663" s="5" t="str">
        <f>HYPERLINK("https://www.infodis.net/philips/net/Shipment/Details?InfodisNumber=1488663&amp;DomainCode=PHILIPSM1", "1488663")</f>
        <v>1488663</v>
      </c>
      <c r="B663" s="5" t="s">
        <v>4454</v>
      </c>
      <c r="C663" s="5" t="s">
        <v>3659</v>
      </c>
      <c r="D663" s="5" t="s">
        <v>3660</v>
      </c>
      <c r="E663" s="5" t="s">
        <v>3659</v>
      </c>
      <c r="F663" s="5" t="s">
        <v>3086</v>
      </c>
      <c r="G663" s="5" t="s">
        <v>3662</v>
      </c>
      <c r="H663" s="5" t="s">
        <v>180</v>
      </c>
      <c r="I663" s="5" t="s">
        <v>2057</v>
      </c>
      <c r="J663" s="5" t="s">
        <v>2607</v>
      </c>
      <c r="K663" s="5" t="s">
        <v>1380</v>
      </c>
      <c r="L663" s="5" t="s">
        <v>132</v>
      </c>
      <c r="M663" s="5" t="s">
        <v>60</v>
      </c>
      <c r="N663" s="5"/>
      <c r="O663" s="5"/>
      <c r="P663" s="5" t="s">
        <v>3663</v>
      </c>
      <c r="Q663" s="5" t="s">
        <v>4455</v>
      </c>
      <c r="R663" s="5" t="s">
        <v>2609</v>
      </c>
      <c r="S663" s="6">
        <v>44070</v>
      </c>
      <c r="T663" s="6">
        <v>44070</v>
      </c>
      <c r="U663" s="6">
        <v>44075</v>
      </c>
      <c r="V663" s="6">
        <v>44073</v>
      </c>
      <c r="W663" s="6">
        <v>44080</v>
      </c>
      <c r="X663" s="5"/>
      <c r="Y663" s="5" t="s">
        <v>2387</v>
      </c>
      <c r="Z663" s="5" t="s">
        <v>2387</v>
      </c>
      <c r="AA663" s="5" t="s">
        <v>2387</v>
      </c>
      <c r="AB663" s="5" t="s">
        <v>67</v>
      </c>
      <c r="AC663" s="5" t="s">
        <v>67</v>
      </c>
      <c r="AD663" s="5" t="s">
        <v>67</v>
      </c>
      <c r="AE663" s="5"/>
      <c r="AF663" s="5" t="s">
        <v>2179</v>
      </c>
      <c r="AG663" s="5" t="s">
        <v>2180</v>
      </c>
      <c r="AH663" s="5" t="s">
        <v>2179</v>
      </c>
      <c r="AI663" s="5" t="s">
        <v>605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0.5</v>
      </c>
      <c r="AP663" s="5">
        <v>1.2999999999999999E-2</v>
      </c>
      <c r="AQ663" s="5" t="s">
        <v>713</v>
      </c>
      <c r="AR663" s="5" t="s">
        <v>1104</v>
      </c>
      <c r="AS663" s="5" t="s">
        <v>713</v>
      </c>
      <c r="AT663" s="6">
        <v>44127</v>
      </c>
      <c r="AU663" s="5" t="s">
        <v>3664</v>
      </c>
      <c r="AV663" s="5">
        <v>35</v>
      </c>
      <c r="AW663" s="5" t="s">
        <v>3665</v>
      </c>
    </row>
    <row r="664" spans="1:49" x14ac:dyDescent="0.55000000000000004">
      <c r="A664" s="5" t="str">
        <f>HYPERLINK("https://www.infodis.net/philips/net/Shipment/Details?InfodisNumber=1488662&amp;DomainCode=PHILIPSM1", "1488662")</f>
        <v>1488662</v>
      </c>
      <c r="B664" s="5" t="s">
        <v>4456</v>
      </c>
      <c r="C664" s="5" t="s">
        <v>3659</v>
      </c>
      <c r="D664" s="5" t="s">
        <v>3660</v>
      </c>
      <c r="E664" s="5" t="s">
        <v>3659</v>
      </c>
      <c r="F664" s="5" t="s">
        <v>4442</v>
      </c>
      <c r="G664" s="5" t="s">
        <v>3662</v>
      </c>
      <c r="H664" s="5" t="s">
        <v>180</v>
      </c>
      <c r="I664" s="5" t="s">
        <v>2057</v>
      </c>
      <c r="J664" s="5" t="s">
        <v>268</v>
      </c>
      <c r="K664" s="5" t="s">
        <v>4443</v>
      </c>
      <c r="L664" s="5" t="s">
        <v>267</v>
      </c>
      <c r="M664" s="5" t="s">
        <v>60</v>
      </c>
      <c r="N664" s="5"/>
      <c r="O664" s="5"/>
      <c r="P664" s="5" t="s">
        <v>3663</v>
      </c>
      <c r="Q664" s="5" t="s">
        <v>4457</v>
      </c>
      <c r="R664" s="5" t="s">
        <v>855</v>
      </c>
      <c r="S664" s="6">
        <v>44070</v>
      </c>
      <c r="T664" s="6">
        <v>44070</v>
      </c>
      <c r="U664" s="6">
        <v>44074</v>
      </c>
      <c r="V664" s="6">
        <v>44073</v>
      </c>
      <c r="W664" s="6">
        <v>44078</v>
      </c>
      <c r="X664" s="5"/>
      <c r="Y664" s="5" t="s">
        <v>2387</v>
      </c>
      <c r="Z664" s="5" t="s">
        <v>2387</v>
      </c>
      <c r="AA664" s="5" t="s">
        <v>603</v>
      </c>
      <c r="AB664" s="5" t="s">
        <v>67</v>
      </c>
      <c r="AC664" s="5" t="s">
        <v>67</v>
      </c>
      <c r="AD664" s="5" t="s">
        <v>68</v>
      </c>
      <c r="AE664" s="5"/>
      <c r="AF664" s="5" t="s">
        <v>2179</v>
      </c>
      <c r="AG664" s="5" t="s">
        <v>2180</v>
      </c>
      <c r="AH664" s="5" t="s">
        <v>2179</v>
      </c>
      <c r="AI664" s="5" t="s">
        <v>605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71.5</v>
      </c>
      <c r="AP664" s="5">
        <v>0.41299999999999998</v>
      </c>
      <c r="AQ664" s="5" t="s">
        <v>713</v>
      </c>
      <c r="AR664" s="5" t="s">
        <v>1104</v>
      </c>
      <c r="AS664" s="5"/>
      <c r="AT664" s="5"/>
      <c r="AU664" s="5"/>
      <c r="AV664" s="5">
        <v>-1</v>
      </c>
      <c r="AW664" s="5" t="s">
        <v>3752</v>
      </c>
    </row>
    <row r="665" spans="1:49" x14ac:dyDescent="0.55000000000000004">
      <c r="A665" s="5" t="str">
        <f>HYPERLINK("https://www.infodis.net/philips/net/Shipment/Details?InfodisNumber=4499354&amp;DomainCode=DAP", "4499354")</f>
        <v>4499354</v>
      </c>
      <c r="B665" s="5" t="s">
        <v>4458</v>
      </c>
      <c r="C665" s="5" t="s">
        <v>3680</v>
      </c>
      <c r="D665" s="5" t="s">
        <v>3681</v>
      </c>
      <c r="E665" s="5" t="s">
        <v>3680</v>
      </c>
      <c r="F665" s="5" t="s">
        <v>256</v>
      </c>
      <c r="G665" s="5" t="s">
        <v>1282</v>
      </c>
      <c r="H665" s="5" t="s">
        <v>79</v>
      </c>
      <c r="I665" s="5" t="s">
        <v>587</v>
      </c>
      <c r="J665" s="5" t="s">
        <v>2626</v>
      </c>
      <c r="K665" s="5" t="s">
        <v>259</v>
      </c>
      <c r="L665" s="5" t="s">
        <v>260</v>
      </c>
      <c r="M665" s="5" t="s">
        <v>84</v>
      </c>
      <c r="N665" s="5"/>
      <c r="O665" s="5"/>
      <c r="P665" s="5" t="s">
        <v>1206</v>
      </c>
      <c r="Q665" s="5"/>
      <c r="R665" s="5" t="s">
        <v>262</v>
      </c>
      <c r="S665" s="6">
        <v>44070</v>
      </c>
      <c r="T665" s="6">
        <v>44070</v>
      </c>
      <c r="U665" s="5"/>
      <c r="V665" s="6">
        <v>44073</v>
      </c>
      <c r="W665" s="5"/>
      <c r="X665" s="5"/>
      <c r="Y665" s="5" t="s">
        <v>66</v>
      </c>
      <c r="Z665" s="5" t="s">
        <v>2411</v>
      </c>
      <c r="AA665" s="5" t="s">
        <v>2411</v>
      </c>
      <c r="AB665" s="5" t="s">
        <v>68</v>
      </c>
      <c r="AC665" s="5" t="s">
        <v>67</v>
      </c>
      <c r="AD665" s="5" t="s">
        <v>67</v>
      </c>
      <c r="AE665" s="5"/>
      <c r="AF665" s="5" t="s">
        <v>2179</v>
      </c>
      <c r="AG665" s="5" t="s">
        <v>2180</v>
      </c>
      <c r="AH665" s="5" t="s">
        <v>2179</v>
      </c>
      <c r="AI665" s="5" t="s">
        <v>73</v>
      </c>
      <c r="AJ665" s="5">
        <v>0</v>
      </c>
      <c r="AK665" s="5">
        <v>0</v>
      </c>
      <c r="AL665" s="5">
        <v>0</v>
      </c>
      <c r="AM665" s="5">
        <v>0</v>
      </c>
      <c r="AN665" s="5">
        <v>1</v>
      </c>
      <c r="AO665" s="5">
        <v>476</v>
      </c>
      <c r="AP665" s="5">
        <v>3.1920000000000002</v>
      </c>
      <c r="AQ665" s="5" t="s">
        <v>713</v>
      </c>
      <c r="AR665" s="5" t="s">
        <v>1104</v>
      </c>
      <c r="AS665" s="5"/>
      <c r="AT665" s="5"/>
      <c r="AU665" s="5"/>
      <c r="AV665" s="5">
        <v>-1</v>
      </c>
      <c r="AW665" s="5" t="s">
        <v>1110</v>
      </c>
    </row>
    <row r="666" spans="1:49" x14ac:dyDescent="0.55000000000000004">
      <c r="A666" s="5" t="str">
        <f>HYPERLINK("https://www.infodis.net/philips/net/Shipment/Details?InfodisNumber=1488401&amp;DomainCode=PHILIPSM1", "1488401")</f>
        <v>1488401</v>
      </c>
      <c r="B666" s="5" t="s">
        <v>4459</v>
      </c>
      <c r="C666" s="5" t="s">
        <v>2491</v>
      </c>
      <c r="D666" s="5" t="s">
        <v>2492</v>
      </c>
      <c r="E666" s="5" t="s">
        <v>2491</v>
      </c>
      <c r="F666" s="5" t="s">
        <v>3160</v>
      </c>
      <c r="G666" s="5" t="s">
        <v>1431</v>
      </c>
      <c r="H666" s="5" t="s">
        <v>180</v>
      </c>
      <c r="I666" s="5" t="s">
        <v>2494</v>
      </c>
      <c r="J666" s="5" t="s">
        <v>2308</v>
      </c>
      <c r="K666" s="5" t="s">
        <v>2430</v>
      </c>
      <c r="L666" s="5" t="s">
        <v>2134</v>
      </c>
      <c r="M666" s="5" t="s">
        <v>60</v>
      </c>
      <c r="N666" s="5"/>
      <c r="O666" s="5"/>
      <c r="P666" s="5" t="s">
        <v>1434</v>
      </c>
      <c r="Q666" s="5" t="s">
        <v>4460</v>
      </c>
      <c r="R666" s="5" t="s">
        <v>3162</v>
      </c>
      <c r="S666" s="6">
        <v>44068</v>
      </c>
      <c r="T666" s="6">
        <v>44069</v>
      </c>
      <c r="U666" s="6">
        <v>44069</v>
      </c>
      <c r="V666" s="6">
        <v>44070</v>
      </c>
      <c r="W666" s="6">
        <v>44076</v>
      </c>
      <c r="X666" s="6">
        <v>44083</v>
      </c>
      <c r="Y666" s="5" t="s">
        <v>2387</v>
      </c>
      <c r="Z666" s="5" t="s">
        <v>2387</v>
      </c>
      <c r="AA666" s="5" t="s">
        <v>603</v>
      </c>
      <c r="AB666" s="5" t="s">
        <v>67</v>
      </c>
      <c r="AC666" s="5" t="s">
        <v>67</v>
      </c>
      <c r="AD666" s="5" t="s">
        <v>68</v>
      </c>
      <c r="AE666" s="5"/>
      <c r="AF666" s="5" t="s">
        <v>2610</v>
      </c>
      <c r="AG666" s="5" t="s">
        <v>2611</v>
      </c>
      <c r="AH666" s="5" t="s">
        <v>2610</v>
      </c>
      <c r="AI666" s="5" t="s">
        <v>605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3.9</v>
      </c>
      <c r="AP666" s="5">
        <v>5.1999999999999998E-2</v>
      </c>
      <c r="AQ666" s="5" t="s">
        <v>713</v>
      </c>
      <c r="AR666" s="5" t="s">
        <v>1104</v>
      </c>
      <c r="AS666" s="5"/>
      <c r="AT666" s="5"/>
      <c r="AU666" s="5"/>
      <c r="AV666" s="5">
        <v>-1</v>
      </c>
      <c r="AW666" s="5" t="s">
        <v>3752</v>
      </c>
    </row>
    <row r="667" spans="1:49" x14ac:dyDescent="0.55000000000000004">
      <c r="A667" s="5" t="str">
        <f>HYPERLINK("https://www.infodis.net/philips/net/Shipment/Details?InfodisNumber=1488379&amp;DomainCode=PHILIPSM1", "1488379")</f>
        <v>1488379</v>
      </c>
      <c r="B667" s="5" t="s">
        <v>4461</v>
      </c>
      <c r="C667" s="5" t="s">
        <v>3659</v>
      </c>
      <c r="D667" s="5" t="s">
        <v>3660</v>
      </c>
      <c r="E667" s="5" t="s">
        <v>3659</v>
      </c>
      <c r="F667" s="5" t="s">
        <v>3661</v>
      </c>
      <c r="G667" s="5" t="s">
        <v>3662</v>
      </c>
      <c r="H667" s="5" t="s">
        <v>180</v>
      </c>
      <c r="I667" s="5" t="s">
        <v>2057</v>
      </c>
      <c r="J667" s="5" t="s">
        <v>2084</v>
      </c>
      <c r="K667" s="5" t="s">
        <v>1430</v>
      </c>
      <c r="L667" s="5" t="s">
        <v>244</v>
      </c>
      <c r="M667" s="5" t="s">
        <v>60</v>
      </c>
      <c r="N667" s="5"/>
      <c r="O667" s="5"/>
      <c r="P667" s="5" t="s">
        <v>3663</v>
      </c>
      <c r="Q667" s="5"/>
      <c r="R667" s="5" t="s">
        <v>1432</v>
      </c>
      <c r="S667" s="6">
        <v>44068</v>
      </c>
      <c r="T667" s="6">
        <v>44068</v>
      </c>
      <c r="U667" s="5"/>
      <c r="V667" s="6">
        <v>44071</v>
      </c>
      <c r="W667" s="5"/>
      <c r="X667" s="5"/>
      <c r="Y667" s="5" t="s">
        <v>2387</v>
      </c>
      <c r="Z667" s="5" t="s">
        <v>2387</v>
      </c>
      <c r="AA667" s="5" t="s">
        <v>2387</v>
      </c>
      <c r="AB667" s="5" t="s">
        <v>67</v>
      </c>
      <c r="AC667" s="5" t="s">
        <v>67</v>
      </c>
      <c r="AD667" s="5" t="s">
        <v>67</v>
      </c>
      <c r="AE667" s="5"/>
      <c r="AF667" s="5" t="s">
        <v>2179</v>
      </c>
      <c r="AG667" s="5" t="s">
        <v>2180</v>
      </c>
      <c r="AH667" s="5" t="s">
        <v>2179</v>
      </c>
      <c r="AI667" s="5" t="s">
        <v>605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180.53</v>
      </c>
      <c r="AP667" s="5">
        <v>1.454</v>
      </c>
      <c r="AQ667" s="5" t="s">
        <v>713</v>
      </c>
      <c r="AR667" s="5" t="s">
        <v>1104</v>
      </c>
      <c r="AS667" s="5" t="s">
        <v>713</v>
      </c>
      <c r="AT667" s="6">
        <v>44127</v>
      </c>
      <c r="AU667" s="5" t="s">
        <v>3664</v>
      </c>
      <c r="AV667" s="5">
        <v>35</v>
      </c>
      <c r="AW667" s="5" t="s">
        <v>3665</v>
      </c>
    </row>
    <row r="668" spans="1:49" x14ac:dyDescent="0.55000000000000004">
      <c r="A668" s="5" t="str">
        <f>HYPERLINK("https://www.infodis.net/philips/net/Shipment/Details?InfodisNumber=4498734&amp;DomainCode=DAP", "4498734")</f>
        <v>4498734</v>
      </c>
      <c r="B668" s="5" t="s">
        <v>4462</v>
      </c>
      <c r="C668" s="5" t="s">
        <v>2502</v>
      </c>
      <c r="D668" s="5" t="s">
        <v>2503</v>
      </c>
      <c r="E668" s="5" t="s">
        <v>2504</v>
      </c>
      <c r="F668" s="5" t="s">
        <v>228</v>
      </c>
      <c r="G668" s="5" t="s">
        <v>1179</v>
      </c>
      <c r="H668" s="5" t="s">
        <v>180</v>
      </c>
      <c r="I668" s="5" t="s">
        <v>2368</v>
      </c>
      <c r="J668" s="5" t="s">
        <v>511</v>
      </c>
      <c r="K668" s="5" t="s">
        <v>233</v>
      </c>
      <c r="L668" s="5" t="s">
        <v>234</v>
      </c>
      <c r="M668" s="5" t="s">
        <v>60</v>
      </c>
      <c r="N668" s="5"/>
      <c r="O668" s="5"/>
      <c r="P668" s="5" t="s">
        <v>1181</v>
      </c>
      <c r="Q668" s="5"/>
      <c r="R668" s="5" t="s">
        <v>236</v>
      </c>
      <c r="S668" s="6">
        <v>44068</v>
      </c>
      <c r="T668" s="6">
        <v>44068</v>
      </c>
      <c r="U668" s="5"/>
      <c r="V668" s="6">
        <v>44071</v>
      </c>
      <c r="W668" s="5"/>
      <c r="X668" s="5"/>
      <c r="Y668" s="5" t="s">
        <v>2476</v>
      </c>
      <c r="Z668" s="5" t="s">
        <v>2476</v>
      </c>
      <c r="AA668" s="5" t="s">
        <v>2476</v>
      </c>
      <c r="AB668" s="5" t="s">
        <v>67</v>
      </c>
      <c r="AC668" s="5" t="s">
        <v>67</v>
      </c>
      <c r="AD668" s="5" t="s">
        <v>67</v>
      </c>
      <c r="AE668" s="5"/>
      <c r="AF668" s="5" t="s">
        <v>2179</v>
      </c>
      <c r="AG668" s="5" t="s">
        <v>2180</v>
      </c>
      <c r="AH668" s="5" t="s">
        <v>2179</v>
      </c>
      <c r="AI668" s="5" t="s">
        <v>73</v>
      </c>
      <c r="AJ668" s="5">
        <v>0</v>
      </c>
      <c r="AK668" s="5">
        <v>0</v>
      </c>
      <c r="AL668" s="5">
        <v>0</v>
      </c>
      <c r="AM668" s="5">
        <v>0</v>
      </c>
      <c r="AN668" s="5">
        <v>1</v>
      </c>
      <c r="AO668" s="5">
        <v>58</v>
      </c>
      <c r="AP668" s="5">
        <v>0.68400000000000005</v>
      </c>
      <c r="AQ668" s="5" t="s">
        <v>713</v>
      </c>
      <c r="AR668" s="5" t="s">
        <v>1104</v>
      </c>
      <c r="AS668" s="5" t="s">
        <v>713</v>
      </c>
      <c r="AT668" s="6">
        <v>44098</v>
      </c>
      <c r="AU668" s="5" t="s">
        <v>3813</v>
      </c>
      <c r="AV668" s="5">
        <v>64</v>
      </c>
      <c r="AW668" s="5" t="s">
        <v>3814</v>
      </c>
    </row>
    <row r="669" spans="1:49" x14ac:dyDescent="0.55000000000000004">
      <c r="A669" s="5" t="str">
        <f>HYPERLINK("https://www.infodis.net/philips/net/Shipment/Details?InfodisNumber=1488605&amp;DomainCode=PHILIPSM1", "1488605")</f>
        <v>1488605</v>
      </c>
      <c r="B669" s="5" t="s">
        <v>4463</v>
      </c>
      <c r="C669" s="5" t="s">
        <v>2353</v>
      </c>
      <c r="D669" s="5" t="s">
        <v>2354</v>
      </c>
      <c r="E669" s="5" t="s">
        <v>2355</v>
      </c>
      <c r="F669" s="5" t="s">
        <v>3866</v>
      </c>
      <c r="G669" s="5" t="s">
        <v>667</v>
      </c>
      <c r="H669" s="5" t="s">
        <v>79</v>
      </c>
      <c r="I669" s="5" t="s">
        <v>1813</v>
      </c>
      <c r="J669" s="5" t="s">
        <v>2367</v>
      </c>
      <c r="K669" s="5" t="s">
        <v>3867</v>
      </c>
      <c r="L669" s="5" t="s">
        <v>55</v>
      </c>
      <c r="M669" s="5" t="s">
        <v>84</v>
      </c>
      <c r="N669" s="5"/>
      <c r="O669" s="5"/>
      <c r="P669" s="5" t="s">
        <v>1853</v>
      </c>
      <c r="Q669" s="5"/>
      <c r="R669" s="5" t="s">
        <v>3868</v>
      </c>
      <c r="S669" s="6">
        <v>44070</v>
      </c>
      <c r="T669" s="6">
        <v>44071</v>
      </c>
      <c r="U669" s="5"/>
      <c r="V669" s="6">
        <v>44074</v>
      </c>
      <c r="W669" s="5"/>
      <c r="X669" s="5"/>
      <c r="Y669" s="5" t="s">
        <v>3615</v>
      </c>
      <c r="Z669" s="5" t="s">
        <v>3615</v>
      </c>
      <c r="AA669" s="5" t="s">
        <v>603</v>
      </c>
      <c r="AB669" s="5" t="s">
        <v>67</v>
      </c>
      <c r="AC669" s="5" t="s">
        <v>67</v>
      </c>
      <c r="AD669" s="5" t="s">
        <v>68</v>
      </c>
      <c r="AE669" s="5"/>
      <c r="AF669" s="5" t="s">
        <v>2179</v>
      </c>
      <c r="AG669" s="5" t="s">
        <v>2180</v>
      </c>
      <c r="AH669" s="5" t="s">
        <v>2179</v>
      </c>
      <c r="AI669" s="5" t="s">
        <v>605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33.5</v>
      </c>
      <c r="AP669" s="5">
        <v>0.435</v>
      </c>
      <c r="AQ669" s="5" t="s">
        <v>713</v>
      </c>
      <c r="AR669" s="5" t="s">
        <v>1104</v>
      </c>
      <c r="AS669" s="5" t="s">
        <v>713</v>
      </c>
      <c r="AT669" s="5"/>
      <c r="AU669" s="5"/>
      <c r="AV669" s="5">
        <v>-1</v>
      </c>
      <c r="AW669" s="5" t="s">
        <v>3848</v>
      </c>
    </row>
    <row r="670" spans="1:49" x14ac:dyDescent="0.55000000000000004">
      <c r="A670" s="5" t="str">
        <f>HYPERLINK("https://www.infodis.net/philips/net/Shipment/Details?InfodisNumber=4493578&amp;DomainCode=DAP", "4493578")</f>
        <v>4493578</v>
      </c>
      <c r="B670" s="5" t="s">
        <v>4464</v>
      </c>
      <c r="C670" s="5" t="s">
        <v>2502</v>
      </c>
      <c r="D670" s="5" t="s">
        <v>2503</v>
      </c>
      <c r="E670" s="5" t="s">
        <v>256</v>
      </c>
      <c r="F670" s="5" t="s">
        <v>256</v>
      </c>
      <c r="G670" s="5" t="s">
        <v>1179</v>
      </c>
      <c r="H670" s="5" t="s">
        <v>180</v>
      </c>
      <c r="I670" s="5" t="s">
        <v>2368</v>
      </c>
      <c r="J670" s="5" t="s">
        <v>2626</v>
      </c>
      <c r="K670" s="5" t="s">
        <v>259</v>
      </c>
      <c r="L670" s="5" t="s">
        <v>260</v>
      </c>
      <c r="M670" s="5" t="s">
        <v>60</v>
      </c>
      <c r="N670" s="5"/>
      <c r="O670" s="5"/>
      <c r="P670" s="5" t="s">
        <v>1181</v>
      </c>
      <c r="Q670" s="5"/>
      <c r="R670" s="5" t="s">
        <v>262</v>
      </c>
      <c r="S670" s="6">
        <v>44060</v>
      </c>
      <c r="T670" s="6">
        <v>44060</v>
      </c>
      <c r="U670" s="5"/>
      <c r="V670" s="6">
        <v>44063</v>
      </c>
      <c r="W670" s="5"/>
      <c r="X670" s="5"/>
      <c r="Y670" s="5" t="s">
        <v>2476</v>
      </c>
      <c r="Z670" s="5" t="s">
        <v>2476</v>
      </c>
      <c r="AA670" s="5" t="s">
        <v>2476</v>
      </c>
      <c r="AB670" s="5" t="s">
        <v>67</v>
      </c>
      <c r="AC670" s="5" t="s">
        <v>67</v>
      </c>
      <c r="AD670" s="5" t="s">
        <v>67</v>
      </c>
      <c r="AE670" s="5"/>
      <c r="AF670" s="5" t="s">
        <v>2179</v>
      </c>
      <c r="AG670" s="5" t="s">
        <v>2180</v>
      </c>
      <c r="AH670" s="5" t="s">
        <v>2179</v>
      </c>
      <c r="AI670" s="5" t="s">
        <v>73</v>
      </c>
      <c r="AJ670" s="5">
        <v>0</v>
      </c>
      <c r="AK670" s="5">
        <v>0</v>
      </c>
      <c r="AL670" s="5">
        <v>0</v>
      </c>
      <c r="AM670" s="5">
        <v>0</v>
      </c>
      <c r="AN670" s="5">
        <v>1</v>
      </c>
      <c r="AO670" s="5">
        <v>104</v>
      </c>
      <c r="AP670" s="5">
        <v>0.52600000000000002</v>
      </c>
      <c r="AQ670" s="5" t="s">
        <v>713</v>
      </c>
      <c r="AR670" s="5" t="s">
        <v>1104</v>
      </c>
      <c r="AS670" s="5"/>
      <c r="AT670" s="5"/>
      <c r="AU670" s="5"/>
      <c r="AV670" s="5">
        <v>-1</v>
      </c>
      <c r="AW670" s="5" t="s">
        <v>1110</v>
      </c>
    </row>
    <row r="671" spans="1:49" x14ac:dyDescent="0.55000000000000004">
      <c r="A671" s="5" t="str">
        <f>HYPERLINK("https://www.infodis.net/philips/net/Shipment/Details?InfodisNumber=4404096&amp;DomainCode=DAP", "4404096")</f>
        <v>4404096</v>
      </c>
      <c r="B671" s="5" t="s">
        <v>4465</v>
      </c>
      <c r="C671" s="5" t="s">
        <v>2344</v>
      </c>
      <c r="D671" s="5" t="s">
        <v>2345</v>
      </c>
      <c r="E671" s="5" t="s">
        <v>2344</v>
      </c>
      <c r="F671" s="5" t="s">
        <v>280</v>
      </c>
      <c r="G671" s="5" t="s">
        <v>281</v>
      </c>
      <c r="H671" s="5" t="s">
        <v>79</v>
      </c>
      <c r="I671" s="5" t="s">
        <v>2347</v>
      </c>
      <c r="J671" s="5" t="s">
        <v>2640</v>
      </c>
      <c r="K671" s="5" t="s">
        <v>284</v>
      </c>
      <c r="L671" s="5" t="s">
        <v>285</v>
      </c>
      <c r="M671" s="5" t="s">
        <v>84</v>
      </c>
      <c r="N671" s="5"/>
      <c r="O671" s="5"/>
      <c r="P671" s="5" t="s">
        <v>286</v>
      </c>
      <c r="Q671" s="5"/>
      <c r="R671" s="5" t="s">
        <v>287</v>
      </c>
      <c r="S671" s="6">
        <v>43893</v>
      </c>
      <c r="T671" s="6">
        <v>43894</v>
      </c>
      <c r="U671" s="5"/>
      <c r="V671" s="6">
        <v>43897</v>
      </c>
      <c r="W671" s="5"/>
      <c r="X671" s="5"/>
      <c r="Y671" s="5" t="s">
        <v>66</v>
      </c>
      <c r="Z671" s="5" t="s">
        <v>2411</v>
      </c>
      <c r="AA671" s="5" t="s">
        <v>2411</v>
      </c>
      <c r="AB671" s="5" t="s">
        <v>68</v>
      </c>
      <c r="AC671" s="5" t="s">
        <v>67</v>
      </c>
      <c r="AD671" s="5" t="s">
        <v>67</v>
      </c>
      <c r="AE671" s="5"/>
      <c r="AF671" s="5" t="s">
        <v>2179</v>
      </c>
      <c r="AG671" s="5" t="s">
        <v>2180</v>
      </c>
      <c r="AH671" s="5" t="s">
        <v>2179</v>
      </c>
      <c r="AI671" s="5" t="s">
        <v>73</v>
      </c>
      <c r="AJ671" s="5">
        <v>0</v>
      </c>
      <c r="AK671" s="5">
        <v>0</v>
      </c>
      <c r="AL671" s="5">
        <v>0</v>
      </c>
      <c r="AM671" s="5">
        <v>0</v>
      </c>
      <c r="AN671" s="5">
        <v>2</v>
      </c>
      <c r="AO671" s="5">
        <v>304.39999999999998</v>
      </c>
      <c r="AP671" s="5">
        <v>1.8080000000000001</v>
      </c>
      <c r="AQ671" s="5" t="s">
        <v>713</v>
      </c>
      <c r="AR671" s="5" t="s">
        <v>1104</v>
      </c>
      <c r="AS671" s="5" t="s">
        <v>713</v>
      </c>
      <c r="AT671" s="5"/>
      <c r="AU671" s="5"/>
      <c r="AV671" s="5">
        <v>-1</v>
      </c>
      <c r="AW671" s="5" t="s">
        <v>4466</v>
      </c>
    </row>
    <row r="672" spans="1:49" x14ac:dyDescent="0.55000000000000004">
      <c r="A672" s="5" t="str">
        <f>HYPERLINK("https://www.infodis.net/philips/net/Shipment/Details?InfodisNumber=1477760&amp;DomainCode=PHILIPSM1", "1477760")</f>
        <v>1477760</v>
      </c>
      <c r="B672" s="5" t="s">
        <v>4467</v>
      </c>
      <c r="C672" s="5" t="s">
        <v>2353</v>
      </c>
      <c r="D672" s="5" t="s">
        <v>2354</v>
      </c>
      <c r="E672" s="5" t="s">
        <v>2355</v>
      </c>
      <c r="F672" s="5" t="s">
        <v>3866</v>
      </c>
      <c r="G672" s="5" t="s">
        <v>667</v>
      </c>
      <c r="H672" s="5" t="s">
        <v>79</v>
      </c>
      <c r="I672" s="5" t="s">
        <v>1813</v>
      </c>
      <c r="J672" s="5" t="s">
        <v>2367</v>
      </c>
      <c r="K672" s="5" t="s">
        <v>3867</v>
      </c>
      <c r="L672" s="5" t="s">
        <v>55</v>
      </c>
      <c r="M672" s="5" t="s">
        <v>84</v>
      </c>
      <c r="N672" s="5"/>
      <c r="O672" s="5"/>
      <c r="P672" s="5" t="s">
        <v>1853</v>
      </c>
      <c r="Q672" s="5"/>
      <c r="R672" s="5" t="s">
        <v>3868</v>
      </c>
      <c r="S672" s="6">
        <v>44057</v>
      </c>
      <c r="T672" s="6">
        <v>44060</v>
      </c>
      <c r="U672" s="5"/>
      <c r="V672" s="6">
        <v>44063</v>
      </c>
      <c r="W672" s="5"/>
      <c r="X672" s="5"/>
      <c r="Y672" s="5" t="s">
        <v>3615</v>
      </c>
      <c r="Z672" s="5" t="s">
        <v>3615</v>
      </c>
      <c r="AA672" s="5" t="s">
        <v>603</v>
      </c>
      <c r="AB672" s="5" t="s">
        <v>67</v>
      </c>
      <c r="AC672" s="5" t="s">
        <v>67</v>
      </c>
      <c r="AD672" s="5" t="s">
        <v>68</v>
      </c>
      <c r="AE672" s="5"/>
      <c r="AF672" s="5" t="s">
        <v>2179</v>
      </c>
      <c r="AG672" s="5" t="s">
        <v>2180</v>
      </c>
      <c r="AH672" s="5" t="s">
        <v>2179</v>
      </c>
      <c r="AI672" s="5" t="s">
        <v>605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5</v>
      </c>
      <c r="AP672" s="5">
        <v>1.0999999999999999E-2</v>
      </c>
      <c r="AQ672" s="5" t="s">
        <v>713</v>
      </c>
      <c r="AR672" s="5" t="s">
        <v>1104</v>
      </c>
      <c r="AS672" s="5" t="s">
        <v>713</v>
      </c>
      <c r="AT672" s="6">
        <v>44069</v>
      </c>
      <c r="AU672" s="5" t="s">
        <v>4406</v>
      </c>
      <c r="AV672" s="5">
        <v>93</v>
      </c>
      <c r="AW672" s="5" t="s">
        <v>4407</v>
      </c>
    </row>
    <row r="673" spans="1:49" x14ac:dyDescent="0.55000000000000004">
      <c r="A673" s="5" t="str">
        <f>HYPERLINK("https://www.infodis.net/philips/net/Shipment/Details?InfodisNumber=4483377&amp;DomainCode=DAP", "4483377")</f>
        <v>4483377</v>
      </c>
      <c r="B673" s="5" t="s">
        <v>4468</v>
      </c>
      <c r="C673" s="5" t="s">
        <v>4469</v>
      </c>
      <c r="D673" s="5" t="s">
        <v>3718</v>
      </c>
      <c r="E673" s="5" t="s">
        <v>4469</v>
      </c>
      <c r="F673" s="5" t="s">
        <v>571</v>
      </c>
      <c r="G673" s="5" t="s">
        <v>3719</v>
      </c>
      <c r="H673" s="5" t="s">
        <v>180</v>
      </c>
      <c r="I673" s="5" t="s">
        <v>3720</v>
      </c>
      <c r="J673" s="5" t="s">
        <v>2396</v>
      </c>
      <c r="K673" s="5" t="s">
        <v>546</v>
      </c>
      <c r="L673" s="5" t="s">
        <v>79</v>
      </c>
      <c r="M673" s="5" t="s">
        <v>60</v>
      </c>
      <c r="N673" s="5"/>
      <c r="O673" s="5"/>
      <c r="P673" s="5" t="s">
        <v>3721</v>
      </c>
      <c r="Q673" s="5" t="s">
        <v>4470</v>
      </c>
      <c r="R673" s="5" t="s">
        <v>575</v>
      </c>
      <c r="S673" s="6">
        <v>44043</v>
      </c>
      <c r="T673" s="6">
        <v>44042</v>
      </c>
      <c r="U673" s="6">
        <v>44043</v>
      </c>
      <c r="V673" s="6">
        <v>44045</v>
      </c>
      <c r="W673" s="6">
        <v>44043</v>
      </c>
      <c r="X673" s="6">
        <v>44048</v>
      </c>
      <c r="Y673" s="5" t="s">
        <v>1735</v>
      </c>
      <c r="Z673" s="5" t="s">
        <v>1735</v>
      </c>
      <c r="AA673" s="5" t="s">
        <v>1735</v>
      </c>
      <c r="AB673" s="5" t="s">
        <v>67</v>
      </c>
      <c r="AC673" s="5" t="s">
        <v>67</v>
      </c>
      <c r="AD673" s="5" t="s">
        <v>67</v>
      </c>
      <c r="AE673" s="5"/>
      <c r="AF673" s="5" t="s">
        <v>2179</v>
      </c>
      <c r="AG673" s="5" t="s">
        <v>2180</v>
      </c>
      <c r="AH673" s="5" t="s">
        <v>2179</v>
      </c>
      <c r="AI673" s="5" t="s">
        <v>73</v>
      </c>
      <c r="AJ673" s="5">
        <v>0</v>
      </c>
      <c r="AK673" s="5">
        <v>0</v>
      </c>
      <c r="AL673" s="5">
        <v>0</v>
      </c>
      <c r="AM673" s="5">
        <v>0</v>
      </c>
      <c r="AN673" s="5">
        <v>14</v>
      </c>
      <c r="AO673" s="5">
        <v>1555.82</v>
      </c>
      <c r="AP673" s="5">
        <v>6.63</v>
      </c>
      <c r="AQ673" s="5" t="s">
        <v>713</v>
      </c>
      <c r="AR673" s="5" t="s">
        <v>1104</v>
      </c>
      <c r="AS673" s="5"/>
      <c r="AT673" s="5"/>
      <c r="AU673" s="5"/>
      <c r="AV673" s="5">
        <v>-1</v>
      </c>
      <c r="AW673" s="5" t="s">
        <v>3724</v>
      </c>
    </row>
    <row r="674" spans="1:49" x14ac:dyDescent="0.55000000000000004">
      <c r="A674" s="5" t="str">
        <f>HYPERLINK("https://www.infodis.net/philips/net/Shipment/Details?InfodisNumber=1459103&amp;DomainCode=PHILIPSM1", "1459103")</f>
        <v>1459103</v>
      </c>
      <c r="B674" s="5" t="s">
        <v>4471</v>
      </c>
      <c r="C674" s="5" t="s">
        <v>2491</v>
      </c>
      <c r="D674" s="5" t="s">
        <v>2492</v>
      </c>
      <c r="E674" s="5" t="s">
        <v>2491</v>
      </c>
      <c r="F674" s="5" t="s">
        <v>3806</v>
      </c>
      <c r="G674" s="5" t="s">
        <v>1431</v>
      </c>
      <c r="H674" s="5" t="s">
        <v>180</v>
      </c>
      <c r="I674" s="5" t="s">
        <v>2494</v>
      </c>
      <c r="J674" s="5" t="s">
        <v>2454</v>
      </c>
      <c r="K674" s="5" t="s">
        <v>2985</v>
      </c>
      <c r="L674" s="5" t="s">
        <v>443</v>
      </c>
      <c r="M674" s="5" t="s">
        <v>60</v>
      </c>
      <c r="N674" s="5"/>
      <c r="O674" s="5"/>
      <c r="P674" s="5" t="s">
        <v>1434</v>
      </c>
      <c r="Q674" s="5" t="s">
        <v>4472</v>
      </c>
      <c r="R674" s="5" t="s">
        <v>3808</v>
      </c>
      <c r="S674" s="6">
        <v>44041</v>
      </c>
      <c r="T674" s="6">
        <v>44042</v>
      </c>
      <c r="U674" s="6">
        <v>44055</v>
      </c>
      <c r="V674" s="6">
        <v>44043</v>
      </c>
      <c r="W674" s="6">
        <v>44058</v>
      </c>
      <c r="X674" s="6">
        <v>44063</v>
      </c>
      <c r="Y674" s="5" t="s">
        <v>2387</v>
      </c>
      <c r="Z674" s="5" t="s">
        <v>2387</v>
      </c>
      <c r="AA674" s="5" t="s">
        <v>603</v>
      </c>
      <c r="AB674" s="5" t="s">
        <v>67</v>
      </c>
      <c r="AC674" s="5" t="s">
        <v>67</v>
      </c>
      <c r="AD674" s="5" t="s">
        <v>68</v>
      </c>
      <c r="AE674" s="5"/>
      <c r="AF674" s="5" t="s">
        <v>2610</v>
      </c>
      <c r="AG674" s="5" t="s">
        <v>2611</v>
      </c>
      <c r="AH674" s="5" t="s">
        <v>2610</v>
      </c>
      <c r="AI674" s="5" t="s">
        <v>605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3.2</v>
      </c>
      <c r="AP674" s="5">
        <v>5.5E-2</v>
      </c>
      <c r="AQ674" s="5" t="s">
        <v>713</v>
      </c>
      <c r="AR674" s="5" t="s">
        <v>1104</v>
      </c>
      <c r="AS674" s="5"/>
      <c r="AT674" s="5"/>
      <c r="AU674" s="5"/>
      <c r="AV674" s="5">
        <v>-1</v>
      </c>
      <c r="AW674" s="5" t="s">
        <v>3672</v>
      </c>
    </row>
    <row r="675" spans="1:49" x14ac:dyDescent="0.55000000000000004">
      <c r="A675" s="5" t="str">
        <f>HYPERLINK("https://www.infodis.net/philips/net/Shipment/Details?InfodisNumber=1459049&amp;DomainCode=PHILIPSM1", "1459049")</f>
        <v>1459049</v>
      </c>
      <c r="B675" s="5" t="s">
        <v>4473</v>
      </c>
      <c r="C675" s="5" t="s">
        <v>4474</v>
      </c>
      <c r="D675" s="5" t="s">
        <v>4475</v>
      </c>
      <c r="E675" s="5" t="s">
        <v>4474</v>
      </c>
      <c r="F675" s="5" t="s">
        <v>2355</v>
      </c>
      <c r="G675" s="5" t="s">
        <v>4476</v>
      </c>
      <c r="H675" s="5" t="s">
        <v>180</v>
      </c>
      <c r="I675" s="5" t="s">
        <v>4477</v>
      </c>
      <c r="J675" s="5" t="s">
        <v>4478</v>
      </c>
      <c r="K675" s="5" t="s">
        <v>667</v>
      </c>
      <c r="L675" s="5" t="s">
        <v>79</v>
      </c>
      <c r="M675" s="5" t="s">
        <v>60</v>
      </c>
      <c r="N675" s="5"/>
      <c r="O675" s="5"/>
      <c r="P675" s="5" t="s">
        <v>4479</v>
      </c>
      <c r="Q675" s="5"/>
      <c r="R675" s="5" t="s">
        <v>1853</v>
      </c>
      <c r="S675" s="6">
        <v>44041</v>
      </c>
      <c r="T675" s="6">
        <v>44047</v>
      </c>
      <c r="U675" s="5"/>
      <c r="V675" s="6">
        <v>44050</v>
      </c>
      <c r="W675" s="5"/>
      <c r="X675" s="5"/>
      <c r="Y675" s="5" t="s">
        <v>2387</v>
      </c>
      <c r="Z675" s="5" t="s">
        <v>2387</v>
      </c>
      <c r="AA675" s="5" t="s">
        <v>2387</v>
      </c>
      <c r="AB675" s="5" t="s">
        <v>67</v>
      </c>
      <c r="AC675" s="5" t="s">
        <v>67</v>
      </c>
      <c r="AD675" s="5" t="s">
        <v>67</v>
      </c>
      <c r="AE675" s="5"/>
      <c r="AF675" s="5" t="s">
        <v>2179</v>
      </c>
      <c r="AG675" s="5" t="s">
        <v>2180</v>
      </c>
      <c r="AH675" s="5" t="s">
        <v>2179</v>
      </c>
      <c r="AI675" s="5" t="s">
        <v>605</v>
      </c>
      <c r="AJ675" s="5">
        <v>0</v>
      </c>
      <c r="AK675" s="5">
        <v>0</v>
      </c>
      <c r="AL675" s="5">
        <v>0</v>
      </c>
      <c r="AM675" s="5">
        <v>0</v>
      </c>
      <c r="AN675" s="5">
        <v>1</v>
      </c>
      <c r="AO675" s="5">
        <v>362.87</v>
      </c>
      <c r="AP675" s="5">
        <v>1.0489999999999999</v>
      </c>
      <c r="AQ675" s="5" t="s">
        <v>713</v>
      </c>
      <c r="AR675" s="5" t="s">
        <v>1104</v>
      </c>
      <c r="AS675" s="5"/>
      <c r="AT675" s="5"/>
      <c r="AU675" s="5"/>
      <c r="AV675" s="5">
        <v>-1</v>
      </c>
      <c r="AW675" s="5" t="s">
        <v>3715</v>
      </c>
    </row>
    <row r="676" spans="1:49" x14ac:dyDescent="0.55000000000000004">
      <c r="A676" s="5" t="str">
        <f>HYPERLINK("https://www.infodis.net/philips/net/Shipment/Details?InfodisNumber=1455877&amp;DomainCode=PHILIPSM1", "1455877")</f>
        <v>1455877</v>
      </c>
      <c r="B676" s="5" t="s">
        <v>4480</v>
      </c>
      <c r="C676" s="5" t="s">
        <v>2353</v>
      </c>
      <c r="D676" s="5" t="s">
        <v>2354</v>
      </c>
      <c r="E676" s="5" t="s">
        <v>2355</v>
      </c>
      <c r="F676" s="5" t="s">
        <v>3953</v>
      </c>
      <c r="G676" s="5" t="s">
        <v>667</v>
      </c>
      <c r="H676" s="5" t="s">
        <v>79</v>
      </c>
      <c r="I676" s="5" t="s">
        <v>1813</v>
      </c>
      <c r="J676" s="5" t="s">
        <v>4197</v>
      </c>
      <c r="K676" s="5" t="s">
        <v>3954</v>
      </c>
      <c r="L676" s="5" t="s">
        <v>132</v>
      </c>
      <c r="M676" s="5" t="s">
        <v>60</v>
      </c>
      <c r="N676" s="5"/>
      <c r="O676" s="5"/>
      <c r="P676" s="5" t="s">
        <v>1853</v>
      </c>
      <c r="Q676" s="5" t="s">
        <v>4481</v>
      </c>
      <c r="R676" s="5" t="s">
        <v>3956</v>
      </c>
      <c r="S676" s="6">
        <v>44040</v>
      </c>
      <c r="T676" s="6">
        <v>44040</v>
      </c>
      <c r="U676" s="6">
        <v>44041</v>
      </c>
      <c r="V676" s="6">
        <v>44045</v>
      </c>
      <c r="W676" s="6">
        <v>44044</v>
      </c>
      <c r="X676" s="5"/>
      <c r="Y676" s="5" t="s">
        <v>2387</v>
      </c>
      <c r="Z676" s="5" t="s">
        <v>2387</v>
      </c>
      <c r="AA676" s="5" t="s">
        <v>603</v>
      </c>
      <c r="AB676" s="5" t="s">
        <v>67</v>
      </c>
      <c r="AC676" s="5" t="s">
        <v>67</v>
      </c>
      <c r="AD676" s="5" t="s">
        <v>68</v>
      </c>
      <c r="AE676" s="5"/>
      <c r="AF676" s="5" t="s">
        <v>2179</v>
      </c>
      <c r="AG676" s="5" t="s">
        <v>2180</v>
      </c>
      <c r="AH676" s="5" t="s">
        <v>2179</v>
      </c>
      <c r="AI676" s="5" t="s">
        <v>605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65</v>
      </c>
      <c r="AP676" s="5">
        <v>0.45200000000000001</v>
      </c>
      <c r="AQ676" s="5" t="s">
        <v>713</v>
      </c>
      <c r="AR676" s="5" t="s">
        <v>1104</v>
      </c>
      <c r="AS676" s="5"/>
      <c r="AT676" s="5"/>
      <c r="AU676" s="5"/>
      <c r="AV676" s="5">
        <v>-1</v>
      </c>
      <c r="AW676" s="5" t="s">
        <v>3715</v>
      </c>
    </row>
    <row r="677" spans="1:49" x14ac:dyDescent="0.55000000000000004">
      <c r="A677" s="5" t="str">
        <f>HYPERLINK("https://www.infodis.net/philips/net/Shipment/Details?InfodisNumber=1455875&amp;DomainCode=PHILIPSM1", "1455875")</f>
        <v>1455875</v>
      </c>
      <c r="B677" s="5" t="s">
        <v>4482</v>
      </c>
      <c r="C677" s="5" t="s">
        <v>2353</v>
      </c>
      <c r="D677" s="5" t="s">
        <v>2354</v>
      </c>
      <c r="E677" s="5" t="s">
        <v>2355</v>
      </c>
      <c r="F677" s="5" t="s">
        <v>3953</v>
      </c>
      <c r="G677" s="5" t="s">
        <v>667</v>
      </c>
      <c r="H677" s="5" t="s">
        <v>79</v>
      </c>
      <c r="I677" s="5" t="s">
        <v>1813</v>
      </c>
      <c r="J677" s="5" t="s">
        <v>4197</v>
      </c>
      <c r="K677" s="5" t="s">
        <v>3954</v>
      </c>
      <c r="L677" s="5" t="s">
        <v>132</v>
      </c>
      <c r="M677" s="5" t="s">
        <v>60</v>
      </c>
      <c r="N677" s="5"/>
      <c r="O677" s="5"/>
      <c r="P677" s="5" t="s">
        <v>1853</v>
      </c>
      <c r="Q677" s="5" t="s">
        <v>4483</v>
      </c>
      <c r="R677" s="5" t="s">
        <v>3956</v>
      </c>
      <c r="S677" s="6">
        <v>44040</v>
      </c>
      <c r="T677" s="6">
        <v>44040</v>
      </c>
      <c r="U677" s="6">
        <v>44041</v>
      </c>
      <c r="V677" s="6">
        <v>44045</v>
      </c>
      <c r="W677" s="6">
        <v>44044</v>
      </c>
      <c r="X677" s="5"/>
      <c r="Y677" s="5" t="s">
        <v>2387</v>
      </c>
      <c r="Z677" s="5" t="s">
        <v>2387</v>
      </c>
      <c r="AA677" s="5" t="s">
        <v>603</v>
      </c>
      <c r="AB677" s="5" t="s">
        <v>67</v>
      </c>
      <c r="AC677" s="5" t="s">
        <v>67</v>
      </c>
      <c r="AD677" s="5" t="s">
        <v>68</v>
      </c>
      <c r="AE677" s="5"/>
      <c r="AF677" s="5" t="s">
        <v>2179</v>
      </c>
      <c r="AG677" s="5" t="s">
        <v>2180</v>
      </c>
      <c r="AH677" s="5" t="s">
        <v>2179</v>
      </c>
      <c r="AI677" s="5" t="s">
        <v>605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170</v>
      </c>
      <c r="AP677" s="5">
        <v>1.194</v>
      </c>
      <c r="AQ677" s="5" t="s">
        <v>713</v>
      </c>
      <c r="AR677" s="5" t="s">
        <v>1104</v>
      </c>
      <c r="AS677" s="5"/>
      <c r="AT677" s="5"/>
      <c r="AU677" s="5"/>
      <c r="AV677" s="5">
        <v>-1</v>
      </c>
      <c r="AW677" s="5" t="s">
        <v>3715</v>
      </c>
    </row>
    <row r="678" spans="1:49" x14ac:dyDescent="0.55000000000000004">
      <c r="A678" s="5" t="str">
        <f>HYPERLINK("https://www.infodis.net/philips/net/Shipment/Details?InfodisNumber=1455802&amp;DomainCode=PHILIPSM1", "1455802")</f>
        <v>1455802</v>
      </c>
      <c r="B678" s="5" t="s">
        <v>4484</v>
      </c>
      <c r="C678" s="5" t="s">
        <v>4485</v>
      </c>
      <c r="D678" s="5" t="s">
        <v>4486</v>
      </c>
      <c r="E678" s="5" t="s">
        <v>4485</v>
      </c>
      <c r="F678" s="5" t="s">
        <v>1428</v>
      </c>
      <c r="G678" s="5" t="s">
        <v>4476</v>
      </c>
      <c r="H678" s="5" t="s">
        <v>180</v>
      </c>
      <c r="I678" s="5" t="s">
        <v>4477</v>
      </c>
      <c r="J678" s="5" t="s">
        <v>2084</v>
      </c>
      <c r="K678" s="5" t="s">
        <v>1430</v>
      </c>
      <c r="L678" s="5" t="s">
        <v>244</v>
      </c>
      <c r="M678" s="5" t="s">
        <v>60</v>
      </c>
      <c r="N678" s="5"/>
      <c r="O678" s="5"/>
      <c r="P678" s="5" t="s">
        <v>4479</v>
      </c>
      <c r="Q678" s="5" t="s">
        <v>4487</v>
      </c>
      <c r="R678" s="5" t="s">
        <v>1432</v>
      </c>
      <c r="S678" s="6">
        <v>44039</v>
      </c>
      <c r="T678" s="6">
        <v>44040</v>
      </c>
      <c r="U678" s="6">
        <v>44039</v>
      </c>
      <c r="V678" s="6">
        <v>44043</v>
      </c>
      <c r="W678" s="6">
        <v>44042</v>
      </c>
      <c r="X678" s="5"/>
      <c r="Y678" s="5" t="s">
        <v>2387</v>
      </c>
      <c r="Z678" s="5" t="s">
        <v>2387</v>
      </c>
      <c r="AA678" s="5" t="s">
        <v>2387</v>
      </c>
      <c r="AB678" s="5" t="s">
        <v>67</v>
      </c>
      <c r="AC678" s="5" t="s">
        <v>67</v>
      </c>
      <c r="AD678" s="5" t="s">
        <v>67</v>
      </c>
      <c r="AE678" s="5"/>
      <c r="AF678" s="5" t="s">
        <v>2179</v>
      </c>
      <c r="AG678" s="5" t="s">
        <v>2180</v>
      </c>
      <c r="AH678" s="5" t="s">
        <v>2179</v>
      </c>
      <c r="AI678" s="5" t="s">
        <v>605</v>
      </c>
      <c r="AJ678" s="5">
        <v>0</v>
      </c>
      <c r="AK678" s="5">
        <v>0</v>
      </c>
      <c r="AL678" s="5">
        <v>0</v>
      </c>
      <c r="AM678" s="5">
        <v>0</v>
      </c>
      <c r="AN678" s="5">
        <v>14</v>
      </c>
      <c r="AO678" s="5">
        <v>2880</v>
      </c>
      <c r="AP678" s="5">
        <v>22.024000000000001</v>
      </c>
      <c r="AQ678" s="5" t="s">
        <v>713</v>
      </c>
      <c r="AR678" s="5" t="s">
        <v>1104</v>
      </c>
      <c r="AS678" s="5"/>
      <c r="AT678" s="5"/>
      <c r="AU678" s="5"/>
      <c r="AV678" s="5">
        <v>-1</v>
      </c>
      <c r="AW678" s="5" t="s">
        <v>1498</v>
      </c>
    </row>
    <row r="679" spans="1:49" x14ac:dyDescent="0.55000000000000004">
      <c r="A679" s="5" t="str">
        <f>HYPERLINK("https://www.infodis.net/philips/net/Shipment/Details?InfodisNumber=1455768&amp;DomainCode=PHILIPSM1", "1455768")</f>
        <v>1455768</v>
      </c>
      <c r="B679" s="5" t="s">
        <v>4488</v>
      </c>
      <c r="C679" s="5" t="s">
        <v>2080</v>
      </c>
      <c r="D679" s="5" t="s">
        <v>2081</v>
      </c>
      <c r="E679" s="5" t="s">
        <v>2089</v>
      </c>
      <c r="F679" s="5"/>
      <c r="G679" s="5" t="s">
        <v>1430</v>
      </c>
      <c r="H679" s="5" t="s">
        <v>244</v>
      </c>
      <c r="I679" s="5" t="s">
        <v>2084</v>
      </c>
      <c r="J679" s="5" t="s">
        <v>2396</v>
      </c>
      <c r="K679" s="5" t="s">
        <v>433</v>
      </c>
      <c r="L679" s="5" t="s">
        <v>79</v>
      </c>
      <c r="M679" s="5" t="s">
        <v>60</v>
      </c>
      <c r="N679" s="5"/>
      <c r="O679" s="5"/>
      <c r="P679" s="5" t="s">
        <v>1432</v>
      </c>
      <c r="Q679" s="5" t="s">
        <v>4489</v>
      </c>
      <c r="R679" s="5" t="s">
        <v>4490</v>
      </c>
      <c r="S679" s="6">
        <v>44039</v>
      </c>
      <c r="T679" s="6">
        <v>44039</v>
      </c>
      <c r="U679" s="6">
        <v>44039</v>
      </c>
      <c r="V679" s="6">
        <v>44044</v>
      </c>
      <c r="W679" s="6">
        <v>44041</v>
      </c>
      <c r="X679" s="5"/>
      <c r="Y679" s="5" t="s">
        <v>2387</v>
      </c>
      <c r="Z679" s="5" t="s">
        <v>2387</v>
      </c>
      <c r="AA679" s="5" t="s">
        <v>603</v>
      </c>
      <c r="AB679" s="5" t="s">
        <v>67</v>
      </c>
      <c r="AC679" s="5" t="s">
        <v>67</v>
      </c>
      <c r="AD679" s="5" t="s">
        <v>68</v>
      </c>
      <c r="AE679" s="5"/>
      <c r="AF679" s="5" t="s">
        <v>2399</v>
      </c>
      <c r="AG679" s="5" t="s">
        <v>2400</v>
      </c>
      <c r="AH679" s="5" t="s">
        <v>2399</v>
      </c>
      <c r="AI679" s="5" t="s">
        <v>605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3</v>
      </c>
      <c r="AP679" s="5">
        <v>2.7E-2</v>
      </c>
      <c r="AQ679" s="5" t="s">
        <v>713</v>
      </c>
      <c r="AR679" s="5" t="s">
        <v>1104</v>
      </c>
      <c r="AS679" s="5"/>
      <c r="AT679" s="5"/>
      <c r="AU679" s="5"/>
      <c r="AV679" s="5">
        <v>-1</v>
      </c>
      <c r="AW679" s="5" t="s">
        <v>3715</v>
      </c>
    </row>
    <row r="680" spans="1:49" x14ac:dyDescent="0.55000000000000004">
      <c r="A680" s="5" t="str">
        <f>HYPERLINK("https://www.infodis.net/philips/net/Shipment/Details?InfodisNumber=1460632&amp;DomainCode=PHILIPSM1", "1460632")</f>
        <v>1460632</v>
      </c>
      <c r="B680" s="5" t="s">
        <v>4491</v>
      </c>
      <c r="C680" s="5" t="s">
        <v>2353</v>
      </c>
      <c r="D680" s="5" t="s">
        <v>2354</v>
      </c>
      <c r="E680" s="5" t="s">
        <v>2355</v>
      </c>
      <c r="F680" s="5" t="s">
        <v>3953</v>
      </c>
      <c r="G680" s="5" t="s">
        <v>667</v>
      </c>
      <c r="H680" s="5" t="s">
        <v>79</v>
      </c>
      <c r="I680" s="5" t="s">
        <v>1813</v>
      </c>
      <c r="J680" s="5" t="s">
        <v>4197</v>
      </c>
      <c r="K680" s="5" t="s">
        <v>3954</v>
      </c>
      <c r="L680" s="5" t="s">
        <v>132</v>
      </c>
      <c r="M680" s="5" t="s">
        <v>60</v>
      </c>
      <c r="N680" s="5"/>
      <c r="O680" s="5"/>
      <c r="P680" s="5" t="s">
        <v>1853</v>
      </c>
      <c r="Q680" s="5" t="s">
        <v>4492</v>
      </c>
      <c r="R680" s="5" t="s">
        <v>3956</v>
      </c>
      <c r="S680" s="6">
        <v>44043</v>
      </c>
      <c r="T680" s="6">
        <v>44043</v>
      </c>
      <c r="U680" s="6">
        <v>44045</v>
      </c>
      <c r="V680" s="6">
        <v>44048</v>
      </c>
      <c r="W680" s="6">
        <v>44048</v>
      </c>
      <c r="X680" s="5"/>
      <c r="Y680" s="5" t="s">
        <v>2387</v>
      </c>
      <c r="Z680" s="5" t="s">
        <v>2387</v>
      </c>
      <c r="AA680" s="5" t="s">
        <v>603</v>
      </c>
      <c r="AB680" s="5" t="s">
        <v>67</v>
      </c>
      <c r="AC680" s="5" t="s">
        <v>67</v>
      </c>
      <c r="AD680" s="5" t="s">
        <v>68</v>
      </c>
      <c r="AE680" s="5"/>
      <c r="AF680" s="5" t="s">
        <v>2179</v>
      </c>
      <c r="AG680" s="5" t="s">
        <v>2180</v>
      </c>
      <c r="AH680" s="5" t="s">
        <v>2179</v>
      </c>
      <c r="AI680" s="5" t="s">
        <v>605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52</v>
      </c>
      <c r="AP680" s="5">
        <v>0.36899999999999999</v>
      </c>
      <c r="AQ680" s="5" t="s">
        <v>713</v>
      </c>
      <c r="AR680" s="5" t="s">
        <v>1104</v>
      </c>
      <c r="AS680" s="5"/>
      <c r="AT680" s="5"/>
      <c r="AU680" s="5"/>
      <c r="AV680" s="5">
        <v>-1</v>
      </c>
      <c r="AW680" s="5" t="s">
        <v>3715</v>
      </c>
    </row>
    <row r="681" spans="1:49" x14ac:dyDescent="0.55000000000000004">
      <c r="A681" s="5" t="str">
        <f>HYPERLINK("https://www.infodis.net/philips/net/Shipment/Details?InfodisNumber=4479843&amp;DomainCode=DAP", "4479843")</f>
        <v>4479843</v>
      </c>
      <c r="B681" s="5" t="s">
        <v>4493</v>
      </c>
      <c r="C681" s="5" t="s">
        <v>3654</v>
      </c>
      <c r="D681" s="5" t="s">
        <v>3655</v>
      </c>
      <c r="E681" s="5" t="s">
        <v>3654</v>
      </c>
      <c r="F681" s="5" t="s">
        <v>256</v>
      </c>
      <c r="G681" s="5" t="s">
        <v>855</v>
      </c>
      <c r="H681" s="5" t="s">
        <v>267</v>
      </c>
      <c r="I681" s="5" t="s">
        <v>268</v>
      </c>
      <c r="J681" s="5" t="s">
        <v>2626</v>
      </c>
      <c r="K681" s="5" t="s">
        <v>259</v>
      </c>
      <c r="L681" s="5" t="s">
        <v>260</v>
      </c>
      <c r="M681" s="5" t="s">
        <v>84</v>
      </c>
      <c r="N681" s="5"/>
      <c r="O681" s="5"/>
      <c r="P681" s="5" t="s">
        <v>3656</v>
      </c>
      <c r="Q681" s="5"/>
      <c r="R681" s="5" t="s">
        <v>262</v>
      </c>
      <c r="S681" s="6">
        <v>44036</v>
      </c>
      <c r="T681" s="6">
        <v>44046</v>
      </c>
      <c r="U681" s="5"/>
      <c r="V681" s="6">
        <v>44049</v>
      </c>
      <c r="W681" s="5"/>
      <c r="X681" s="5"/>
      <c r="Y681" s="5" t="s">
        <v>66</v>
      </c>
      <c r="Z681" s="5" t="s">
        <v>2411</v>
      </c>
      <c r="AA681" s="5" t="s">
        <v>2411</v>
      </c>
      <c r="AB681" s="5" t="s">
        <v>68</v>
      </c>
      <c r="AC681" s="5" t="s">
        <v>67</v>
      </c>
      <c r="AD681" s="5" t="s">
        <v>67</v>
      </c>
      <c r="AE681" s="5"/>
      <c r="AF681" s="5" t="s">
        <v>2179</v>
      </c>
      <c r="AG681" s="5" t="s">
        <v>2180</v>
      </c>
      <c r="AH681" s="5" t="s">
        <v>2179</v>
      </c>
      <c r="AI681" s="5" t="s">
        <v>73</v>
      </c>
      <c r="AJ681" s="5">
        <v>0</v>
      </c>
      <c r="AK681" s="5">
        <v>0</v>
      </c>
      <c r="AL681" s="5">
        <v>0</v>
      </c>
      <c r="AM681" s="5">
        <v>0</v>
      </c>
      <c r="AN681" s="5">
        <v>6</v>
      </c>
      <c r="AO681" s="5">
        <v>791</v>
      </c>
      <c r="AP681" s="5">
        <v>7.0420000000000007</v>
      </c>
      <c r="AQ681" s="5" t="s">
        <v>713</v>
      </c>
      <c r="AR681" s="5" t="s">
        <v>1104</v>
      </c>
      <c r="AS681" s="5"/>
      <c r="AT681" s="5"/>
      <c r="AU681" s="5"/>
      <c r="AV681" s="5">
        <v>-1</v>
      </c>
      <c r="AW681" s="5" t="s">
        <v>2265</v>
      </c>
    </row>
    <row r="682" spans="1:49" x14ac:dyDescent="0.55000000000000004">
      <c r="A682" s="5" t="str">
        <f>HYPERLINK("https://www.infodis.net/philips/net/Shipment/Details?InfodisNumber=4480045&amp;DomainCode=DAP", "4480045")</f>
        <v>4480045</v>
      </c>
      <c r="B682" s="5" t="s">
        <v>4494</v>
      </c>
      <c r="C682" s="5" t="s">
        <v>3654</v>
      </c>
      <c r="D682" s="5" t="s">
        <v>3655</v>
      </c>
      <c r="E682" s="5" t="s">
        <v>3654</v>
      </c>
      <c r="F682" s="5" t="s">
        <v>256</v>
      </c>
      <c r="G682" s="5" t="s">
        <v>855</v>
      </c>
      <c r="H682" s="5" t="s">
        <v>267</v>
      </c>
      <c r="I682" s="5" t="s">
        <v>268</v>
      </c>
      <c r="J682" s="5" t="s">
        <v>2626</v>
      </c>
      <c r="K682" s="5" t="s">
        <v>259</v>
      </c>
      <c r="L682" s="5" t="s">
        <v>260</v>
      </c>
      <c r="M682" s="5" t="s">
        <v>84</v>
      </c>
      <c r="N682" s="5"/>
      <c r="O682" s="5"/>
      <c r="P682" s="5" t="s">
        <v>3656</v>
      </c>
      <c r="Q682" s="5"/>
      <c r="R682" s="5" t="s">
        <v>262</v>
      </c>
      <c r="S682" s="6">
        <v>44036</v>
      </c>
      <c r="T682" s="6">
        <v>44046</v>
      </c>
      <c r="U682" s="5"/>
      <c r="V682" s="6">
        <v>44049</v>
      </c>
      <c r="W682" s="5"/>
      <c r="X682" s="5"/>
      <c r="Y682" s="5" t="s">
        <v>66</v>
      </c>
      <c r="Z682" s="5" t="s">
        <v>2411</v>
      </c>
      <c r="AA682" s="5" t="s">
        <v>2411</v>
      </c>
      <c r="AB682" s="5" t="s">
        <v>68</v>
      </c>
      <c r="AC682" s="5" t="s">
        <v>67</v>
      </c>
      <c r="AD682" s="5" t="s">
        <v>67</v>
      </c>
      <c r="AE682" s="5"/>
      <c r="AF682" s="5" t="s">
        <v>2179</v>
      </c>
      <c r="AG682" s="5" t="s">
        <v>2180</v>
      </c>
      <c r="AH682" s="5" t="s">
        <v>2179</v>
      </c>
      <c r="AI682" s="5" t="s">
        <v>73</v>
      </c>
      <c r="AJ682" s="5">
        <v>0</v>
      </c>
      <c r="AK682" s="5">
        <v>0</v>
      </c>
      <c r="AL682" s="5">
        <v>0</v>
      </c>
      <c r="AM682" s="5">
        <v>0</v>
      </c>
      <c r="AN682" s="5">
        <v>8</v>
      </c>
      <c r="AO682" s="5">
        <v>1303</v>
      </c>
      <c r="AP682" s="5">
        <v>9.5609999999999999</v>
      </c>
      <c r="AQ682" s="5" t="s">
        <v>713</v>
      </c>
      <c r="AR682" s="5" t="s">
        <v>1104</v>
      </c>
      <c r="AS682" s="5"/>
      <c r="AT682" s="5"/>
      <c r="AU682" s="5"/>
      <c r="AV682" s="5">
        <v>-1</v>
      </c>
      <c r="AW682" s="5" t="s">
        <v>2265</v>
      </c>
    </row>
    <row r="683" spans="1:49" x14ac:dyDescent="0.55000000000000004">
      <c r="A683" s="5" t="str">
        <f>HYPERLINK("https://www.infodis.net/philips/net/Shipment/Details?InfodisNumber=1452435&amp;DomainCode=PHILIPSM1", "1452435")</f>
        <v>1452435</v>
      </c>
      <c r="B683" s="5" t="s">
        <v>4495</v>
      </c>
      <c r="C683" s="5" t="s">
        <v>2080</v>
      </c>
      <c r="D683" s="5" t="s">
        <v>2081</v>
      </c>
      <c r="E683" s="5" t="s">
        <v>2082</v>
      </c>
      <c r="F683" s="5" t="s">
        <v>4496</v>
      </c>
      <c r="G683" s="5" t="s">
        <v>1430</v>
      </c>
      <c r="H683" s="5" t="s">
        <v>244</v>
      </c>
      <c r="I683" s="5" t="s">
        <v>2084</v>
      </c>
      <c r="J683" s="5" t="s">
        <v>4497</v>
      </c>
      <c r="K683" s="5" t="s">
        <v>1212</v>
      </c>
      <c r="L683" s="5" t="s">
        <v>1213</v>
      </c>
      <c r="M683" s="5" t="s">
        <v>1794</v>
      </c>
      <c r="N683" s="5"/>
      <c r="O683" s="5"/>
      <c r="P683" s="5" t="s">
        <v>1432</v>
      </c>
      <c r="Q683" s="5"/>
      <c r="R683" s="5" t="s">
        <v>4498</v>
      </c>
      <c r="S683" s="6">
        <v>44036</v>
      </c>
      <c r="T683" s="6">
        <v>44036</v>
      </c>
      <c r="U683" s="5"/>
      <c r="V683" s="6">
        <v>44041</v>
      </c>
      <c r="W683" s="5"/>
      <c r="X683" s="5"/>
      <c r="Y683" s="5" t="s">
        <v>2387</v>
      </c>
      <c r="Z683" s="5" t="s">
        <v>2387</v>
      </c>
      <c r="AA683" s="5" t="s">
        <v>603</v>
      </c>
      <c r="AB683" s="5" t="s">
        <v>67</v>
      </c>
      <c r="AC683" s="5" t="s">
        <v>67</v>
      </c>
      <c r="AD683" s="5" t="s">
        <v>68</v>
      </c>
      <c r="AE683" s="5"/>
      <c r="AF683" s="5" t="s">
        <v>2399</v>
      </c>
      <c r="AG683" s="5" t="s">
        <v>2400</v>
      </c>
      <c r="AH683" s="5" t="s">
        <v>2399</v>
      </c>
      <c r="AI683" s="5" t="s">
        <v>605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70</v>
      </c>
      <c r="AP683" s="5">
        <v>0</v>
      </c>
      <c r="AQ683" s="5" t="s">
        <v>713</v>
      </c>
      <c r="AR683" s="5" t="s">
        <v>1104</v>
      </c>
      <c r="AS683" s="5"/>
      <c r="AT683" s="5"/>
      <c r="AU683" s="5"/>
      <c r="AV683" s="5">
        <v>-1</v>
      </c>
      <c r="AW683" s="5" t="s">
        <v>3715</v>
      </c>
    </row>
    <row r="684" spans="1:49" x14ac:dyDescent="0.55000000000000004">
      <c r="A684" s="5" t="str">
        <f>HYPERLINK("https://www.infodis.net/philips/net/Shipment/Details?InfodisNumber=4479723&amp;DomainCode=DAP", "4479723")</f>
        <v>4479723</v>
      </c>
      <c r="B684" s="5" t="s">
        <v>4499</v>
      </c>
      <c r="C684" s="5" t="s">
        <v>3654</v>
      </c>
      <c r="D684" s="5" t="s">
        <v>3655</v>
      </c>
      <c r="E684" s="5" t="s">
        <v>3654</v>
      </c>
      <c r="F684" s="5" t="s">
        <v>256</v>
      </c>
      <c r="G684" s="5" t="s">
        <v>855</v>
      </c>
      <c r="H684" s="5" t="s">
        <v>267</v>
      </c>
      <c r="I684" s="5" t="s">
        <v>268</v>
      </c>
      <c r="J684" s="5" t="s">
        <v>2626</v>
      </c>
      <c r="K684" s="5" t="s">
        <v>259</v>
      </c>
      <c r="L684" s="5" t="s">
        <v>260</v>
      </c>
      <c r="M684" s="5" t="s">
        <v>84</v>
      </c>
      <c r="N684" s="5"/>
      <c r="O684" s="5"/>
      <c r="P684" s="5" t="s">
        <v>3656</v>
      </c>
      <c r="Q684" s="5"/>
      <c r="R684" s="5" t="s">
        <v>262</v>
      </c>
      <c r="S684" s="6">
        <v>44036</v>
      </c>
      <c r="T684" s="6">
        <v>44046</v>
      </c>
      <c r="U684" s="5"/>
      <c r="V684" s="6">
        <v>44049</v>
      </c>
      <c r="W684" s="5"/>
      <c r="X684" s="5"/>
      <c r="Y684" s="5" t="s">
        <v>66</v>
      </c>
      <c r="Z684" s="5" t="s">
        <v>2411</v>
      </c>
      <c r="AA684" s="5" t="s">
        <v>2411</v>
      </c>
      <c r="AB684" s="5" t="s">
        <v>68</v>
      </c>
      <c r="AC684" s="5" t="s">
        <v>67</v>
      </c>
      <c r="AD684" s="5" t="s">
        <v>67</v>
      </c>
      <c r="AE684" s="5"/>
      <c r="AF684" s="5" t="s">
        <v>2179</v>
      </c>
      <c r="AG684" s="5" t="s">
        <v>2180</v>
      </c>
      <c r="AH684" s="5" t="s">
        <v>2179</v>
      </c>
      <c r="AI684" s="5" t="s">
        <v>73</v>
      </c>
      <c r="AJ684" s="5">
        <v>0</v>
      </c>
      <c r="AK684" s="5">
        <v>0</v>
      </c>
      <c r="AL684" s="5">
        <v>0</v>
      </c>
      <c r="AM684" s="5">
        <v>0</v>
      </c>
      <c r="AN684" s="5">
        <v>8</v>
      </c>
      <c r="AO684" s="5">
        <v>1391</v>
      </c>
      <c r="AP684" s="5">
        <v>9.7919999999999998</v>
      </c>
      <c r="AQ684" s="5" t="s">
        <v>713</v>
      </c>
      <c r="AR684" s="5" t="s">
        <v>1104</v>
      </c>
      <c r="AS684" s="5"/>
      <c r="AT684" s="5"/>
      <c r="AU684" s="5"/>
      <c r="AV684" s="5">
        <v>-1</v>
      </c>
      <c r="AW684" s="5" t="s">
        <v>2265</v>
      </c>
    </row>
    <row r="685" spans="1:49" x14ac:dyDescent="0.55000000000000004">
      <c r="A685" s="5" t="str">
        <f>HYPERLINK("https://www.infodis.net/philips/net/Shipment/Details?InfodisNumber=1469872&amp;DomainCode=PHILIPSM1", "1469872")</f>
        <v>1469872</v>
      </c>
      <c r="B685" s="5" t="s">
        <v>4500</v>
      </c>
      <c r="C685" s="5" t="s">
        <v>2353</v>
      </c>
      <c r="D685" s="5" t="s">
        <v>2354</v>
      </c>
      <c r="E685" s="5" t="s">
        <v>2355</v>
      </c>
      <c r="F685" s="5" t="s">
        <v>3866</v>
      </c>
      <c r="G685" s="5" t="s">
        <v>667</v>
      </c>
      <c r="H685" s="5" t="s">
        <v>79</v>
      </c>
      <c r="I685" s="5" t="s">
        <v>1813</v>
      </c>
      <c r="J685" s="5" t="s">
        <v>2367</v>
      </c>
      <c r="K685" s="5" t="s">
        <v>3867</v>
      </c>
      <c r="L685" s="5" t="s">
        <v>55</v>
      </c>
      <c r="M685" s="5" t="s">
        <v>84</v>
      </c>
      <c r="N685" s="5"/>
      <c r="O685" s="5"/>
      <c r="P685" s="5" t="s">
        <v>1853</v>
      </c>
      <c r="Q685" s="5"/>
      <c r="R685" s="5" t="s">
        <v>3868</v>
      </c>
      <c r="S685" s="6">
        <v>44051</v>
      </c>
      <c r="T685" s="6">
        <v>44053</v>
      </c>
      <c r="U685" s="5"/>
      <c r="V685" s="6">
        <v>44056</v>
      </c>
      <c r="W685" s="5"/>
      <c r="X685" s="5"/>
      <c r="Y685" s="5" t="s">
        <v>3615</v>
      </c>
      <c r="Z685" s="5" t="s">
        <v>3615</v>
      </c>
      <c r="AA685" s="5" t="s">
        <v>603</v>
      </c>
      <c r="AB685" s="5" t="s">
        <v>67</v>
      </c>
      <c r="AC685" s="5" t="s">
        <v>67</v>
      </c>
      <c r="AD685" s="5" t="s">
        <v>68</v>
      </c>
      <c r="AE685" s="5"/>
      <c r="AF685" s="5" t="s">
        <v>2179</v>
      </c>
      <c r="AG685" s="5" t="s">
        <v>2180</v>
      </c>
      <c r="AH685" s="5" t="s">
        <v>2179</v>
      </c>
      <c r="AI685" s="5" t="s">
        <v>605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32.5</v>
      </c>
      <c r="AP685" s="5">
        <v>0.40799999999999997</v>
      </c>
      <c r="AQ685" s="5" t="s">
        <v>713</v>
      </c>
      <c r="AR685" s="5" t="s">
        <v>1104</v>
      </c>
      <c r="AS685" s="5" t="s">
        <v>713</v>
      </c>
      <c r="AT685" s="6">
        <v>44069</v>
      </c>
      <c r="AU685" s="5" t="s">
        <v>4406</v>
      </c>
      <c r="AV685" s="5">
        <v>93</v>
      </c>
      <c r="AW685" s="5" t="s">
        <v>4407</v>
      </c>
    </row>
    <row r="686" spans="1:49" x14ac:dyDescent="0.55000000000000004">
      <c r="A686" s="5" t="str">
        <f>HYPERLINK("https://www.infodis.net/philips/net/Shipment/Details?InfodisNumber=1469873&amp;DomainCode=PHILIPSM1", "1469873")</f>
        <v>1469873</v>
      </c>
      <c r="B686" s="5" t="s">
        <v>4501</v>
      </c>
      <c r="C686" s="5" t="s">
        <v>2353</v>
      </c>
      <c r="D686" s="5" t="s">
        <v>2354</v>
      </c>
      <c r="E686" s="5" t="s">
        <v>2355</v>
      </c>
      <c r="F686" s="5" t="s">
        <v>3847</v>
      </c>
      <c r="G686" s="5" t="s">
        <v>667</v>
      </c>
      <c r="H686" s="5" t="s">
        <v>79</v>
      </c>
      <c r="I686" s="5" t="s">
        <v>1813</v>
      </c>
      <c r="J686" s="5" t="s">
        <v>293</v>
      </c>
      <c r="K686" s="5" t="s">
        <v>937</v>
      </c>
      <c r="L686" s="5" t="s">
        <v>938</v>
      </c>
      <c r="M686" s="5" t="s">
        <v>84</v>
      </c>
      <c r="N686" s="5"/>
      <c r="O686" s="5"/>
      <c r="P686" s="5" t="s">
        <v>1853</v>
      </c>
      <c r="Q686" s="5"/>
      <c r="R686" s="5" t="s">
        <v>2517</v>
      </c>
      <c r="S686" s="6">
        <v>44051</v>
      </c>
      <c r="T686" s="6">
        <v>44053</v>
      </c>
      <c r="U686" s="5"/>
      <c r="V686" s="6">
        <v>44056</v>
      </c>
      <c r="W686" s="5"/>
      <c r="X686" s="5"/>
      <c r="Y686" s="5" t="s">
        <v>3615</v>
      </c>
      <c r="Z686" s="5" t="s">
        <v>3615</v>
      </c>
      <c r="AA686" s="5" t="s">
        <v>603</v>
      </c>
      <c r="AB686" s="5" t="s">
        <v>67</v>
      </c>
      <c r="AC686" s="5" t="s">
        <v>67</v>
      </c>
      <c r="AD686" s="5" t="s">
        <v>68</v>
      </c>
      <c r="AE686" s="5"/>
      <c r="AF686" s="5" t="s">
        <v>2179</v>
      </c>
      <c r="AG686" s="5" t="s">
        <v>2180</v>
      </c>
      <c r="AH686" s="5" t="s">
        <v>2179</v>
      </c>
      <c r="AI686" s="5" t="s">
        <v>605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30.5</v>
      </c>
      <c r="AP686" s="5">
        <v>0.42499999999999999</v>
      </c>
      <c r="AQ686" s="5" t="s">
        <v>713</v>
      </c>
      <c r="AR686" s="5" t="s">
        <v>1104</v>
      </c>
      <c r="AS686" s="5" t="s">
        <v>713</v>
      </c>
      <c r="AT686" s="5"/>
      <c r="AU686" s="5"/>
      <c r="AV686" s="5">
        <v>-1</v>
      </c>
      <c r="AW686" s="5" t="s">
        <v>3848</v>
      </c>
    </row>
    <row r="687" spans="1:49" x14ac:dyDescent="0.55000000000000004">
      <c r="A687" s="5" t="str">
        <f>HYPERLINK("https://www.infodis.net/philips/net/Shipment/Details?InfodisNumber=1452340&amp;DomainCode=PHILIPSM1", "1452340")</f>
        <v>1452340</v>
      </c>
      <c r="B687" s="5" t="s">
        <v>4502</v>
      </c>
      <c r="C687" s="5" t="s">
        <v>2491</v>
      </c>
      <c r="D687" s="5" t="s">
        <v>2492</v>
      </c>
      <c r="E687" s="5" t="s">
        <v>2491</v>
      </c>
      <c r="F687" s="5" t="s">
        <v>4503</v>
      </c>
      <c r="G687" s="5" t="s">
        <v>1431</v>
      </c>
      <c r="H687" s="5" t="s">
        <v>180</v>
      </c>
      <c r="I687" s="5" t="s">
        <v>2494</v>
      </c>
      <c r="J687" s="5" t="s">
        <v>2978</v>
      </c>
      <c r="K687" s="5" t="s">
        <v>2979</v>
      </c>
      <c r="L687" s="5" t="s">
        <v>2980</v>
      </c>
      <c r="M687" s="5" t="s">
        <v>60</v>
      </c>
      <c r="N687" s="5"/>
      <c r="O687" s="5"/>
      <c r="P687" s="5" t="s">
        <v>1434</v>
      </c>
      <c r="Q687" s="5" t="s">
        <v>4504</v>
      </c>
      <c r="R687" s="5" t="s">
        <v>4505</v>
      </c>
      <c r="S687" s="6">
        <v>44035</v>
      </c>
      <c r="T687" s="6">
        <v>44035</v>
      </c>
      <c r="U687" s="6">
        <v>44035</v>
      </c>
      <c r="V687" s="6">
        <v>44035</v>
      </c>
      <c r="W687" s="6">
        <v>44042</v>
      </c>
      <c r="X687" s="6">
        <v>44043</v>
      </c>
      <c r="Y687" s="5" t="s">
        <v>2387</v>
      </c>
      <c r="Z687" s="5" t="s">
        <v>2387</v>
      </c>
      <c r="AA687" s="5" t="s">
        <v>603</v>
      </c>
      <c r="AB687" s="5" t="s">
        <v>67</v>
      </c>
      <c r="AC687" s="5" t="s">
        <v>67</v>
      </c>
      <c r="AD687" s="5" t="s">
        <v>68</v>
      </c>
      <c r="AE687" s="5"/>
      <c r="AF687" s="5" t="s">
        <v>2499</v>
      </c>
      <c r="AG687" s="5" t="s">
        <v>2500</v>
      </c>
      <c r="AH687" s="5" t="s">
        <v>2499</v>
      </c>
      <c r="AI687" s="5" t="s">
        <v>605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164.2</v>
      </c>
      <c r="AP687" s="5">
        <v>2.0859999999999999</v>
      </c>
      <c r="AQ687" s="5" t="s">
        <v>713</v>
      </c>
      <c r="AR687" s="5" t="s">
        <v>1104</v>
      </c>
      <c r="AS687" s="5"/>
      <c r="AT687" s="5"/>
      <c r="AU687" s="5"/>
      <c r="AV687" s="5">
        <v>-1</v>
      </c>
      <c r="AW687" s="5" t="s">
        <v>3672</v>
      </c>
    </row>
    <row r="688" spans="1:49" x14ac:dyDescent="0.55000000000000004">
      <c r="A688" s="5" t="str">
        <f>HYPERLINK("https://www.infodis.net/philips/net/Shipment/Details?InfodisNumber=4478341&amp;DomainCode=DAP", "4478341")</f>
        <v>4478341</v>
      </c>
      <c r="B688" s="5" t="s">
        <v>4506</v>
      </c>
      <c r="C688" s="5" t="s">
        <v>2344</v>
      </c>
      <c r="D688" s="5" t="s">
        <v>2345</v>
      </c>
      <c r="E688" s="5" t="s">
        <v>2344</v>
      </c>
      <c r="F688" s="5" t="s">
        <v>280</v>
      </c>
      <c r="G688" s="5" t="s">
        <v>281</v>
      </c>
      <c r="H688" s="5" t="s">
        <v>79</v>
      </c>
      <c r="I688" s="5" t="s">
        <v>2347</v>
      </c>
      <c r="J688" s="5" t="s">
        <v>2640</v>
      </c>
      <c r="K688" s="5" t="s">
        <v>284</v>
      </c>
      <c r="L688" s="5" t="s">
        <v>285</v>
      </c>
      <c r="M688" s="5" t="s">
        <v>84</v>
      </c>
      <c r="N688" s="5"/>
      <c r="O688" s="5"/>
      <c r="P688" s="5" t="s">
        <v>286</v>
      </c>
      <c r="Q688" s="5"/>
      <c r="R688" s="5" t="s">
        <v>287</v>
      </c>
      <c r="S688" s="6">
        <v>44035</v>
      </c>
      <c r="T688" s="6">
        <v>44042</v>
      </c>
      <c r="U688" s="5"/>
      <c r="V688" s="6">
        <v>44045</v>
      </c>
      <c r="W688" s="5"/>
      <c r="X688" s="5"/>
      <c r="Y688" s="5" t="s">
        <v>66</v>
      </c>
      <c r="Z688" s="5" t="s">
        <v>2411</v>
      </c>
      <c r="AA688" s="5" t="s">
        <v>2411</v>
      </c>
      <c r="AB688" s="5" t="s">
        <v>68</v>
      </c>
      <c r="AC688" s="5" t="s">
        <v>67</v>
      </c>
      <c r="AD688" s="5" t="s">
        <v>67</v>
      </c>
      <c r="AE688" s="5"/>
      <c r="AF688" s="5" t="s">
        <v>2179</v>
      </c>
      <c r="AG688" s="5" t="s">
        <v>2180</v>
      </c>
      <c r="AH688" s="5" t="s">
        <v>2179</v>
      </c>
      <c r="AI688" s="5" t="s">
        <v>73</v>
      </c>
      <c r="AJ688" s="5">
        <v>0</v>
      </c>
      <c r="AK688" s="5">
        <v>0</v>
      </c>
      <c r="AL688" s="5">
        <v>0</v>
      </c>
      <c r="AM688" s="5">
        <v>0</v>
      </c>
      <c r="AN688" s="5">
        <v>14</v>
      </c>
      <c r="AO688" s="5">
        <v>2452.8000000000002</v>
      </c>
      <c r="AP688" s="5">
        <v>12.656000000000001</v>
      </c>
      <c r="AQ688" s="5" t="s">
        <v>713</v>
      </c>
      <c r="AR688" s="5" t="s">
        <v>1104</v>
      </c>
      <c r="AS688" s="5"/>
      <c r="AT688" s="5"/>
      <c r="AU688" s="5"/>
      <c r="AV688" s="5">
        <v>-1</v>
      </c>
      <c r="AW688" s="5" t="s">
        <v>1110</v>
      </c>
    </row>
    <row r="689" spans="1:49" x14ac:dyDescent="0.55000000000000004">
      <c r="A689" s="5" t="str">
        <f>HYPERLINK("https://www.infodis.net/philips/net/Shipment/Details?InfodisNumber=4479933&amp;DomainCode=DAP", "4479933")</f>
        <v>4479933</v>
      </c>
      <c r="B689" s="5" t="s">
        <v>4507</v>
      </c>
      <c r="C689" s="5" t="s">
        <v>3654</v>
      </c>
      <c r="D689" s="5" t="s">
        <v>3655</v>
      </c>
      <c r="E689" s="5" t="s">
        <v>3654</v>
      </c>
      <c r="F689" s="5" t="s">
        <v>256</v>
      </c>
      <c r="G689" s="5" t="s">
        <v>855</v>
      </c>
      <c r="H689" s="5" t="s">
        <v>267</v>
      </c>
      <c r="I689" s="5" t="s">
        <v>268</v>
      </c>
      <c r="J689" s="5" t="s">
        <v>2626</v>
      </c>
      <c r="K689" s="5" t="s">
        <v>259</v>
      </c>
      <c r="L689" s="5" t="s">
        <v>260</v>
      </c>
      <c r="M689" s="5" t="s">
        <v>84</v>
      </c>
      <c r="N689" s="5"/>
      <c r="O689" s="5"/>
      <c r="P689" s="5" t="s">
        <v>3656</v>
      </c>
      <c r="Q689" s="5"/>
      <c r="R689" s="5" t="s">
        <v>262</v>
      </c>
      <c r="S689" s="6">
        <v>44036</v>
      </c>
      <c r="T689" s="6">
        <v>44046</v>
      </c>
      <c r="U689" s="5"/>
      <c r="V689" s="6">
        <v>44049</v>
      </c>
      <c r="W689" s="5"/>
      <c r="X689" s="5"/>
      <c r="Y689" s="5" t="s">
        <v>66</v>
      </c>
      <c r="Z689" s="5" t="s">
        <v>2411</v>
      </c>
      <c r="AA689" s="5" t="s">
        <v>2411</v>
      </c>
      <c r="AB689" s="5" t="s">
        <v>68</v>
      </c>
      <c r="AC689" s="5" t="s">
        <v>67</v>
      </c>
      <c r="AD689" s="5" t="s">
        <v>67</v>
      </c>
      <c r="AE689" s="5"/>
      <c r="AF689" s="5" t="s">
        <v>2179</v>
      </c>
      <c r="AG689" s="5" t="s">
        <v>2180</v>
      </c>
      <c r="AH689" s="5" t="s">
        <v>2179</v>
      </c>
      <c r="AI689" s="5" t="s">
        <v>73</v>
      </c>
      <c r="AJ689" s="5">
        <v>0</v>
      </c>
      <c r="AK689" s="5">
        <v>0</v>
      </c>
      <c r="AL689" s="5">
        <v>0</v>
      </c>
      <c r="AM689" s="5">
        <v>0</v>
      </c>
      <c r="AN689" s="5">
        <v>8</v>
      </c>
      <c r="AO689" s="5">
        <v>1307</v>
      </c>
      <c r="AP689" s="5">
        <v>9.5620000000000012</v>
      </c>
      <c r="AQ689" s="5" t="s">
        <v>713</v>
      </c>
      <c r="AR689" s="5" t="s">
        <v>1104</v>
      </c>
      <c r="AS689" s="5"/>
      <c r="AT689" s="5"/>
      <c r="AU689" s="5"/>
      <c r="AV689" s="5">
        <v>-1</v>
      </c>
      <c r="AW689" s="5" t="s">
        <v>2265</v>
      </c>
    </row>
    <row r="690" spans="1:49" x14ac:dyDescent="0.55000000000000004">
      <c r="A690" s="5" t="str">
        <f>HYPERLINK("https://www.infodis.net/philips/net/Shipment/Details?InfodisNumber=4484033&amp;DomainCode=DAP", "4484033")</f>
        <v>4484033</v>
      </c>
      <c r="B690" s="5" t="s">
        <v>4508</v>
      </c>
      <c r="C690" s="5" t="s">
        <v>4509</v>
      </c>
      <c r="D690" s="5" t="s">
        <v>4510</v>
      </c>
      <c r="E690" s="5" t="s">
        <v>4511</v>
      </c>
      <c r="F690" s="5" t="s">
        <v>4512</v>
      </c>
      <c r="G690" s="5" t="s">
        <v>4513</v>
      </c>
      <c r="H690" s="5" t="s">
        <v>881</v>
      </c>
      <c r="I690" s="5" t="s">
        <v>2583</v>
      </c>
      <c r="J690" s="5" t="s">
        <v>293</v>
      </c>
      <c r="K690" s="5" t="s">
        <v>937</v>
      </c>
      <c r="L690" s="5" t="s">
        <v>938</v>
      </c>
      <c r="M690" s="5" t="s">
        <v>60</v>
      </c>
      <c r="N690" s="5"/>
      <c r="O690" s="5"/>
      <c r="P690" s="5" t="s">
        <v>4514</v>
      </c>
      <c r="Q690" s="5"/>
      <c r="R690" s="5" t="s">
        <v>4515</v>
      </c>
      <c r="S690" s="6">
        <v>44043</v>
      </c>
      <c r="T690" s="6">
        <v>44046</v>
      </c>
      <c r="U690" s="6">
        <v>44047</v>
      </c>
      <c r="V690" s="6">
        <v>44051</v>
      </c>
      <c r="W690" s="6">
        <v>44049</v>
      </c>
      <c r="X690" s="5"/>
      <c r="Y690" s="5" t="s">
        <v>2411</v>
      </c>
      <c r="Z690" s="5" t="s">
        <v>2411</v>
      </c>
      <c r="AA690" s="5" t="s">
        <v>2411</v>
      </c>
      <c r="AB690" s="5" t="s">
        <v>67</v>
      </c>
      <c r="AC690" s="5" t="s">
        <v>67</v>
      </c>
      <c r="AD690" s="5" t="s">
        <v>67</v>
      </c>
      <c r="AE690" s="5"/>
      <c r="AF690" s="5" t="s">
        <v>2399</v>
      </c>
      <c r="AG690" s="5" t="s">
        <v>2400</v>
      </c>
      <c r="AH690" s="5" t="s">
        <v>2399</v>
      </c>
      <c r="AI690" s="5" t="s">
        <v>73</v>
      </c>
      <c r="AJ690" s="5">
        <v>0</v>
      </c>
      <c r="AK690" s="5">
        <v>0</v>
      </c>
      <c r="AL690" s="5">
        <v>0</v>
      </c>
      <c r="AM690" s="5">
        <v>0</v>
      </c>
      <c r="AN690" s="5">
        <v>1</v>
      </c>
      <c r="AO690" s="5">
        <v>892</v>
      </c>
      <c r="AP690" s="5">
        <v>0.52</v>
      </c>
      <c r="AQ690" s="5" t="s">
        <v>713</v>
      </c>
      <c r="AR690" s="5" t="s">
        <v>1104</v>
      </c>
      <c r="AS690" s="5" t="s">
        <v>713</v>
      </c>
      <c r="AT690" s="6">
        <v>44070</v>
      </c>
      <c r="AU690" s="5" t="s">
        <v>4516</v>
      </c>
      <c r="AV690" s="5">
        <v>92</v>
      </c>
      <c r="AW690" s="5" t="s">
        <v>4517</v>
      </c>
    </row>
    <row r="691" spans="1:49" x14ac:dyDescent="0.55000000000000004">
      <c r="A691" s="5" t="str">
        <f>HYPERLINK("https://www.infodis.net/philips/net/Shipment/Details?InfodisNumber=4484110&amp;DomainCode=DAP", "4484110")</f>
        <v>4484110</v>
      </c>
      <c r="B691" s="5" t="s">
        <v>4518</v>
      </c>
      <c r="C691" s="5" t="s">
        <v>3654</v>
      </c>
      <c r="D691" s="5" t="s">
        <v>3655</v>
      </c>
      <c r="E691" s="5" t="s">
        <v>3654</v>
      </c>
      <c r="F691" s="5" t="s">
        <v>256</v>
      </c>
      <c r="G691" s="5" t="s">
        <v>855</v>
      </c>
      <c r="H691" s="5" t="s">
        <v>267</v>
      </c>
      <c r="I691" s="5" t="s">
        <v>268</v>
      </c>
      <c r="J691" s="5" t="s">
        <v>2626</v>
      </c>
      <c r="K691" s="5" t="s">
        <v>259</v>
      </c>
      <c r="L691" s="5" t="s">
        <v>260</v>
      </c>
      <c r="M691" s="5" t="s">
        <v>84</v>
      </c>
      <c r="N691" s="5"/>
      <c r="O691" s="5"/>
      <c r="P691" s="5" t="s">
        <v>3656</v>
      </c>
      <c r="Q691" s="5"/>
      <c r="R691" s="5" t="s">
        <v>262</v>
      </c>
      <c r="S691" s="6">
        <v>44043</v>
      </c>
      <c r="T691" s="6">
        <v>44051</v>
      </c>
      <c r="U691" s="5"/>
      <c r="V691" s="6">
        <v>44054</v>
      </c>
      <c r="W691" s="5"/>
      <c r="X691" s="5"/>
      <c r="Y691" s="5" t="s">
        <v>66</v>
      </c>
      <c r="Z691" s="5" t="s">
        <v>2411</v>
      </c>
      <c r="AA691" s="5" t="s">
        <v>2411</v>
      </c>
      <c r="AB691" s="5" t="s">
        <v>68</v>
      </c>
      <c r="AC691" s="5" t="s">
        <v>67</v>
      </c>
      <c r="AD691" s="5" t="s">
        <v>67</v>
      </c>
      <c r="AE691" s="5"/>
      <c r="AF691" s="5" t="s">
        <v>2179</v>
      </c>
      <c r="AG691" s="5" t="s">
        <v>2180</v>
      </c>
      <c r="AH691" s="5" t="s">
        <v>2179</v>
      </c>
      <c r="AI691" s="5" t="s">
        <v>73</v>
      </c>
      <c r="AJ691" s="5">
        <v>0</v>
      </c>
      <c r="AK691" s="5">
        <v>0</v>
      </c>
      <c r="AL691" s="5">
        <v>0</v>
      </c>
      <c r="AM691" s="5">
        <v>0</v>
      </c>
      <c r="AN691" s="5">
        <v>6</v>
      </c>
      <c r="AO691" s="5">
        <v>1287</v>
      </c>
      <c r="AP691" s="5">
        <v>7.3869999999999996</v>
      </c>
      <c r="AQ691" s="5" t="s">
        <v>713</v>
      </c>
      <c r="AR691" s="5" t="s">
        <v>1104</v>
      </c>
      <c r="AS691" s="5"/>
      <c r="AT691" s="5"/>
      <c r="AU691" s="5"/>
      <c r="AV691" s="5">
        <v>-1</v>
      </c>
      <c r="AW691" s="5" t="s">
        <v>2265</v>
      </c>
    </row>
    <row r="692" spans="1:49" x14ac:dyDescent="0.55000000000000004">
      <c r="A692" s="5" t="str">
        <f>HYPERLINK("https://www.infodis.net/philips/net/Shipment/Details?InfodisNumber=4485141&amp;DomainCode=DAP", "4485141")</f>
        <v>4485141</v>
      </c>
      <c r="B692" s="5" t="s">
        <v>4519</v>
      </c>
      <c r="C692" s="5" t="s">
        <v>4520</v>
      </c>
      <c r="D692" s="5" t="s">
        <v>4521</v>
      </c>
      <c r="E692" s="5" t="s">
        <v>4520</v>
      </c>
      <c r="F692" s="5" t="s">
        <v>1974</v>
      </c>
      <c r="G692" s="5" t="s">
        <v>667</v>
      </c>
      <c r="H692" s="5" t="s">
        <v>79</v>
      </c>
      <c r="I692" s="5" t="s">
        <v>268</v>
      </c>
      <c r="J692" s="5" t="s">
        <v>2626</v>
      </c>
      <c r="K692" s="5" t="s">
        <v>1975</v>
      </c>
      <c r="L692" s="5" t="s">
        <v>260</v>
      </c>
      <c r="M692" s="5" t="s">
        <v>84</v>
      </c>
      <c r="N692" s="5"/>
      <c r="O692" s="5"/>
      <c r="P692" s="5" t="s">
        <v>679</v>
      </c>
      <c r="Q692" s="5"/>
      <c r="R692" s="5" t="s">
        <v>1977</v>
      </c>
      <c r="S692" s="6">
        <v>44046</v>
      </c>
      <c r="T692" s="6">
        <v>44049</v>
      </c>
      <c r="U692" s="5"/>
      <c r="V692" s="6">
        <v>44052</v>
      </c>
      <c r="W692" s="5"/>
      <c r="X692" s="5"/>
      <c r="Y692" s="5" t="s">
        <v>66</v>
      </c>
      <c r="Z692" s="5" t="s">
        <v>2051</v>
      </c>
      <c r="AA692" s="5" t="s">
        <v>2051</v>
      </c>
      <c r="AB692" s="5" t="s">
        <v>68</v>
      </c>
      <c r="AC692" s="5" t="s">
        <v>67</v>
      </c>
      <c r="AD692" s="5" t="s">
        <v>67</v>
      </c>
      <c r="AE692" s="5"/>
      <c r="AF692" s="5" t="s">
        <v>2179</v>
      </c>
      <c r="AG692" s="5" t="s">
        <v>2180</v>
      </c>
      <c r="AH692" s="5" t="s">
        <v>2179</v>
      </c>
      <c r="AI692" s="5" t="s">
        <v>73</v>
      </c>
      <c r="AJ692" s="5">
        <v>0</v>
      </c>
      <c r="AK692" s="5">
        <v>0</v>
      </c>
      <c r="AL692" s="5">
        <v>0</v>
      </c>
      <c r="AM692" s="5">
        <v>0</v>
      </c>
      <c r="AN692" s="5">
        <v>2</v>
      </c>
      <c r="AO692" s="5">
        <v>320</v>
      </c>
      <c r="AP692" s="5">
        <v>2.61</v>
      </c>
      <c r="AQ692" s="5" t="s">
        <v>713</v>
      </c>
      <c r="AR692" s="5" t="s">
        <v>1104</v>
      </c>
      <c r="AS692" s="5"/>
      <c r="AT692" s="5"/>
      <c r="AU692" s="5"/>
      <c r="AV692" s="5">
        <v>-1</v>
      </c>
      <c r="AW692" s="5" t="s">
        <v>1110</v>
      </c>
    </row>
    <row r="693" spans="1:49" x14ac:dyDescent="0.55000000000000004">
      <c r="A693" s="5" t="str">
        <f>HYPERLINK("https://www.infodis.net/philips/net/Shipment/Details?InfodisNumber=1477759&amp;DomainCode=PHILIPSM1", "1477759")</f>
        <v>1477759</v>
      </c>
      <c r="B693" s="5" t="s">
        <v>4522</v>
      </c>
      <c r="C693" s="5" t="s">
        <v>2353</v>
      </c>
      <c r="D693" s="5" t="s">
        <v>2354</v>
      </c>
      <c r="E693" s="5" t="s">
        <v>2355</v>
      </c>
      <c r="F693" s="5" t="s">
        <v>3847</v>
      </c>
      <c r="G693" s="5" t="s">
        <v>667</v>
      </c>
      <c r="H693" s="5" t="s">
        <v>79</v>
      </c>
      <c r="I693" s="5" t="s">
        <v>1813</v>
      </c>
      <c r="J693" s="5" t="s">
        <v>293</v>
      </c>
      <c r="K693" s="5" t="s">
        <v>937</v>
      </c>
      <c r="L693" s="5" t="s">
        <v>938</v>
      </c>
      <c r="M693" s="5" t="s">
        <v>84</v>
      </c>
      <c r="N693" s="5"/>
      <c r="O693" s="5"/>
      <c r="P693" s="5" t="s">
        <v>1853</v>
      </c>
      <c r="Q693" s="5"/>
      <c r="R693" s="5" t="s">
        <v>2517</v>
      </c>
      <c r="S693" s="6">
        <v>44057</v>
      </c>
      <c r="T693" s="6">
        <v>44060</v>
      </c>
      <c r="U693" s="5"/>
      <c r="V693" s="6">
        <v>44063</v>
      </c>
      <c r="W693" s="5"/>
      <c r="X693" s="5"/>
      <c r="Y693" s="5" t="s">
        <v>3615</v>
      </c>
      <c r="Z693" s="5" t="s">
        <v>3615</v>
      </c>
      <c r="AA693" s="5" t="s">
        <v>603</v>
      </c>
      <c r="AB693" s="5" t="s">
        <v>67</v>
      </c>
      <c r="AC693" s="5" t="s">
        <v>67</v>
      </c>
      <c r="AD693" s="5" t="s">
        <v>68</v>
      </c>
      <c r="AE693" s="5"/>
      <c r="AF693" s="5" t="s">
        <v>2179</v>
      </c>
      <c r="AG693" s="5" t="s">
        <v>2180</v>
      </c>
      <c r="AH693" s="5" t="s">
        <v>2179</v>
      </c>
      <c r="AI693" s="5" t="s">
        <v>605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112.5</v>
      </c>
      <c r="AP693" s="5">
        <v>1.4590000000000001</v>
      </c>
      <c r="AQ693" s="5" t="s">
        <v>713</v>
      </c>
      <c r="AR693" s="5" t="s">
        <v>1104</v>
      </c>
      <c r="AS693" s="5" t="s">
        <v>713</v>
      </c>
      <c r="AT693" s="5"/>
      <c r="AU693" s="5"/>
      <c r="AV693" s="5">
        <v>-1</v>
      </c>
      <c r="AW693" s="5" t="s">
        <v>3848</v>
      </c>
    </row>
    <row r="694" spans="1:49" x14ac:dyDescent="0.55000000000000004">
      <c r="A694" s="5" t="str">
        <f>HYPERLINK("https://www.infodis.net/philips/net/Shipment/Details?InfodisNumber=4492135&amp;DomainCode=DAP", "4492135")</f>
        <v>4492135</v>
      </c>
      <c r="B694" s="5" t="s">
        <v>4523</v>
      </c>
      <c r="C694" s="5" t="s">
        <v>2067</v>
      </c>
      <c r="D694" s="5" t="s">
        <v>2068</v>
      </c>
      <c r="E694" s="5" t="s">
        <v>4207</v>
      </c>
      <c r="F694" s="5" t="s">
        <v>4208</v>
      </c>
      <c r="G694" s="5" t="s">
        <v>82</v>
      </c>
      <c r="H694" s="5" t="s">
        <v>83</v>
      </c>
      <c r="I694" s="5" t="s">
        <v>2141</v>
      </c>
      <c r="J694" s="5" t="s">
        <v>2396</v>
      </c>
      <c r="K694" s="5" t="s">
        <v>3692</v>
      </c>
      <c r="L694" s="5" t="s">
        <v>79</v>
      </c>
      <c r="M694" s="5" t="s">
        <v>84</v>
      </c>
      <c r="N694" s="5"/>
      <c r="O694" s="5"/>
      <c r="P694" s="5" t="s">
        <v>87</v>
      </c>
      <c r="Q694" s="5" t="s">
        <v>4524</v>
      </c>
      <c r="R694" s="5" t="s">
        <v>4210</v>
      </c>
      <c r="S694" s="6">
        <v>44057</v>
      </c>
      <c r="T694" s="6">
        <v>44057</v>
      </c>
      <c r="U694" s="6">
        <v>44062</v>
      </c>
      <c r="V694" s="6">
        <v>44060</v>
      </c>
      <c r="W694" s="6">
        <v>44066</v>
      </c>
      <c r="X694" s="6">
        <v>44125</v>
      </c>
      <c r="Y694" s="5" t="s">
        <v>2411</v>
      </c>
      <c r="Z694" s="5" t="s">
        <v>2411</v>
      </c>
      <c r="AA694" s="5" t="s">
        <v>2411</v>
      </c>
      <c r="AB694" s="5" t="s">
        <v>67</v>
      </c>
      <c r="AC694" s="5" t="s">
        <v>67</v>
      </c>
      <c r="AD694" s="5" t="s">
        <v>67</v>
      </c>
      <c r="AE694" s="5"/>
      <c r="AF694" s="5" t="s">
        <v>2179</v>
      </c>
      <c r="AG694" s="5" t="s">
        <v>2180</v>
      </c>
      <c r="AH694" s="5" t="s">
        <v>2179</v>
      </c>
      <c r="AI694" s="5" t="s">
        <v>73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10</v>
      </c>
      <c r="AP694" s="5">
        <v>0.129</v>
      </c>
      <c r="AQ694" s="5" t="s">
        <v>713</v>
      </c>
      <c r="AR694" s="5" t="s">
        <v>1104</v>
      </c>
      <c r="AS694" s="5" t="s">
        <v>713</v>
      </c>
      <c r="AT694" s="6">
        <v>44069</v>
      </c>
      <c r="AU694" s="5" t="s">
        <v>4525</v>
      </c>
      <c r="AV694" s="5">
        <v>93</v>
      </c>
      <c r="AW694" s="5" t="s">
        <v>4526</v>
      </c>
    </row>
    <row r="695" spans="1:49" x14ac:dyDescent="0.55000000000000004">
      <c r="A695" s="5" t="str">
        <f>HYPERLINK("https://www.infodis.net/philips/net/Shipment/Details?InfodisNumber=4492011&amp;DomainCode=DAP", "4492011")</f>
        <v>4492011</v>
      </c>
      <c r="B695" s="5" t="s">
        <v>4527</v>
      </c>
      <c r="C695" s="5" t="s">
        <v>2502</v>
      </c>
      <c r="D695" s="5" t="s">
        <v>2503</v>
      </c>
      <c r="E695" s="5" t="s">
        <v>256</v>
      </c>
      <c r="F695" s="5" t="s">
        <v>256</v>
      </c>
      <c r="G695" s="5" t="s">
        <v>1179</v>
      </c>
      <c r="H695" s="5" t="s">
        <v>180</v>
      </c>
      <c r="I695" s="5" t="s">
        <v>2368</v>
      </c>
      <c r="J695" s="5" t="s">
        <v>2626</v>
      </c>
      <c r="K695" s="5" t="s">
        <v>259</v>
      </c>
      <c r="L695" s="5" t="s">
        <v>260</v>
      </c>
      <c r="M695" s="5" t="s">
        <v>60</v>
      </c>
      <c r="N695" s="5"/>
      <c r="O695" s="5"/>
      <c r="P695" s="5" t="s">
        <v>1181</v>
      </c>
      <c r="Q695" s="5"/>
      <c r="R695" s="5" t="s">
        <v>262</v>
      </c>
      <c r="S695" s="6">
        <v>44056</v>
      </c>
      <c r="T695" s="6">
        <v>44056</v>
      </c>
      <c r="U695" s="5"/>
      <c r="V695" s="6">
        <v>44059</v>
      </c>
      <c r="W695" s="5"/>
      <c r="X695" s="5"/>
      <c r="Y695" s="5" t="s">
        <v>2476</v>
      </c>
      <c r="Z695" s="5" t="s">
        <v>2476</v>
      </c>
      <c r="AA695" s="5" t="s">
        <v>2476</v>
      </c>
      <c r="AB695" s="5" t="s">
        <v>67</v>
      </c>
      <c r="AC695" s="5" t="s">
        <v>67</v>
      </c>
      <c r="AD695" s="5" t="s">
        <v>67</v>
      </c>
      <c r="AE695" s="5"/>
      <c r="AF695" s="5" t="s">
        <v>2179</v>
      </c>
      <c r="AG695" s="5" t="s">
        <v>2180</v>
      </c>
      <c r="AH695" s="5" t="s">
        <v>2179</v>
      </c>
      <c r="AI695" s="5" t="s">
        <v>73</v>
      </c>
      <c r="AJ695" s="5">
        <v>0</v>
      </c>
      <c r="AK695" s="5">
        <v>0</v>
      </c>
      <c r="AL695" s="5">
        <v>0</v>
      </c>
      <c r="AM695" s="5">
        <v>0</v>
      </c>
      <c r="AN695" s="5">
        <v>1</v>
      </c>
      <c r="AO695" s="5">
        <v>484</v>
      </c>
      <c r="AP695" s="5">
        <v>1.4790000000000001</v>
      </c>
      <c r="AQ695" s="5" t="s">
        <v>713</v>
      </c>
      <c r="AR695" s="5" t="s">
        <v>1104</v>
      </c>
      <c r="AS695" s="5"/>
      <c r="AT695" s="5"/>
      <c r="AU695" s="5"/>
      <c r="AV695" s="5">
        <v>-1</v>
      </c>
      <c r="AW695" s="5" t="s">
        <v>1110</v>
      </c>
    </row>
    <row r="696" spans="1:49" x14ac:dyDescent="0.55000000000000004">
      <c r="A696" s="5" t="str">
        <f>HYPERLINK("https://www.infodis.net/philips/net/Shipment/Details?InfodisNumber=1476184&amp;DomainCode=PHILIPSM1", "1476184")</f>
        <v>1476184</v>
      </c>
      <c r="B696" s="5" t="s">
        <v>4528</v>
      </c>
      <c r="C696" s="5" t="s">
        <v>3659</v>
      </c>
      <c r="D696" s="5" t="s">
        <v>3660</v>
      </c>
      <c r="E696" s="5" t="s">
        <v>3659</v>
      </c>
      <c r="F696" s="5" t="s">
        <v>3736</v>
      </c>
      <c r="G696" s="5" t="s">
        <v>3662</v>
      </c>
      <c r="H696" s="5" t="s">
        <v>180</v>
      </c>
      <c r="I696" s="5" t="s">
        <v>2057</v>
      </c>
      <c r="J696" s="5" t="s">
        <v>1201</v>
      </c>
      <c r="K696" s="5" t="s">
        <v>3737</v>
      </c>
      <c r="L696" s="5" t="s">
        <v>1203</v>
      </c>
      <c r="M696" s="5" t="s">
        <v>60</v>
      </c>
      <c r="N696" s="5"/>
      <c r="O696" s="5"/>
      <c r="P696" s="5" t="s">
        <v>3663</v>
      </c>
      <c r="Q696" s="5"/>
      <c r="R696" s="5" t="s">
        <v>1201</v>
      </c>
      <c r="S696" s="6">
        <v>44056</v>
      </c>
      <c r="T696" s="6">
        <v>44056</v>
      </c>
      <c r="U696" s="5"/>
      <c r="V696" s="6">
        <v>44059</v>
      </c>
      <c r="W696" s="5"/>
      <c r="X696" s="5"/>
      <c r="Y696" s="5" t="s">
        <v>2387</v>
      </c>
      <c r="Z696" s="5" t="s">
        <v>2387</v>
      </c>
      <c r="AA696" s="5" t="s">
        <v>2387</v>
      </c>
      <c r="AB696" s="5" t="s">
        <v>67</v>
      </c>
      <c r="AC696" s="5" t="s">
        <v>67</v>
      </c>
      <c r="AD696" s="5" t="s">
        <v>67</v>
      </c>
      <c r="AE696" s="5"/>
      <c r="AF696" s="5" t="s">
        <v>2179</v>
      </c>
      <c r="AG696" s="5" t="s">
        <v>2180</v>
      </c>
      <c r="AH696" s="5" t="s">
        <v>2179</v>
      </c>
      <c r="AI696" s="5" t="s">
        <v>605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1.36</v>
      </c>
      <c r="AP696" s="5">
        <v>0.01</v>
      </c>
      <c r="AQ696" s="5" t="s">
        <v>713</v>
      </c>
      <c r="AR696" s="5" t="s">
        <v>1104</v>
      </c>
      <c r="AS696" s="5" t="s">
        <v>713</v>
      </c>
      <c r="AT696" s="6">
        <v>44127</v>
      </c>
      <c r="AU696" s="5" t="s">
        <v>3664</v>
      </c>
      <c r="AV696" s="5">
        <v>35</v>
      </c>
      <c r="AW696" s="5" t="s">
        <v>3665</v>
      </c>
    </row>
    <row r="697" spans="1:49" x14ac:dyDescent="0.55000000000000004">
      <c r="A697" s="5" t="str">
        <f>HYPERLINK("https://www.infodis.net/philips/net/Shipment/Details?InfodisNumber=4526757&amp;DomainCode=DAP", "4526757")</f>
        <v>4526757</v>
      </c>
      <c r="B697" s="5" t="s">
        <v>4529</v>
      </c>
      <c r="C697" s="5" t="s">
        <v>3717</v>
      </c>
      <c r="D697" s="5" t="s">
        <v>3718</v>
      </c>
      <c r="E697" s="5" t="s">
        <v>3717</v>
      </c>
      <c r="F697" s="5" t="s">
        <v>167</v>
      </c>
      <c r="G697" s="5" t="s">
        <v>3719</v>
      </c>
      <c r="H697" s="5" t="s">
        <v>180</v>
      </c>
      <c r="I697" s="5" t="s">
        <v>3720</v>
      </c>
      <c r="J697" s="5" t="s">
        <v>2405</v>
      </c>
      <c r="K697" s="5" t="s">
        <v>1125</v>
      </c>
      <c r="L697" s="5" t="s">
        <v>172</v>
      </c>
      <c r="M697" s="5" t="s">
        <v>60</v>
      </c>
      <c r="N697" s="5"/>
      <c r="O697" s="5"/>
      <c r="P697" s="5" t="s">
        <v>3721</v>
      </c>
      <c r="Q697" s="5" t="s">
        <v>4530</v>
      </c>
      <c r="R697" s="5" t="s">
        <v>1128</v>
      </c>
      <c r="S697" s="6">
        <v>44105</v>
      </c>
      <c r="T697" s="6">
        <v>44105</v>
      </c>
      <c r="U697" s="6">
        <v>44105</v>
      </c>
      <c r="V697" s="6">
        <v>44110</v>
      </c>
      <c r="W697" s="5"/>
      <c r="X697" s="6">
        <v>44117</v>
      </c>
      <c r="Y697" s="5" t="s">
        <v>2411</v>
      </c>
      <c r="Z697" s="5" t="s">
        <v>2411</v>
      </c>
      <c r="AA697" s="5" t="s">
        <v>2411</v>
      </c>
      <c r="AB697" s="5" t="s">
        <v>67</v>
      </c>
      <c r="AC697" s="5" t="s">
        <v>67</v>
      </c>
      <c r="AD697" s="5" t="s">
        <v>67</v>
      </c>
      <c r="AE697" s="5"/>
      <c r="AF697" s="5" t="s">
        <v>2399</v>
      </c>
      <c r="AG697" s="5" t="s">
        <v>2400</v>
      </c>
      <c r="AH697" s="5" t="s">
        <v>2399</v>
      </c>
      <c r="AI697" s="5" t="s">
        <v>73</v>
      </c>
      <c r="AJ697" s="5">
        <v>0</v>
      </c>
      <c r="AK697" s="5">
        <v>0</v>
      </c>
      <c r="AL697" s="5">
        <v>0</v>
      </c>
      <c r="AM697" s="5">
        <v>0</v>
      </c>
      <c r="AN697" s="5">
        <v>2</v>
      </c>
      <c r="AO697" s="5">
        <v>1392.53</v>
      </c>
      <c r="AP697" s="5">
        <v>3.871</v>
      </c>
      <c r="AQ697" s="5" t="s">
        <v>713</v>
      </c>
      <c r="AR697" s="5" t="s">
        <v>1104</v>
      </c>
      <c r="AS697" s="5" t="s">
        <v>713</v>
      </c>
      <c r="AT697" s="6">
        <v>44124</v>
      </c>
      <c r="AU697" s="5" t="s">
        <v>3723</v>
      </c>
      <c r="AV697" s="5">
        <v>38</v>
      </c>
      <c r="AW697" s="5" t="s">
        <v>3724</v>
      </c>
    </row>
    <row r="698" spans="1:49" x14ac:dyDescent="0.55000000000000004">
      <c r="A698" s="5" t="str">
        <f>HYPERLINK("https://www.infodis.net/philips/net/Shipment/Details?InfodisNumber=1476211&amp;DomainCode=PHILIPSM1", "1476211")</f>
        <v>1476211</v>
      </c>
      <c r="B698" s="5" t="s">
        <v>4531</v>
      </c>
      <c r="C698" s="5" t="s">
        <v>3659</v>
      </c>
      <c r="D698" s="5" t="s">
        <v>3660</v>
      </c>
      <c r="E698" s="5" t="s">
        <v>3659</v>
      </c>
      <c r="F698" s="5" t="s">
        <v>4532</v>
      </c>
      <c r="G698" s="5" t="s">
        <v>3662</v>
      </c>
      <c r="H698" s="5" t="s">
        <v>180</v>
      </c>
      <c r="I698" s="5" t="s">
        <v>2057</v>
      </c>
      <c r="J698" s="5" t="s">
        <v>2084</v>
      </c>
      <c r="K698" s="5" t="s">
        <v>4533</v>
      </c>
      <c r="L698" s="5" t="s">
        <v>1263</v>
      </c>
      <c r="M698" s="5" t="s">
        <v>60</v>
      </c>
      <c r="N698" s="5"/>
      <c r="O698" s="5"/>
      <c r="P698" s="5" t="s">
        <v>3663</v>
      </c>
      <c r="Q698" s="5"/>
      <c r="R698" s="5" t="s">
        <v>4534</v>
      </c>
      <c r="S698" s="6">
        <v>44056</v>
      </c>
      <c r="T698" s="6">
        <v>44056</v>
      </c>
      <c r="U698" s="5"/>
      <c r="V698" s="6">
        <v>44059</v>
      </c>
      <c r="W698" s="5"/>
      <c r="X698" s="5"/>
      <c r="Y698" s="5" t="s">
        <v>2387</v>
      </c>
      <c r="Z698" s="5" t="s">
        <v>2387</v>
      </c>
      <c r="AA698" s="5" t="s">
        <v>2387</v>
      </c>
      <c r="AB698" s="5" t="s">
        <v>67</v>
      </c>
      <c r="AC698" s="5" t="s">
        <v>67</v>
      </c>
      <c r="AD698" s="5" t="s">
        <v>67</v>
      </c>
      <c r="AE698" s="5"/>
      <c r="AF698" s="5" t="s">
        <v>2179</v>
      </c>
      <c r="AG698" s="5" t="s">
        <v>2180</v>
      </c>
      <c r="AH698" s="5" t="s">
        <v>2179</v>
      </c>
      <c r="AI698" s="5" t="s">
        <v>605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10.89</v>
      </c>
      <c r="AP698" s="5">
        <v>4.0000000000000001E-3</v>
      </c>
      <c r="AQ698" s="5" t="s">
        <v>713</v>
      </c>
      <c r="AR698" s="5" t="s">
        <v>1104</v>
      </c>
      <c r="AS698" s="5" t="s">
        <v>713</v>
      </c>
      <c r="AT698" s="6">
        <v>44127</v>
      </c>
      <c r="AU698" s="5" t="s">
        <v>3664</v>
      </c>
      <c r="AV698" s="5">
        <v>35</v>
      </c>
      <c r="AW698" s="5" t="s">
        <v>3665</v>
      </c>
    </row>
    <row r="699" spans="1:49" x14ac:dyDescent="0.55000000000000004">
      <c r="A699" s="5" t="str">
        <f>HYPERLINK("https://www.infodis.net/philips/net/Shipment/Details?InfodisNumber=1476207&amp;DomainCode=PHILIPSM1", "1476207")</f>
        <v>1476207</v>
      </c>
      <c r="B699" s="5" t="s">
        <v>4535</v>
      </c>
      <c r="C699" s="5" t="s">
        <v>3659</v>
      </c>
      <c r="D699" s="5" t="s">
        <v>3660</v>
      </c>
      <c r="E699" s="5" t="s">
        <v>3659</v>
      </c>
      <c r="F699" s="5" t="s">
        <v>4536</v>
      </c>
      <c r="G699" s="5" t="s">
        <v>3662</v>
      </c>
      <c r="H699" s="5" t="s">
        <v>180</v>
      </c>
      <c r="I699" s="5" t="s">
        <v>2688</v>
      </c>
      <c r="J699" s="5" t="s">
        <v>157</v>
      </c>
      <c r="K699" s="5" t="s">
        <v>4537</v>
      </c>
      <c r="L699" s="5" t="s">
        <v>207</v>
      </c>
      <c r="M699" s="5" t="s">
        <v>60</v>
      </c>
      <c r="N699" s="5"/>
      <c r="O699" s="5"/>
      <c r="P699" s="5" t="s">
        <v>3663</v>
      </c>
      <c r="Q699" s="5"/>
      <c r="R699" s="5" t="s">
        <v>2691</v>
      </c>
      <c r="S699" s="6">
        <v>44056</v>
      </c>
      <c r="T699" s="6">
        <v>44056</v>
      </c>
      <c r="U699" s="5"/>
      <c r="V699" s="6">
        <v>44059</v>
      </c>
      <c r="W699" s="5"/>
      <c r="X699" s="5"/>
      <c r="Y699" s="5" t="s">
        <v>2387</v>
      </c>
      <c r="Z699" s="5" t="s">
        <v>2387</v>
      </c>
      <c r="AA699" s="5" t="s">
        <v>2387</v>
      </c>
      <c r="AB699" s="5" t="s">
        <v>67</v>
      </c>
      <c r="AC699" s="5" t="s">
        <v>67</v>
      </c>
      <c r="AD699" s="5" t="s">
        <v>67</v>
      </c>
      <c r="AE699" s="5"/>
      <c r="AF699" s="5" t="s">
        <v>2179</v>
      </c>
      <c r="AG699" s="5" t="s">
        <v>2180</v>
      </c>
      <c r="AH699" s="5" t="s">
        <v>2179</v>
      </c>
      <c r="AI699" s="5" t="s">
        <v>605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19.96</v>
      </c>
      <c r="AP699" s="5">
        <v>0.20300000000000001</v>
      </c>
      <c r="AQ699" s="5" t="s">
        <v>713</v>
      </c>
      <c r="AR699" s="5" t="s">
        <v>1104</v>
      </c>
      <c r="AS699" s="5"/>
      <c r="AT699" s="5"/>
      <c r="AU699" s="5"/>
      <c r="AV699" s="5">
        <v>-1</v>
      </c>
      <c r="AW699" s="5" t="s">
        <v>1498</v>
      </c>
    </row>
    <row r="700" spans="1:49" x14ac:dyDescent="0.55000000000000004">
      <c r="A700" s="5" t="str">
        <f>HYPERLINK("https://www.infodis.net/philips/net/Shipment/Details?InfodisNumber=1474398&amp;DomainCode=PHILIPSM1", "1474398")</f>
        <v>1474398</v>
      </c>
      <c r="B700" s="5" t="s">
        <v>4538</v>
      </c>
      <c r="C700" s="5" t="s">
        <v>3659</v>
      </c>
      <c r="D700" s="5" t="s">
        <v>3660</v>
      </c>
      <c r="E700" s="5" t="s">
        <v>3659</v>
      </c>
      <c r="F700" s="5" t="s">
        <v>4532</v>
      </c>
      <c r="G700" s="5" t="s">
        <v>3662</v>
      </c>
      <c r="H700" s="5" t="s">
        <v>180</v>
      </c>
      <c r="I700" s="5" t="s">
        <v>2057</v>
      </c>
      <c r="J700" s="5" t="s">
        <v>2084</v>
      </c>
      <c r="K700" s="5" t="s">
        <v>4533</v>
      </c>
      <c r="L700" s="5" t="s">
        <v>1263</v>
      </c>
      <c r="M700" s="5" t="s">
        <v>60</v>
      </c>
      <c r="N700" s="5"/>
      <c r="O700" s="5"/>
      <c r="P700" s="5" t="s">
        <v>3663</v>
      </c>
      <c r="Q700" s="5"/>
      <c r="R700" s="5" t="s">
        <v>4534</v>
      </c>
      <c r="S700" s="6">
        <v>44055</v>
      </c>
      <c r="T700" s="6">
        <v>44055</v>
      </c>
      <c r="U700" s="5"/>
      <c r="V700" s="6">
        <v>44058</v>
      </c>
      <c r="W700" s="5"/>
      <c r="X700" s="5"/>
      <c r="Y700" s="5" t="s">
        <v>2387</v>
      </c>
      <c r="Z700" s="5" t="s">
        <v>2387</v>
      </c>
      <c r="AA700" s="5" t="s">
        <v>2387</v>
      </c>
      <c r="AB700" s="5" t="s">
        <v>67</v>
      </c>
      <c r="AC700" s="5" t="s">
        <v>67</v>
      </c>
      <c r="AD700" s="5" t="s">
        <v>67</v>
      </c>
      <c r="AE700" s="5"/>
      <c r="AF700" s="5" t="s">
        <v>2179</v>
      </c>
      <c r="AG700" s="5" t="s">
        <v>2180</v>
      </c>
      <c r="AH700" s="5" t="s">
        <v>2179</v>
      </c>
      <c r="AI700" s="5" t="s">
        <v>605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12.7</v>
      </c>
      <c r="AP700" s="5">
        <v>0.108</v>
      </c>
      <c r="AQ700" s="5" t="s">
        <v>713</v>
      </c>
      <c r="AR700" s="5" t="s">
        <v>1104</v>
      </c>
      <c r="AS700" s="5" t="s">
        <v>713</v>
      </c>
      <c r="AT700" s="6">
        <v>44127</v>
      </c>
      <c r="AU700" s="5" t="s">
        <v>3664</v>
      </c>
      <c r="AV700" s="5">
        <v>35</v>
      </c>
      <c r="AW700" s="5" t="s">
        <v>3665</v>
      </c>
    </row>
    <row r="701" spans="1:49" x14ac:dyDescent="0.55000000000000004">
      <c r="A701" s="5" t="str">
        <f>HYPERLINK("https://www.infodis.net/philips/net/Shipment/Details?InfodisNumber=1474371&amp;DomainCode=PHILIPSM1", "1474371")</f>
        <v>1474371</v>
      </c>
      <c r="B701" s="5" t="s">
        <v>4539</v>
      </c>
      <c r="C701" s="5" t="s">
        <v>2353</v>
      </c>
      <c r="D701" s="5" t="s">
        <v>2354</v>
      </c>
      <c r="E701" s="5" t="s">
        <v>2355</v>
      </c>
      <c r="F701" s="5" t="s">
        <v>3847</v>
      </c>
      <c r="G701" s="5" t="s">
        <v>667</v>
      </c>
      <c r="H701" s="5" t="s">
        <v>79</v>
      </c>
      <c r="I701" s="5" t="s">
        <v>1813</v>
      </c>
      <c r="J701" s="5" t="s">
        <v>293</v>
      </c>
      <c r="K701" s="5" t="s">
        <v>937</v>
      </c>
      <c r="L701" s="5" t="s">
        <v>938</v>
      </c>
      <c r="M701" s="5" t="s">
        <v>84</v>
      </c>
      <c r="N701" s="5"/>
      <c r="O701" s="5"/>
      <c r="P701" s="5" t="s">
        <v>1853</v>
      </c>
      <c r="Q701" s="5"/>
      <c r="R701" s="5" t="s">
        <v>2517</v>
      </c>
      <c r="S701" s="6">
        <v>44055</v>
      </c>
      <c r="T701" s="6">
        <v>44056</v>
      </c>
      <c r="U701" s="5"/>
      <c r="V701" s="6">
        <v>44059</v>
      </c>
      <c r="W701" s="5"/>
      <c r="X701" s="5"/>
      <c r="Y701" s="5" t="s">
        <v>3615</v>
      </c>
      <c r="Z701" s="5" t="s">
        <v>3615</v>
      </c>
      <c r="AA701" s="5" t="s">
        <v>603</v>
      </c>
      <c r="AB701" s="5" t="s">
        <v>67</v>
      </c>
      <c r="AC701" s="5" t="s">
        <v>67</v>
      </c>
      <c r="AD701" s="5" t="s">
        <v>68</v>
      </c>
      <c r="AE701" s="5"/>
      <c r="AF701" s="5" t="s">
        <v>2179</v>
      </c>
      <c r="AG701" s="5" t="s">
        <v>2180</v>
      </c>
      <c r="AH701" s="5" t="s">
        <v>2179</v>
      </c>
      <c r="AI701" s="5" t="s">
        <v>605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109.5</v>
      </c>
      <c r="AP701" s="5">
        <v>1.2470000000000001</v>
      </c>
      <c r="AQ701" s="5" t="s">
        <v>713</v>
      </c>
      <c r="AR701" s="5" t="s">
        <v>1104</v>
      </c>
      <c r="AS701" s="5" t="s">
        <v>713</v>
      </c>
      <c r="AT701" s="5"/>
      <c r="AU701" s="5"/>
      <c r="AV701" s="5">
        <v>-1</v>
      </c>
      <c r="AW701" s="5" t="s">
        <v>3848</v>
      </c>
    </row>
    <row r="702" spans="1:49" x14ac:dyDescent="0.55000000000000004">
      <c r="A702" s="5" t="str">
        <f>HYPERLINK("https://www.infodis.net/philips/net/Shipment/Details?InfodisNumber=4490221&amp;DomainCode=DAP", "4490221")</f>
        <v>4490221</v>
      </c>
      <c r="B702" s="5" t="s">
        <v>4540</v>
      </c>
      <c r="C702" s="5" t="s">
        <v>2502</v>
      </c>
      <c r="D702" s="5" t="s">
        <v>2503</v>
      </c>
      <c r="E702" s="5" t="s">
        <v>2504</v>
      </c>
      <c r="F702" s="5" t="s">
        <v>2826</v>
      </c>
      <c r="G702" s="5" t="s">
        <v>1179</v>
      </c>
      <c r="H702" s="5" t="s">
        <v>180</v>
      </c>
      <c r="I702" s="5" t="s">
        <v>194</v>
      </c>
      <c r="J702" s="5" t="s">
        <v>2827</v>
      </c>
      <c r="K702" s="5" t="s">
        <v>2828</v>
      </c>
      <c r="L702" s="5" t="s">
        <v>357</v>
      </c>
      <c r="M702" s="5" t="s">
        <v>358</v>
      </c>
      <c r="N702" s="5"/>
      <c r="O702" s="5"/>
      <c r="P702" s="5" t="s">
        <v>1181</v>
      </c>
      <c r="Q702" s="5"/>
      <c r="R702" s="5" t="s">
        <v>526</v>
      </c>
      <c r="S702" s="6">
        <v>44054</v>
      </c>
      <c r="T702" s="6">
        <v>44054</v>
      </c>
      <c r="U702" s="5"/>
      <c r="V702" s="6">
        <v>44057</v>
      </c>
      <c r="W702" s="5"/>
      <c r="X702" s="5"/>
      <c r="Y702" s="5" t="s">
        <v>2476</v>
      </c>
      <c r="Z702" s="5" t="s">
        <v>2476</v>
      </c>
      <c r="AA702" s="5" t="s">
        <v>2476</v>
      </c>
      <c r="AB702" s="5" t="s">
        <v>67</v>
      </c>
      <c r="AC702" s="5" t="s">
        <v>67</v>
      </c>
      <c r="AD702" s="5" t="s">
        <v>67</v>
      </c>
      <c r="AE702" s="5"/>
      <c r="AF702" s="5" t="s">
        <v>2179</v>
      </c>
      <c r="AG702" s="5" t="s">
        <v>2180</v>
      </c>
      <c r="AH702" s="5" t="s">
        <v>2179</v>
      </c>
      <c r="AI702" s="5" t="s">
        <v>73</v>
      </c>
      <c r="AJ702" s="5">
        <v>0</v>
      </c>
      <c r="AK702" s="5">
        <v>0</v>
      </c>
      <c r="AL702" s="5">
        <v>0</v>
      </c>
      <c r="AM702" s="5">
        <v>0</v>
      </c>
      <c r="AN702" s="5">
        <v>5</v>
      </c>
      <c r="AO702" s="5">
        <v>882</v>
      </c>
      <c r="AP702" s="5">
        <v>6.4279999999999999</v>
      </c>
      <c r="AQ702" s="5" t="s">
        <v>713</v>
      </c>
      <c r="AR702" s="5" t="s">
        <v>1104</v>
      </c>
      <c r="AS702" s="5"/>
      <c r="AT702" s="5"/>
      <c r="AU702" s="5"/>
      <c r="AV702" s="5">
        <v>-1</v>
      </c>
      <c r="AW702" s="5" t="s">
        <v>1110</v>
      </c>
    </row>
    <row r="703" spans="1:49" x14ac:dyDescent="0.55000000000000004">
      <c r="A703" s="5" t="str">
        <f>HYPERLINK("https://www.infodis.net/philips/net/Shipment/Details?InfodisNumber=6385770&amp;DomainCode=PHILIPSR1", "6385770")</f>
        <v>6385770</v>
      </c>
      <c r="B703" s="5" t="s">
        <v>4541</v>
      </c>
      <c r="C703" s="5" t="s">
        <v>2426</v>
      </c>
      <c r="D703" s="5" t="s">
        <v>2427</v>
      </c>
      <c r="E703" s="5" t="s">
        <v>458</v>
      </c>
      <c r="F703" s="5" t="s">
        <v>2679</v>
      </c>
      <c r="G703" s="5" t="s">
        <v>610</v>
      </c>
      <c r="H703" s="5" t="s">
        <v>180</v>
      </c>
      <c r="I703" s="5" t="s">
        <v>652</v>
      </c>
      <c r="J703" s="5" t="s">
        <v>2495</v>
      </c>
      <c r="K703" s="5" t="s">
        <v>2496</v>
      </c>
      <c r="L703" s="5" t="s">
        <v>73</v>
      </c>
      <c r="M703" s="5" t="s">
        <v>84</v>
      </c>
      <c r="N703" s="5"/>
      <c r="O703" s="5"/>
      <c r="P703" s="5" t="s">
        <v>613</v>
      </c>
      <c r="Q703" s="5" t="s">
        <v>4542</v>
      </c>
      <c r="R703" s="5" t="s">
        <v>2495</v>
      </c>
      <c r="S703" s="6">
        <v>43927</v>
      </c>
      <c r="T703" s="6">
        <v>43928</v>
      </c>
      <c r="U703" s="6">
        <v>43927</v>
      </c>
      <c r="V703" s="6">
        <v>43929</v>
      </c>
      <c r="W703" s="6">
        <v>43933</v>
      </c>
      <c r="X703" s="5"/>
      <c r="Y703" s="5" t="s">
        <v>2476</v>
      </c>
      <c r="Z703" s="5" t="s">
        <v>2476</v>
      </c>
      <c r="AA703" s="5" t="s">
        <v>66</v>
      </c>
      <c r="AB703" s="5" t="s">
        <v>67</v>
      </c>
      <c r="AC703" s="5" t="s">
        <v>67</v>
      </c>
      <c r="AD703" s="5" t="s">
        <v>68</v>
      </c>
      <c r="AE703" s="5"/>
      <c r="AF703" s="5" t="s">
        <v>2610</v>
      </c>
      <c r="AG703" s="5" t="s">
        <v>2611</v>
      </c>
      <c r="AH703" s="5" t="s">
        <v>2610</v>
      </c>
      <c r="AI703" s="5" t="s">
        <v>252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9.98</v>
      </c>
      <c r="AP703" s="5">
        <v>7.2999999999999995E-2</v>
      </c>
      <c r="AQ703" s="5" t="s">
        <v>713</v>
      </c>
      <c r="AR703" s="5" t="s">
        <v>1104</v>
      </c>
      <c r="AS703" s="5" t="s">
        <v>713</v>
      </c>
      <c r="AT703" s="5"/>
      <c r="AU703" s="5"/>
      <c r="AV703" s="5">
        <v>-1</v>
      </c>
      <c r="AW703" s="5" t="s">
        <v>3848</v>
      </c>
    </row>
    <row r="704" spans="1:49" x14ac:dyDescent="0.55000000000000004">
      <c r="A704" s="5" t="str">
        <f>HYPERLINK("https://www.infodis.net/philips/net/Shipment/Details?InfodisNumber=6333447&amp;DomainCode=PHILIPSR1", "6333447")</f>
        <v>6333447</v>
      </c>
      <c r="B704" s="5" t="s">
        <v>4543</v>
      </c>
      <c r="C704" s="5" t="s">
        <v>2806</v>
      </c>
      <c r="D704" s="5" t="s">
        <v>2807</v>
      </c>
      <c r="E704" s="5" t="s">
        <v>914</v>
      </c>
      <c r="F704" s="5" t="s">
        <v>4544</v>
      </c>
      <c r="G704" s="5" t="s">
        <v>247</v>
      </c>
      <c r="H704" s="5" t="s">
        <v>180</v>
      </c>
      <c r="I704" s="5" t="s">
        <v>2625</v>
      </c>
      <c r="J704" s="5" t="s">
        <v>4545</v>
      </c>
      <c r="K704" s="5" t="s">
        <v>4546</v>
      </c>
      <c r="L704" s="5" t="s">
        <v>4547</v>
      </c>
      <c r="M704" s="5" t="s">
        <v>60</v>
      </c>
      <c r="N704" s="5"/>
      <c r="O704" s="5"/>
      <c r="P704" s="5" t="s">
        <v>251</v>
      </c>
      <c r="Q704" s="5" t="s">
        <v>4548</v>
      </c>
      <c r="R704" s="5" t="s">
        <v>4544</v>
      </c>
      <c r="S704" s="6">
        <v>43908</v>
      </c>
      <c r="T704" s="6">
        <v>43908</v>
      </c>
      <c r="U704" s="6">
        <v>43908</v>
      </c>
      <c r="V704" s="6">
        <v>43911</v>
      </c>
      <c r="W704" s="6">
        <v>43908</v>
      </c>
      <c r="X704" s="5"/>
      <c r="Y704" s="5" t="s">
        <v>1735</v>
      </c>
      <c r="Z704" s="5" t="s">
        <v>1735</v>
      </c>
      <c r="AA704" s="5" t="s">
        <v>1735</v>
      </c>
      <c r="AB704" s="5" t="s">
        <v>67</v>
      </c>
      <c r="AC704" s="5" t="s">
        <v>67</v>
      </c>
      <c r="AD704" s="5" t="s">
        <v>67</v>
      </c>
      <c r="AE704" s="5"/>
      <c r="AF704" s="5" t="s">
        <v>2179</v>
      </c>
      <c r="AG704" s="5" t="s">
        <v>2180</v>
      </c>
      <c r="AH704" s="5" t="s">
        <v>2179</v>
      </c>
      <c r="AI704" s="5" t="s">
        <v>252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28</v>
      </c>
      <c r="AP704" s="5">
        <v>0.81599999999999995</v>
      </c>
      <c r="AQ704" s="5" t="s">
        <v>713</v>
      </c>
      <c r="AR704" s="5" t="s">
        <v>1104</v>
      </c>
      <c r="AS704" s="5"/>
      <c r="AT704" s="5"/>
      <c r="AU704" s="5"/>
      <c r="AV704" s="5">
        <v>-1</v>
      </c>
      <c r="AW704" s="5" t="s">
        <v>1269</v>
      </c>
    </row>
    <row r="705" spans="1:49" x14ac:dyDescent="0.55000000000000004">
      <c r="A705" s="5" t="str">
        <f>HYPERLINK("https://www.infodis.net/philips/net/Shipment/Details?InfodisNumber=1469816&amp;DomainCode=PHILIPSM1", "1469816")</f>
        <v>1469816</v>
      </c>
      <c r="B705" s="5" t="s">
        <v>4549</v>
      </c>
      <c r="C705" s="5" t="s">
        <v>2491</v>
      </c>
      <c r="D705" s="5" t="s">
        <v>2492</v>
      </c>
      <c r="E705" s="5" t="s">
        <v>2491</v>
      </c>
      <c r="F705" s="5" t="s">
        <v>4550</v>
      </c>
      <c r="G705" s="5" t="s">
        <v>1431</v>
      </c>
      <c r="H705" s="5" t="s">
        <v>180</v>
      </c>
      <c r="I705" s="5" t="s">
        <v>2494</v>
      </c>
      <c r="J705" s="5" t="s">
        <v>2938</v>
      </c>
      <c r="K705" s="5" t="s">
        <v>4551</v>
      </c>
      <c r="L705" s="5" t="s">
        <v>3470</v>
      </c>
      <c r="M705" s="5" t="s">
        <v>60</v>
      </c>
      <c r="N705" s="5"/>
      <c r="O705" s="5"/>
      <c r="P705" s="5" t="s">
        <v>1434</v>
      </c>
      <c r="Q705" s="5" t="s">
        <v>4552</v>
      </c>
      <c r="R705" s="5" t="s">
        <v>4553</v>
      </c>
      <c r="S705" s="6">
        <v>44050</v>
      </c>
      <c r="T705" s="6">
        <v>44050</v>
      </c>
      <c r="U705" s="6">
        <v>44050</v>
      </c>
      <c r="V705" s="6">
        <v>44051</v>
      </c>
      <c r="W705" s="6">
        <v>44058</v>
      </c>
      <c r="X705" s="5"/>
      <c r="Y705" s="5" t="s">
        <v>2387</v>
      </c>
      <c r="Z705" s="5" t="s">
        <v>2387</v>
      </c>
      <c r="AA705" s="5" t="s">
        <v>603</v>
      </c>
      <c r="AB705" s="5" t="s">
        <v>67</v>
      </c>
      <c r="AC705" s="5" t="s">
        <v>67</v>
      </c>
      <c r="AD705" s="5" t="s">
        <v>68</v>
      </c>
      <c r="AE705" s="5"/>
      <c r="AF705" s="5" t="s">
        <v>2610</v>
      </c>
      <c r="AG705" s="5" t="s">
        <v>2611</v>
      </c>
      <c r="AH705" s="5" t="s">
        <v>2610</v>
      </c>
      <c r="AI705" s="5" t="s">
        <v>605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40.9</v>
      </c>
      <c r="AP705" s="5">
        <v>0.17299999999999999</v>
      </c>
      <c r="AQ705" s="5" t="s">
        <v>713</v>
      </c>
      <c r="AR705" s="5" t="s">
        <v>1104</v>
      </c>
      <c r="AS705" s="5"/>
      <c r="AT705" s="5"/>
      <c r="AU705" s="5"/>
      <c r="AV705" s="5">
        <v>-1</v>
      </c>
      <c r="AW705" s="5" t="s">
        <v>3752</v>
      </c>
    </row>
    <row r="706" spans="1:49" x14ac:dyDescent="0.55000000000000004">
      <c r="A706" s="5" t="str">
        <f>HYPERLINK("https://www.infodis.net/philips/net/Shipment/Details?InfodisNumber=4499304&amp;DomainCode=DAP", "4499304")</f>
        <v>4499304</v>
      </c>
      <c r="B706" s="5" t="s">
        <v>4554</v>
      </c>
      <c r="C706" s="5" t="s">
        <v>2502</v>
      </c>
      <c r="D706" s="5" t="s">
        <v>2503</v>
      </c>
      <c r="E706" s="5" t="s">
        <v>256</v>
      </c>
      <c r="F706" s="5" t="s">
        <v>256</v>
      </c>
      <c r="G706" s="5" t="s">
        <v>1179</v>
      </c>
      <c r="H706" s="5" t="s">
        <v>180</v>
      </c>
      <c r="I706" s="5" t="s">
        <v>2368</v>
      </c>
      <c r="J706" s="5" t="s">
        <v>2626</v>
      </c>
      <c r="K706" s="5" t="s">
        <v>259</v>
      </c>
      <c r="L706" s="5" t="s">
        <v>260</v>
      </c>
      <c r="M706" s="5" t="s">
        <v>60</v>
      </c>
      <c r="N706" s="5"/>
      <c r="O706" s="5"/>
      <c r="P706" s="5" t="s">
        <v>1181</v>
      </c>
      <c r="Q706" s="5"/>
      <c r="R706" s="5" t="s">
        <v>262</v>
      </c>
      <c r="S706" s="6">
        <v>44069</v>
      </c>
      <c r="T706" s="6">
        <v>44070</v>
      </c>
      <c r="U706" s="5"/>
      <c r="V706" s="6">
        <v>44073</v>
      </c>
      <c r="W706" s="5"/>
      <c r="X706" s="5"/>
      <c r="Y706" s="5" t="s">
        <v>2476</v>
      </c>
      <c r="Z706" s="5" t="s">
        <v>2476</v>
      </c>
      <c r="AA706" s="5" t="s">
        <v>2476</v>
      </c>
      <c r="AB706" s="5" t="s">
        <v>67</v>
      </c>
      <c r="AC706" s="5" t="s">
        <v>67</v>
      </c>
      <c r="AD706" s="5" t="s">
        <v>67</v>
      </c>
      <c r="AE706" s="5"/>
      <c r="AF706" s="5" t="s">
        <v>2179</v>
      </c>
      <c r="AG706" s="5" t="s">
        <v>2180</v>
      </c>
      <c r="AH706" s="5" t="s">
        <v>2179</v>
      </c>
      <c r="AI706" s="5" t="s">
        <v>73</v>
      </c>
      <c r="AJ706" s="5">
        <v>0</v>
      </c>
      <c r="AK706" s="5">
        <v>0</v>
      </c>
      <c r="AL706" s="5">
        <v>0</v>
      </c>
      <c r="AM706" s="5">
        <v>0</v>
      </c>
      <c r="AN706" s="5">
        <v>3</v>
      </c>
      <c r="AO706" s="5">
        <v>720</v>
      </c>
      <c r="AP706" s="5">
        <v>2.42</v>
      </c>
      <c r="AQ706" s="5" t="s">
        <v>713</v>
      </c>
      <c r="AR706" s="5" t="s">
        <v>1104</v>
      </c>
      <c r="AS706" s="5"/>
      <c r="AT706" s="5"/>
      <c r="AU706" s="5"/>
      <c r="AV706" s="5">
        <v>-1</v>
      </c>
      <c r="AW706" s="5" t="s">
        <v>1110</v>
      </c>
    </row>
    <row r="707" spans="1:49" x14ac:dyDescent="0.55000000000000004">
      <c r="A707" s="5" t="str">
        <f>HYPERLINK("https://www.infodis.net/philips/net/Shipment/Details?InfodisNumber=1468724&amp;DomainCode=PHILIPSM1", "1468724")</f>
        <v>1468724</v>
      </c>
      <c r="B707" s="5" t="s">
        <v>4555</v>
      </c>
      <c r="C707" s="5" t="s">
        <v>2491</v>
      </c>
      <c r="D707" s="5" t="s">
        <v>2492</v>
      </c>
      <c r="E707" s="5" t="s">
        <v>2491</v>
      </c>
      <c r="F707" s="5" t="s">
        <v>3459</v>
      </c>
      <c r="G707" s="5" t="s">
        <v>1431</v>
      </c>
      <c r="H707" s="5" t="s">
        <v>180</v>
      </c>
      <c r="I707" s="5" t="s">
        <v>2494</v>
      </c>
      <c r="J707" s="5" t="s">
        <v>3460</v>
      </c>
      <c r="K707" s="5" t="s">
        <v>3461</v>
      </c>
      <c r="L707" s="5" t="s">
        <v>3462</v>
      </c>
      <c r="M707" s="5" t="s">
        <v>60</v>
      </c>
      <c r="N707" s="5"/>
      <c r="O707" s="5"/>
      <c r="P707" s="5" t="s">
        <v>1434</v>
      </c>
      <c r="Q707" s="5" t="s">
        <v>4556</v>
      </c>
      <c r="R707" s="5" t="s">
        <v>2922</v>
      </c>
      <c r="S707" s="6">
        <v>44049</v>
      </c>
      <c r="T707" s="6">
        <v>44049</v>
      </c>
      <c r="U707" s="6">
        <v>44049</v>
      </c>
      <c r="V707" s="6">
        <v>44052</v>
      </c>
      <c r="W707" s="6">
        <v>44056</v>
      </c>
      <c r="X707" s="5"/>
      <c r="Y707" s="5" t="s">
        <v>2387</v>
      </c>
      <c r="Z707" s="5" t="s">
        <v>2387</v>
      </c>
      <c r="AA707" s="5" t="s">
        <v>603</v>
      </c>
      <c r="AB707" s="5" t="s">
        <v>67</v>
      </c>
      <c r="AC707" s="5" t="s">
        <v>67</v>
      </c>
      <c r="AD707" s="5" t="s">
        <v>68</v>
      </c>
      <c r="AE707" s="5"/>
      <c r="AF707" s="5" t="s">
        <v>2179</v>
      </c>
      <c r="AG707" s="5" t="s">
        <v>2180</v>
      </c>
      <c r="AH707" s="5" t="s">
        <v>2179</v>
      </c>
      <c r="AI707" s="5" t="s">
        <v>605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264.8</v>
      </c>
      <c r="AP707" s="5">
        <v>3.476</v>
      </c>
      <c r="AQ707" s="5" t="s">
        <v>713</v>
      </c>
      <c r="AR707" s="5" t="s">
        <v>1104</v>
      </c>
      <c r="AS707" s="5"/>
      <c r="AT707" s="5"/>
      <c r="AU707" s="5"/>
      <c r="AV707" s="5">
        <v>-1</v>
      </c>
      <c r="AW707" s="5" t="s">
        <v>3752</v>
      </c>
    </row>
    <row r="708" spans="1:49" x14ac:dyDescent="0.55000000000000004">
      <c r="A708" s="5" t="str">
        <f>HYPERLINK("https://www.infodis.net/philips/net/Shipment/Details?InfodisNumber=1464806&amp;DomainCode=PHILIPSM1", "1464806")</f>
        <v>1464806</v>
      </c>
      <c r="B708" s="5" t="s">
        <v>4557</v>
      </c>
      <c r="C708" s="5" t="s">
        <v>2491</v>
      </c>
      <c r="D708" s="5" t="s">
        <v>2492</v>
      </c>
      <c r="E708" s="5" t="s">
        <v>2491</v>
      </c>
      <c r="F708" s="5" t="s">
        <v>3806</v>
      </c>
      <c r="G708" s="5" t="s">
        <v>1431</v>
      </c>
      <c r="H708" s="5" t="s">
        <v>180</v>
      </c>
      <c r="I708" s="5" t="s">
        <v>2494</v>
      </c>
      <c r="J708" s="5" t="s">
        <v>2454</v>
      </c>
      <c r="K708" s="5" t="s">
        <v>2985</v>
      </c>
      <c r="L708" s="5" t="s">
        <v>443</v>
      </c>
      <c r="M708" s="5" t="s">
        <v>60</v>
      </c>
      <c r="N708" s="5"/>
      <c r="O708" s="5"/>
      <c r="P708" s="5" t="s">
        <v>1434</v>
      </c>
      <c r="Q708" s="5" t="s">
        <v>4558</v>
      </c>
      <c r="R708" s="5" t="s">
        <v>3808</v>
      </c>
      <c r="S708" s="6">
        <v>44047</v>
      </c>
      <c r="T708" s="6">
        <v>44047</v>
      </c>
      <c r="U708" s="6">
        <v>44048</v>
      </c>
      <c r="V708" s="6">
        <v>44048</v>
      </c>
      <c r="W708" s="6">
        <v>44059</v>
      </c>
      <c r="X708" s="6">
        <v>44061</v>
      </c>
      <c r="Y708" s="5" t="s">
        <v>2387</v>
      </c>
      <c r="Z708" s="5" t="s">
        <v>2387</v>
      </c>
      <c r="AA708" s="5" t="s">
        <v>603</v>
      </c>
      <c r="AB708" s="5" t="s">
        <v>67</v>
      </c>
      <c r="AC708" s="5" t="s">
        <v>67</v>
      </c>
      <c r="AD708" s="5" t="s">
        <v>68</v>
      </c>
      <c r="AE708" s="5"/>
      <c r="AF708" s="5" t="s">
        <v>2610</v>
      </c>
      <c r="AG708" s="5" t="s">
        <v>2611</v>
      </c>
      <c r="AH708" s="5" t="s">
        <v>2610</v>
      </c>
      <c r="AI708" s="5" t="s">
        <v>605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5.3</v>
      </c>
      <c r="AP708" s="5">
        <v>8.8000000000000009E-2</v>
      </c>
      <c r="AQ708" s="5" t="s">
        <v>713</v>
      </c>
      <c r="AR708" s="5" t="s">
        <v>1104</v>
      </c>
      <c r="AS708" s="5"/>
      <c r="AT708" s="5"/>
      <c r="AU708" s="5"/>
      <c r="AV708" s="5">
        <v>-1</v>
      </c>
      <c r="AW708" s="5" t="s">
        <v>3752</v>
      </c>
    </row>
    <row r="709" spans="1:49" x14ac:dyDescent="0.55000000000000004">
      <c r="A709" s="5" t="str">
        <f>HYPERLINK("https://www.infodis.net/philips/net/Shipment/Details?InfodisNumber=1463582&amp;DomainCode=PHILIPSM1", "1463582")</f>
        <v>1463582</v>
      </c>
      <c r="B709" s="5" t="s">
        <v>4559</v>
      </c>
      <c r="C709" s="5" t="s">
        <v>2491</v>
      </c>
      <c r="D709" s="5" t="s">
        <v>2492</v>
      </c>
      <c r="E709" s="5" t="s">
        <v>2491</v>
      </c>
      <c r="F709" s="5" t="s">
        <v>3114</v>
      </c>
      <c r="G709" s="5" t="s">
        <v>1431</v>
      </c>
      <c r="H709" s="5" t="s">
        <v>180</v>
      </c>
      <c r="I709" s="5" t="s">
        <v>2494</v>
      </c>
      <c r="J709" s="5" t="s">
        <v>2308</v>
      </c>
      <c r="K709" s="5" t="s">
        <v>3115</v>
      </c>
      <c r="L709" s="5" t="s">
        <v>2134</v>
      </c>
      <c r="M709" s="5" t="s">
        <v>60</v>
      </c>
      <c r="N709" s="5"/>
      <c r="O709" s="5"/>
      <c r="P709" s="5" t="s">
        <v>1434</v>
      </c>
      <c r="Q709" s="5" t="s">
        <v>4560</v>
      </c>
      <c r="R709" s="5"/>
      <c r="S709" s="6">
        <v>44046</v>
      </c>
      <c r="T709" s="6">
        <v>44046</v>
      </c>
      <c r="U709" s="6">
        <v>44046</v>
      </c>
      <c r="V709" s="6">
        <v>44046</v>
      </c>
      <c r="W709" s="6">
        <v>44051</v>
      </c>
      <c r="X709" s="6">
        <v>44061</v>
      </c>
      <c r="Y709" s="5" t="s">
        <v>2387</v>
      </c>
      <c r="Z709" s="5" t="s">
        <v>2387</v>
      </c>
      <c r="AA709" s="5" t="s">
        <v>603</v>
      </c>
      <c r="AB709" s="5" t="s">
        <v>67</v>
      </c>
      <c r="AC709" s="5" t="s">
        <v>67</v>
      </c>
      <c r="AD709" s="5" t="s">
        <v>68</v>
      </c>
      <c r="AE709" s="5"/>
      <c r="AF709" s="5" t="s">
        <v>2499</v>
      </c>
      <c r="AG709" s="5" t="s">
        <v>2500</v>
      </c>
      <c r="AH709" s="5" t="s">
        <v>2499</v>
      </c>
      <c r="AI709" s="5" t="s">
        <v>605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435.5</v>
      </c>
      <c r="AP709" s="5">
        <v>7.3660000000000014</v>
      </c>
      <c r="AQ709" s="5" t="s">
        <v>713</v>
      </c>
      <c r="AR709" s="5" t="s">
        <v>1104</v>
      </c>
      <c r="AS709" s="5"/>
      <c r="AT709" s="5"/>
      <c r="AU709" s="5"/>
      <c r="AV709" s="5">
        <v>-1</v>
      </c>
      <c r="AW709" s="5" t="s">
        <v>3672</v>
      </c>
    </row>
    <row r="710" spans="1:49" x14ac:dyDescent="0.55000000000000004">
      <c r="A710" s="5" t="str">
        <f>HYPERLINK("https://www.infodis.net/philips/net/Shipment/Details?InfodisNumber=1491587&amp;DomainCode=PHILIPSM1", "1491587")</f>
        <v>1491587</v>
      </c>
      <c r="B710" s="5" t="s">
        <v>4561</v>
      </c>
      <c r="C710" s="5" t="s">
        <v>2491</v>
      </c>
      <c r="D710" s="5" t="s">
        <v>2492</v>
      </c>
      <c r="E710" s="5" t="s">
        <v>2491</v>
      </c>
      <c r="F710" s="5" t="s">
        <v>3114</v>
      </c>
      <c r="G710" s="5" t="s">
        <v>1431</v>
      </c>
      <c r="H710" s="5" t="s">
        <v>180</v>
      </c>
      <c r="I710" s="5" t="s">
        <v>2494</v>
      </c>
      <c r="J710" s="5" t="s">
        <v>2308</v>
      </c>
      <c r="K710" s="5" t="s">
        <v>3115</v>
      </c>
      <c r="L710" s="5" t="s">
        <v>2134</v>
      </c>
      <c r="M710" s="5" t="s">
        <v>60</v>
      </c>
      <c r="N710" s="5"/>
      <c r="O710" s="5"/>
      <c r="P710" s="5" t="s">
        <v>1434</v>
      </c>
      <c r="Q710" s="5" t="s">
        <v>4562</v>
      </c>
      <c r="R710" s="5"/>
      <c r="S710" s="6">
        <v>44074</v>
      </c>
      <c r="T710" s="6">
        <v>44074</v>
      </c>
      <c r="U710" s="6">
        <v>44074</v>
      </c>
      <c r="V710" s="6">
        <v>44077</v>
      </c>
      <c r="W710" s="6">
        <v>44084</v>
      </c>
      <c r="X710" s="5"/>
      <c r="Y710" s="5" t="s">
        <v>2387</v>
      </c>
      <c r="Z710" s="5" t="s">
        <v>2387</v>
      </c>
      <c r="AA710" s="5" t="s">
        <v>603</v>
      </c>
      <c r="AB710" s="5" t="s">
        <v>67</v>
      </c>
      <c r="AC710" s="5" t="s">
        <v>67</v>
      </c>
      <c r="AD710" s="5" t="s">
        <v>68</v>
      </c>
      <c r="AE710" s="5"/>
      <c r="AF710" s="5" t="s">
        <v>2179</v>
      </c>
      <c r="AG710" s="5" t="s">
        <v>2180</v>
      </c>
      <c r="AH710" s="5" t="s">
        <v>2179</v>
      </c>
      <c r="AI710" s="5" t="s">
        <v>605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95.3</v>
      </c>
      <c r="AP710" s="5">
        <v>1.383</v>
      </c>
      <c r="AQ710" s="5" t="s">
        <v>713</v>
      </c>
      <c r="AR710" s="5" t="s">
        <v>1104</v>
      </c>
      <c r="AS710" s="5"/>
      <c r="AT710" s="5"/>
      <c r="AU710" s="5"/>
      <c r="AV710" s="5">
        <v>-1</v>
      </c>
      <c r="AW710" s="5" t="s">
        <v>3752</v>
      </c>
    </row>
    <row r="711" spans="1:49" x14ac:dyDescent="0.55000000000000004">
      <c r="A711" s="5" t="str">
        <f>HYPERLINK("https://www.infodis.net/philips/net/Shipment/Details?InfodisNumber=1491581&amp;DomainCode=PHILIPSM1", "1491581")</f>
        <v>1491581</v>
      </c>
      <c r="B711" s="5" t="s">
        <v>4563</v>
      </c>
      <c r="C711" s="5" t="s">
        <v>2491</v>
      </c>
      <c r="D711" s="5" t="s">
        <v>2492</v>
      </c>
      <c r="E711" s="5" t="s">
        <v>2491</v>
      </c>
      <c r="F711" s="5" t="s">
        <v>3754</v>
      </c>
      <c r="G711" s="5" t="s">
        <v>1431</v>
      </c>
      <c r="H711" s="5" t="s">
        <v>180</v>
      </c>
      <c r="I711" s="5" t="s">
        <v>2494</v>
      </c>
      <c r="J711" s="5" t="s">
        <v>3755</v>
      </c>
      <c r="K711" s="5" t="s">
        <v>3756</v>
      </c>
      <c r="L711" s="5" t="s">
        <v>3757</v>
      </c>
      <c r="M711" s="5" t="s">
        <v>60</v>
      </c>
      <c r="N711" s="5"/>
      <c r="O711" s="5"/>
      <c r="P711" s="5" t="s">
        <v>1434</v>
      </c>
      <c r="Q711" s="5" t="s">
        <v>4564</v>
      </c>
      <c r="R711" s="5" t="s">
        <v>2922</v>
      </c>
      <c r="S711" s="6">
        <v>44074</v>
      </c>
      <c r="T711" s="6">
        <v>44074</v>
      </c>
      <c r="U711" s="6">
        <v>44074</v>
      </c>
      <c r="V711" s="6">
        <v>44074</v>
      </c>
      <c r="W711" s="6">
        <v>44081</v>
      </c>
      <c r="X711" s="5"/>
      <c r="Y711" s="5" t="s">
        <v>2387</v>
      </c>
      <c r="Z711" s="5" t="s">
        <v>2387</v>
      </c>
      <c r="AA711" s="5" t="s">
        <v>603</v>
      </c>
      <c r="AB711" s="5" t="s">
        <v>67</v>
      </c>
      <c r="AC711" s="5" t="s">
        <v>67</v>
      </c>
      <c r="AD711" s="5" t="s">
        <v>68</v>
      </c>
      <c r="AE711" s="5"/>
      <c r="AF711" s="5" t="s">
        <v>2499</v>
      </c>
      <c r="AG711" s="5" t="s">
        <v>2500</v>
      </c>
      <c r="AH711" s="5" t="s">
        <v>2499</v>
      </c>
      <c r="AI711" s="5" t="s">
        <v>605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438.2</v>
      </c>
      <c r="AP711" s="5">
        <v>1.2310000000000001</v>
      </c>
      <c r="AQ711" s="5" t="s">
        <v>713</v>
      </c>
      <c r="AR711" s="5" t="s">
        <v>1104</v>
      </c>
      <c r="AS711" s="5"/>
      <c r="AT711" s="5"/>
      <c r="AU711" s="5"/>
      <c r="AV711" s="5">
        <v>-1</v>
      </c>
      <c r="AW711" s="5" t="s">
        <v>3752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0"/>
  <sheetViews>
    <sheetView topLeftCell="K1" zoomScale="75" workbookViewId="0">
      <selection activeCell="N5" sqref="N5"/>
    </sheetView>
  </sheetViews>
  <sheetFormatPr defaultRowHeight="14.4" x14ac:dyDescent="0.55000000000000004"/>
  <cols>
    <col min="1" max="49" width="21.68359375" customWidth="1"/>
  </cols>
  <sheetData>
    <row r="1" spans="1:4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55000000000000004">
      <c r="A2" t="str">
        <f>HYPERLINK("https://www.infodis.net/philips/net/Shipment/Details?InfodisNumber=4567790&amp;DomainCode=DAP", "4567790")</f>
        <v>4567790</v>
      </c>
      <c r="B2" t="s">
        <v>4565</v>
      </c>
      <c r="C2" t="s">
        <v>2207</v>
      </c>
      <c r="D2" t="s">
        <v>2208</v>
      </c>
      <c r="E2" t="s">
        <v>2269</v>
      </c>
      <c r="F2" t="s">
        <v>1102</v>
      </c>
      <c r="G2" t="s">
        <v>259</v>
      </c>
      <c r="H2" t="s">
        <v>260</v>
      </c>
      <c r="K2" t="s">
        <v>797</v>
      </c>
      <c r="L2" t="s">
        <v>55</v>
      </c>
      <c r="M2" t="s">
        <v>60</v>
      </c>
      <c r="P2" t="s">
        <v>2211</v>
      </c>
      <c r="R2" t="s">
        <v>615</v>
      </c>
      <c r="S2" s="2">
        <v>44161</v>
      </c>
      <c r="T2" s="2">
        <v>44169</v>
      </c>
      <c r="Y2" t="s">
        <v>4566</v>
      </c>
      <c r="AB2" t="s">
        <v>67</v>
      </c>
      <c r="AC2" t="s">
        <v>68</v>
      </c>
      <c r="AD2" t="s">
        <v>68</v>
      </c>
      <c r="AF2" t="s">
        <v>70</v>
      </c>
      <c r="AI2" t="s">
        <v>73</v>
      </c>
      <c r="AJ2">
        <v>0</v>
      </c>
      <c r="AK2">
        <v>0</v>
      </c>
      <c r="AN2">
        <v>33</v>
      </c>
      <c r="AO2">
        <v>9999</v>
      </c>
      <c r="AP2">
        <v>76.031999999999996</v>
      </c>
      <c r="AV2">
        <v>-1</v>
      </c>
    </row>
    <row r="3" spans="1:49" x14ac:dyDescent="0.55000000000000004">
      <c r="A3" t="str">
        <f>HYPERLINK("https://www.infodis.net/philips/net/Shipment/Details?InfodisNumber=4567791&amp;DomainCode=DAP", "4567791")</f>
        <v>4567791</v>
      </c>
      <c r="B3" t="s">
        <v>4567</v>
      </c>
      <c r="C3" t="s">
        <v>2207</v>
      </c>
      <c r="D3" t="s">
        <v>2208</v>
      </c>
      <c r="E3" t="s">
        <v>2269</v>
      </c>
      <c r="F3" t="s">
        <v>1102</v>
      </c>
      <c r="G3" t="s">
        <v>259</v>
      </c>
      <c r="H3" t="s">
        <v>260</v>
      </c>
      <c r="K3" t="s">
        <v>797</v>
      </c>
      <c r="L3" t="s">
        <v>55</v>
      </c>
      <c r="M3" t="s">
        <v>60</v>
      </c>
      <c r="P3" t="s">
        <v>2211</v>
      </c>
      <c r="R3" t="s">
        <v>615</v>
      </c>
      <c r="S3" s="2">
        <v>44161</v>
      </c>
      <c r="T3" s="2">
        <v>44169</v>
      </c>
      <c r="Y3" t="s">
        <v>4566</v>
      </c>
      <c r="AB3" t="s">
        <v>67</v>
      </c>
      <c r="AC3" t="s">
        <v>68</v>
      </c>
      <c r="AD3" t="s">
        <v>68</v>
      </c>
      <c r="AF3" t="s">
        <v>70</v>
      </c>
      <c r="AI3" t="s">
        <v>73</v>
      </c>
      <c r="AJ3">
        <v>0</v>
      </c>
      <c r="AK3">
        <v>0</v>
      </c>
      <c r="AN3">
        <v>33</v>
      </c>
      <c r="AO3">
        <v>9999</v>
      </c>
      <c r="AP3">
        <v>76.031999999999996</v>
      </c>
      <c r="AV3">
        <v>-1</v>
      </c>
    </row>
    <row r="4" spans="1:49" x14ac:dyDescent="0.55000000000000004">
      <c r="A4" t="str">
        <f>HYPERLINK("https://www.infodis.net/philips/net/Shipment/Details?InfodisNumber=4567775&amp;DomainCode=DAP", "4567775")</f>
        <v>4567775</v>
      </c>
      <c r="B4" t="s">
        <v>4568</v>
      </c>
      <c r="C4" t="s">
        <v>2207</v>
      </c>
      <c r="D4" t="s">
        <v>2208</v>
      </c>
      <c r="E4" t="s">
        <v>2269</v>
      </c>
      <c r="F4" t="s">
        <v>1102</v>
      </c>
      <c r="G4" t="s">
        <v>259</v>
      </c>
      <c r="H4" t="s">
        <v>260</v>
      </c>
      <c r="K4" t="s">
        <v>797</v>
      </c>
      <c r="L4" t="s">
        <v>55</v>
      </c>
      <c r="M4" t="s">
        <v>60</v>
      </c>
      <c r="P4" t="s">
        <v>2211</v>
      </c>
      <c r="R4" t="s">
        <v>615</v>
      </c>
      <c r="S4" s="2">
        <v>44161</v>
      </c>
      <c r="T4" s="2">
        <v>44168</v>
      </c>
      <c r="Y4" t="s">
        <v>4566</v>
      </c>
      <c r="AB4" t="s">
        <v>67</v>
      </c>
      <c r="AC4" t="s">
        <v>68</v>
      </c>
      <c r="AD4" t="s">
        <v>68</v>
      </c>
      <c r="AF4" t="s">
        <v>70</v>
      </c>
      <c r="AI4" t="s">
        <v>73</v>
      </c>
      <c r="AJ4">
        <v>0</v>
      </c>
      <c r="AK4">
        <v>0</v>
      </c>
      <c r="AN4">
        <v>33</v>
      </c>
      <c r="AO4">
        <v>9999</v>
      </c>
      <c r="AP4">
        <v>76.031999999999996</v>
      </c>
      <c r="AV4">
        <v>-1</v>
      </c>
    </row>
    <row r="5" spans="1:49" x14ac:dyDescent="0.55000000000000004">
      <c r="A5" t="str">
        <f>HYPERLINK("https://www.infodis.net/philips/net/Shipment/Details?InfodisNumber=1582840&amp;DomainCode=PHILIPSM1", "1582840")</f>
        <v>1582840</v>
      </c>
      <c r="B5" t="s">
        <v>4569</v>
      </c>
      <c r="C5" t="s">
        <v>4570</v>
      </c>
      <c r="D5" t="s">
        <v>4571</v>
      </c>
      <c r="E5" t="s">
        <v>4572</v>
      </c>
      <c r="G5" t="s">
        <v>1430</v>
      </c>
      <c r="H5" t="s">
        <v>244</v>
      </c>
      <c r="K5" t="s">
        <v>3281</v>
      </c>
      <c r="L5" t="s">
        <v>1051</v>
      </c>
      <c r="M5" t="s">
        <v>60</v>
      </c>
      <c r="P5" t="s">
        <v>1432</v>
      </c>
      <c r="R5" t="s">
        <v>3283</v>
      </c>
      <c r="S5" s="2">
        <v>44159</v>
      </c>
      <c r="T5" s="2">
        <v>44159</v>
      </c>
      <c r="U5" s="2">
        <v>44159</v>
      </c>
      <c r="Y5" t="s">
        <v>4573</v>
      </c>
      <c r="AB5" t="s">
        <v>67</v>
      </c>
      <c r="AC5" t="s">
        <v>68</v>
      </c>
      <c r="AD5" t="s">
        <v>68</v>
      </c>
      <c r="AF5" t="s">
        <v>4574</v>
      </c>
      <c r="AI5" t="s">
        <v>605</v>
      </c>
      <c r="AJ5">
        <v>0</v>
      </c>
      <c r="AK5">
        <v>0</v>
      </c>
      <c r="AN5">
        <v>0</v>
      </c>
      <c r="AO5">
        <v>5</v>
      </c>
      <c r="AP5">
        <v>5.5999999999999987E-2</v>
      </c>
      <c r="AV5">
        <v>-1</v>
      </c>
    </row>
    <row r="6" spans="1:49" x14ac:dyDescent="0.55000000000000004">
      <c r="A6" t="str">
        <f>HYPERLINK("https://www.infodis.net/philips/net/Shipment/Details?InfodisNumber=4566006&amp;DomainCode=DAP", "4566006")</f>
        <v>4566006</v>
      </c>
      <c r="B6" t="s">
        <v>4575</v>
      </c>
      <c r="C6" t="s">
        <v>2207</v>
      </c>
      <c r="D6" t="s">
        <v>2208</v>
      </c>
      <c r="E6" t="s">
        <v>2269</v>
      </c>
      <c r="F6" t="s">
        <v>214</v>
      </c>
      <c r="G6" t="s">
        <v>259</v>
      </c>
      <c r="H6" t="s">
        <v>260</v>
      </c>
      <c r="K6" t="s">
        <v>216</v>
      </c>
      <c r="L6" t="s">
        <v>55</v>
      </c>
      <c r="M6" t="s">
        <v>84</v>
      </c>
      <c r="P6" t="s">
        <v>2211</v>
      </c>
      <c r="R6" t="s">
        <v>496</v>
      </c>
      <c r="S6" s="2">
        <v>44159</v>
      </c>
      <c r="T6" s="2">
        <v>44160</v>
      </c>
      <c r="U6" s="2">
        <v>44160</v>
      </c>
      <c r="Y6" t="s">
        <v>4576</v>
      </c>
      <c r="AB6" t="s">
        <v>67</v>
      </c>
      <c r="AC6" t="s">
        <v>68</v>
      </c>
      <c r="AD6" t="s">
        <v>68</v>
      </c>
      <c r="AF6" t="s">
        <v>70</v>
      </c>
      <c r="AI6" t="s">
        <v>73</v>
      </c>
      <c r="AJ6">
        <v>0</v>
      </c>
      <c r="AK6">
        <v>0</v>
      </c>
      <c r="AN6">
        <v>2</v>
      </c>
      <c r="AO6">
        <v>253</v>
      </c>
      <c r="AP6">
        <v>2.2679999999999998</v>
      </c>
      <c r="AV6">
        <v>-1</v>
      </c>
    </row>
    <row r="7" spans="1:49" x14ac:dyDescent="0.55000000000000004">
      <c r="A7" t="str">
        <f>HYPERLINK("https://www.infodis.net/philips/net/Shipment/Details?InfodisNumber=4567761&amp;DomainCode=DAP", "4567761")</f>
        <v>4567761</v>
      </c>
      <c r="B7" t="s">
        <v>4577</v>
      </c>
      <c r="C7" t="s">
        <v>2207</v>
      </c>
      <c r="D7" t="s">
        <v>2208</v>
      </c>
      <c r="E7" t="s">
        <v>2269</v>
      </c>
      <c r="F7" t="s">
        <v>1102</v>
      </c>
      <c r="G7" t="s">
        <v>259</v>
      </c>
      <c r="H7" t="s">
        <v>260</v>
      </c>
      <c r="K7" t="s">
        <v>797</v>
      </c>
      <c r="L7" t="s">
        <v>55</v>
      </c>
      <c r="M7" t="s">
        <v>60</v>
      </c>
      <c r="P7" t="s">
        <v>2211</v>
      </c>
      <c r="R7" t="s">
        <v>615</v>
      </c>
      <c r="S7" s="2">
        <v>44161</v>
      </c>
      <c r="T7" s="2">
        <v>44168</v>
      </c>
      <c r="Y7" t="s">
        <v>4566</v>
      </c>
      <c r="AB7" t="s">
        <v>67</v>
      </c>
      <c r="AC7" t="s">
        <v>68</v>
      </c>
      <c r="AD7" t="s">
        <v>68</v>
      </c>
      <c r="AF7" t="s">
        <v>70</v>
      </c>
      <c r="AI7" t="s">
        <v>73</v>
      </c>
      <c r="AJ7">
        <v>0</v>
      </c>
      <c r="AK7">
        <v>0</v>
      </c>
      <c r="AN7">
        <v>33</v>
      </c>
      <c r="AO7">
        <v>9999</v>
      </c>
      <c r="AP7">
        <v>76.031999999999996</v>
      </c>
      <c r="AV7">
        <v>-1</v>
      </c>
    </row>
    <row r="8" spans="1:49" x14ac:dyDescent="0.55000000000000004">
      <c r="A8" t="str">
        <f>HYPERLINK("https://www.infodis.net/philips/net/Shipment/Details?InfodisNumber=1585901&amp;DomainCode=PHILIPSM1", "1585901")</f>
        <v>1585901</v>
      </c>
      <c r="B8" t="s">
        <v>4578</v>
      </c>
      <c r="C8" t="s">
        <v>4570</v>
      </c>
      <c r="D8" t="s">
        <v>4571</v>
      </c>
      <c r="E8" t="s">
        <v>4572</v>
      </c>
      <c r="F8" t="s">
        <v>4579</v>
      </c>
      <c r="G8" t="s">
        <v>1430</v>
      </c>
      <c r="H8" t="s">
        <v>244</v>
      </c>
      <c r="K8" t="s">
        <v>4580</v>
      </c>
      <c r="L8" t="s">
        <v>244</v>
      </c>
      <c r="M8" t="s">
        <v>60</v>
      </c>
      <c r="P8" t="s">
        <v>1432</v>
      </c>
      <c r="R8" t="s">
        <v>4581</v>
      </c>
      <c r="S8" s="2">
        <v>44161</v>
      </c>
      <c r="T8" s="2">
        <v>44161</v>
      </c>
      <c r="Y8" t="s">
        <v>4576</v>
      </c>
      <c r="AB8" t="s">
        <v>67</v>
      </c>
      <c r="AC8" t="s">
        <v>68</v>
      </c>
      <c r="AD8" t="s">
        <v>68</v>
      </c>
      <c r="AF8" t="s">
        <v>4574</v>
      </c>
      <c r="AI8" t="s">
        <v>605</v>
      </c>
      <c r="AJ8">
        <v>0</v>
      </c>
      <c r="AK8">
        <v>0</v>
      </c>
      <c r="AN8">
        <v>4</v>
      </c>
      <c r="AO8">
        <v>191</v>
      </c>
      <c r="AP8">
        <v>6.0479999999999992</v>
      </c>
      <c r="AV8">
        <v>-1</v>
      </c>
    </row>
    <row r="9" spans="1:49" x14ac:dyDescent="0.55000000000000004">
      <c r="A9" t="str">
        <f>HYPERLINK("https://www.infodis.net/philips/net/Shipment/Details?InfodisNumber=4567757&amp;DomainCode=DAP", "4567757")</f>
        <v>4567757</v>
      </c>
      <c r="B9" t="s">
        <v>4582</v>
      </c>
      <c r="C9" t="s">
        <v>2207</v>
      </c>
      <c r="D9" t="s">
        <v>2208</v>
      </c>
      <c r="E9" t="s">
        <v>2269</v>
      </c>
      <c r="F9" t="s">
        <v>1102</v>
      </c>
      <c r="G9" t="s">
        <v>259</v>
      </c>
      <c r="H9" t="s">
        <v>260</v>
      </c>
      <c r="K9" t="s">
        <v>797</v>
      </c>
      <c r="L9" t="s">
        <v>55</v>
      </c>
      <c r="M9" t="s">
        <v>60</v>
      </c>
      <c r="P9" t="s">
        <v>2211</v>
      </c>
      <c r="R9" t="s">
        <v>615</v>
      </c>
      <c r="S9" s="2">
        <v>44161</v>
      </c>
      <c r="T9" s="2">
        <v>44167</v>
      </c>
      <c r="Y9" t="s">
        <v>4566</v>
      </c>
      <c r="AB9" t="s">
        <v>67</v>
      </c>
      <c r="AC9" t="s">
        <v>68</v>
      </c>
      <c r="AD9" t="s">
        <v>68</v>
      </c>
      <c r="AF9" t="s">
        <v>70</v>
      </c>
      <c r="AI9" t="s">
        <v>73</v>
      </c>
      <c r="AJ9">
        <v>0</v>
      </c>
      <c r="AK9">
        <v>0</v>
      </c>
      <c r="AN9">
        <v>33</v>
      </c>
      <c r="AO9">
        <v>9999</v>
      </c>
      <c r="AP9">
        <v>76.031999999999996</v>
      </c>
      <c r="AV9">
        <v>-1</v>
      </c>
    </row>
    <row r="10" spans="1:49" x14ac:dyDescent="0.55000000000000004">
      <c r="A10" t="str">
        <f>HYPERLINK("https://www.infodis.net/philips/net/Shipment/Details?InfodisNumber=4564029&amp;DomainCode=DAP", "4564029")</f>
        <v>4564029</v>
      </c>
      <c r="B10" t="s">
        <v>4583</v>
      </c>
      <c r="C10" t="s">
        <v>2207</v>
      </c>
      <c r="D10" t="s">
        <v>2208</v>
      </c>
      <c r="E10" t="s">
        <v>2269</v>
      </c>
      <c r="F10" t="s">
        <v>1102</v>
      </c>
      <c r="G10" t="s">
        <v>259</v>
      </c>
      <c r="H10" t="s">
        <v>260</v>
      </c>
      <c r="K10" t="s">
        <v>797</v>
      </c>
      <c r="L10" t="s">
        <v>55</v>
      </c>
      <c r="M10" t="s">
        <v>60</v>
      </c>
      <c r="P10" t="s">
        <v>2211</v>
      </c>
      <c r="R10" t="s">
        <v>615</v>
      </c>
      <c r="S10" s="2">
        <v>44155</v>
      </c>
      <c r="T10" s="2">
        <v>44160</v>
      </c>
      <c r="Y10" t="s">
        <v>4566</v>
      </c>
      <c r="AB10" t="s">
        <v>67</v>
      </c>
      <c r="AC10" t="s">
        <v>68</v>
      </c>
      <c r="AD10" t="s">
        <v>68</v>
      </c>
      <c r="AF10" t="s">
        <v>70</v>
      </c>
      <c r="AI10" t="s">
        <v>73</v>
      </c>
      <c r="AJ10">
        <v>0</v>
      </c>
      <c r="AK10">
        <v>0</v>
      </c>
      <c r="AN10">
        <v>33</v>
      </c>
      <c r="AO10">
        <v>9999</v>
      </c>
      <c r="AP10">
        <v>76.031999999999996</v>
      </c>
      <c r="AV10">
        <v>-1</v>
      </c>
    </row>
    <row r="11" spans="1:49" x14ac:dyDescent="0.55000000000000004">
      <c r="A11" t="str">
        <f>HYPERLINK("https://www.infodis.net/philips/net/Shipment/Details?InfodisNumber=4564031&amp;DomainCode=DAP", "4564031")</f>
        <v>4564031</v>
      </c>
      <c r="B11" t="s">
        <v>4584</v>
      </c>
      <c r="C11" t="s">
        <v>2207</v>
      </c>
      <c r="D11" t="s">
        <v>2208</v>
      </c>
      <c r="E11" t="s">
        <v>2269</v>
      </c>
      <c r="F11" t="s">
        <v>1102</v>
      </c>
      <c r="G11" t="s">
        <v>259</v>
      </c>
      <c r="H11" t="s">
        <v>260</v>
      </c>
      <c r="K11" t="s">
        <v>797</v>
      </c>
      <c r="L11" t="s">
        <v>55</v>
      </c>
      <c r="M11" t="s">
        <v>60</v>
      </c>
      <c r="P11" t="s">
        <v>2211</v>
      </c>
      <c r="R11" t="s">
        <v>615</v>
      </c>
      <c r="S11" s="2">
        <v>44155</v>
      </c>
      <c r="T11" s="2">
        <v>44161</v>
      </c>
      <c r="Y11" t="s">
        <v>4566</v>
      </c>
      <c r="AB11" t="s">
        <v>67</v>
      </c>
      <c r="AC11" t="s">
        <v>68</v>
      </c>
      <c r="AD11" t="s">
        <v>68</v>
      </c>
      <c r="AF11" t="s">
        <v>70</v>
      </c>
      <c r="AI11" t="s">
        <v>73</v>
      </c>
      <c r="AJ11">
        <v>0</v>
      </c>
      <c r="AK11">
        <v>0</v>
      </c>
      <c r="AN11">
        <v>33</v>
      </c>
      <c r="AO11">
        <v>9999</v>
      </c>
      <c r="AP11">
        <v>76.031999999999996</v>
      </c>
      <c r="AV11">
        <v>-1</v>
      </c>
    </row>
    <row r="12" spans="1:49" x14ac:dyDescent="0.55000000000000004">
      <c r="A12" t="str">
        <f>HYPERLINK("https://www.infodis.net/philips/net/Shipment/Details?InfodisNumber=4567785&amp;DomainCode=DAP", "4567785")</f>
        <v>4567785</v>
      </c>
      <c r="B12" t="s">
        <v>4585</v>
      </c>
      <c r="C12" t="s">
        <v>2207</v>
      </c>
      <c r="D12" t="s">
        <v>2208</v>
      </c>
      <c r="E12" t="s">
        <v>2269</v>
      </c>
      <c r="F12" t="s">
        <v>1102</v>
      </c>
      <c r="G12" t="s">
        <v>259</v>
      </c>
      <c r="H12" t="s">
        <v>260</v>
      </c>
      <c r="K12" t="s">
        <v>797</v>
      </c>
      <c r="L12" t="s">
        <v>55</v>
      </c>
      <c r="M12" t="s">
        <v>60</v>
      </c>
      <c r="P12" t="s">
        <v>2211</v>
      </c>
      <c r="R12" t="s">
        <v>615</v>
      </c>
      <c r="S12" s="2">
        <v>44161</v>
      </c>
      <c r="T12" s="2">
        <v>44169</v>
      </c>
      <c r="Y12" t="s">
        <v>4566</v>
      </c>
      <c r="AB12" t="s">
        <v>67</v>
      </c>
      <c r="AC12" t="s">
        <v>68</v>
      </c>
      <c r="AD12" t="s">
        <v>68</v>
      </c>
      <c r="AF12" t="s">
        <v>70</v>
      </c>
      <c r="AI12" t="s">
        <v>73</v>
      </c>
      <c r="AJ12">
        <v>0</v>
      </c>
      <c r="AK12">
        <v>0</v>
      </c>
      <c r="AN12">
        <v>33</v>
      </c>
      <c r="AO12">
        <v>9999</v>
      </c>
      <c r="AP12">
        <v>76.031999999999996</v>
      </c>
      <c r="AV12">
        <v>-1</v>
      </c>
    </row>
    <row r="13" spans="1:49" x14ac:dyDescent="0.55000000000000004">
      <c r="A13" t="str">
        <f>HYPERLINK("https://www.infodis.net/philips/net/Shipment/Details?InfodisNumber=4567770&amp;DomainCode=DAP", "4567770")</f>
        <v>4567770</v>
      </c>
      <c r="B13" t="s">
        <v>4586</v>
      </c>
      <c r="C13" t="s">
        <v>2207</v>
      </c>
      <c r="D13" t="s">
        <v>2208</v>
      </c>
      <c r="E13" t="s">
        <v>2269</v>
      </c>
      <c r="F13" t="s">
        <v>1102</v>
      </c>
      <c r="G13" t="s">
        <v>259</v>
      </c>
      <c r="H13" t="s">
        <v>260</v>
      </c>
      <c r="K13" t="s">
        <v>797</v>
      </c>
      <c r="L13" t="s">
        <v>55</v>
      </c>
      <c r="M13" t="s">
        <v>60</v>
      </c>
      <c r="P13" t="s">
        <v>2211</v>
      </c>
      <c r="R13" t="s">
        <v>615</v>
      </c>
      <c r="S13" s="2">
        <v>44161</v>
      </c>
      <c r="T13" s="2">
        <v>44168</v>
      </c>
      <c r="Y13" t="s">
        <v>4566</v>
      </c>
      <c r="AB13" t="s">
        <v>67</v>
      </c>
      <c r="AC13" t="s">
        <v>68</v>
      </c>
      <c r="AD13" t="s">
        <v>68</v>
      </c>
      <c r="AF13" t="s">
        <v>70</v>
      </c>
      <c r="AI13" t="s">
        <v>73</v>
      </c>
      <c r="AJ13">
        <v>0</v>
      </c>
      <c r="AK13">
        <v>0</v>
      </c>
      <c r="AN13">
        <v>33</v>
      </c>
      <c r="AO13">
        <v>9999</v>
      </c>
      <c r="AP13">
        <v>76.031999999999996</v>
      </c>
      <c r="AV13">
        <v>-1</v>
      </c>
    </row>
    <row r="14" spans="1:49" x14ac:dyDescent="0.55000000000000004">
      <c r="A14" t="str">
        <f>HYPERLINK("https://www.infodis.net/philips/net/Shipment/Details?InfodisNumber=4567779&amp;DomainCode=DAP", "4567779")</f>
        <v>4567779</v>
      </c>
      <c r="B14" t="s">
        <v>4587</v>
      </c>
      <c r="C14" t="s">
        <v>2207</v>
      </c>
      <c r="D14" t="s">
        <v>2208</v>
      </c>
      <c r="E14" t="s">
        <v>2269</v>
      </c>
      <c r="F14" t="s">
        <v>1102</v>
      </c>
      <c r="G14" t="s">
        <v>259</v>
      </c>
      <c r="H14" t="s">
        <v>260</v>
      </c>
      <c r="K14" t="s">
        <v>797</v>
      </c>
      <c r="L14" t="s">
        <v>55</v>
      </c>
      <c r="M14" t="s">
        <v>60</v>
      </c>
      <c r="P14" t="s">
        <v>2211</v>
      </c>
      <c r="R14" t="s">
        <v>615</v>
      </c>
      <c r="S14" s="2">
        <v>44161</v>
      </c>
      <c r="T14" s="2">
        <v>44169</v>
      </c>
      <c r="Y14" t="s">
        <v>4566</v>
      </c>
      <c r="AB14" t="s">
        <v>67</v>
      </c>
      <c r="AC14" t="s">
        <v>68</v>
      </c>
      <c r="AD14" t="s">
        <v>68</v>
      </c>
      <c r="AF14" t="s">
        <v>70</v>
      </c>
      <c r="AI14" t="s">
        <v>73</v>
      </c>
      <c r="AJ14">
        <v>0</v>
      </c>
      <c r="AK14">
        <v>0</v>
      </c>
      <c r="AN14">
        <v>33</v>
      </c>
      <c r="AO14">
        <v>9999</v>
      </c>
      <c r="AP14">
        <v>76.031999999999996</v>
      </c>
      <c r="AV14">
        <v>-1</v>
      </c>
    </row>
    <row r="15" spans="1:49" x14ac:dyDescent="0.55000000000000004">
      <c r="A15" t="str">
        <f>HYPERLINK("https://www.infodis.net/philips/net/Shipment/Details?InfodisNumber=1583082&amp;DomainCode=PHILIPSM1", "1583082")</f>
        <v>1583082</v>
      </c>
      <c r="B15" t="s">
        <v>4588</v>
      </c>
      <c r="C15" t="s">
        <v>4570</v>
      </c>
      <c r="D15" t="s">
        <v>4571</v>
      </c>
      <c r="E15" t="s">
        <v>4572</v>
      </c>
      <c r="F15" t="s">
        <v>4589</v>
      </c>
      <c r="G15" t="s">
        <v>1430</v>
      </c>
      <c r="H15" t="s">
        <v>244</v>
      </c>
      <c r="K15" t="s">
        <v>3867</v>
      </c>
      <c r="L15" t="s">
        <v>55</v>
      </c>
      <c r="M15" t="s">
        <v>60</v>
      </c>
      <c r="P15" t="s">
        <v>1432</v>
      </c>
      <c r="R15" t="s">
        <v>3868</v>
      </c>
      <c r="S15" s="2">
        <v>44160</v>
      </c>
      <c r="T15" s="2">
        <v>44161</v>
      </c>
      <c r="Y15" t="s">
        <v>4576</v>
      </c>
      <c r="AB15" t="s">
        <v>67</v>
      </c>
      <c r="AC15" t="s">
        <v>68</v>
      </c>
      <c r="AD15" t="s">
        <v>68</v>
      </c>
      <c r="AF15" t="s">
        <v>4574</v>
      </c>
      <c r="AI15" t="s">
        <v>605</v>
      </c>
      <c r="AJ15">
        <v>0</v>
      </c>
      <c r="AK15">
        <v>0</v>
      </c>
      <c r="AN15">
        <v>1</v>
      </c>
      <c r="AO15">
        <v>67</v>
      </c>
      <c r="AP15">
        <v>1.728</v>
      </c>
      <c r="AV15">
        <v>-1</v>
      </c>
    </row>
    <row r="16" spans="1:49" x14ac:dyDescent="0.55000000000000004">
      <c r="A16" t="str">
        <f>HYPERLINK("https://www.infodis.net/philips/net/Shipment/Details?InfodisNumber=1585933&amp;DomainCode=PHILIPSM1", "1585933")</f>
        <v>1585933</v>
      </c>
      <c r="B16" t="s">
        <v>4590</v>
      </c>
      <c r="C16" t="s">
        <v>4570</v>
      </c>
      <c r="D16" t="s">
        <v>4571</v>
      </c>
      <c r="E16" t="s">
        <v>4572</v>
      </c>
      <c r="F16" t="s">
        <v>4589</v>
      </c>
      <c r="G16" t="s">
        <v>1430</v>
      </c>
      <c r="H16" t="s">
        <v>244</v>
      </c>
      <c r="K16" t="s">
        <v>3867</v>
      </c>
      <c r="L16" t="s">
        <v>55</v>
      </c>
      <c r="M16" t="s">
        <v>60</v>
      </c>
      <c r="P16" t="s">
        <v>1432</v>
      </c>
      <c r="R16" t="s">
        <v>3868</v>
      </c>
      <c r="S16" s="2">
        <v>44161</v>
      </c>
      <c r="T16" s="2">
        <v>44162</v>
      </c>
      <c r="Y16" t="s">
        <v>4576</v>
      </c>
      <c r="AB16" t="s">
        <v>67</v>
      </c>
      <c r="AC16" t="s">
        <v>68</v>
      </c>
      <c r="AD16" t="s">
        <v>68</v>
      </c>
      <c r="AF16" t="s">
        <v>4574</v>
      </c>
      <c r="AI16" t="s">
        <v>605</v>
      </c>
      <c r="AJ16">
        <v>0</v>
      </c>
      <c r="AK16">
        <v>0</v>
      </c>
      <c r="AN16">
        <v>1</v>
      </c>
      <c r="AO16">
        <v>70.5</v>
      </c>
      <c r="AP16">
        <v>1.536</v>
      </c>
      <c r="AV16">
        <v>-1</v>
      </c>
    </row>
    <row r="17" spans="1:48" x14ac:dyDescent="0.55000000000000004">
      <c r="A17" t="str">
        <f>HYPERLINK("https://www.infodis.net/philips/net/Shipment/Details?InfodisNumber=4567964&amp;DomainCode=DAP", "4567964")</f>
        <v>4567964</v>
      </c>
      <c r="B17" t="s">
        <v>4591</v>
      </c>
      <c r="C17" t="s">
        <v>4592</v>
      </c>
      <c r="D17" t="s">
        <v>4593</v>
      </c>
      <c r="E17" t="s">
        <v>214</v>
      </c>
      <c r="F17" t="s">
        <v>214</v>
      </c>
      <c r="G17" t="s">
        <v>4594</v>
      </c>
      <c r="H17" t="s">
        <v>244</v>
      </c>
      <c r="K17" t="s">
        <v>216</v>
      </c>
      <c r="L17" t="s">
        <v>55</v>
      </c>
      <c r="M17" t="s">
        <v>84</v>
      </c>
      <c r="P17" t="s">
        <v>4595</v>
      </c>
      <c r="R17" t="s">
        <v>496</v>
      </c>
      <c r="S17" s="2">
        <v>44161</v>
      </c>
      <c r="T17" s="2">
        <v>44165</v>
      </c>
      <c r="Y17" t="s">
        <v>4576</v>
      </c>
      <c r="AB17" t="s">
        <v>67</v>
      </c>
      <c r="AC17" t="s">
        <v>68</v>
      </c>
      <c r="AD17" t="s">
        <v>68</v>
      </c>
      <c r="AF17" t="s">
        <v>4574</v>
      </c>
      <c r="AI17" t="s">
        <v>73</v>
      </c>
      <c r="AJ17">
        <v>0</v>
      </c>
      <c r="AK17">
        <v>0</v>
      </c>
      <c r="AN17">
        <v>2</v>
      </c>
      <c r="AO17">
        <v>745</v>
      </c>
      <c r="AP17">
        <v>0.95599999999999996</v>
      </c>
      <c r="AV17">
        <v>-1</v>
      </c>
    </row>
    <row r="18" spans="1:48" x14ac:dyDescent="0.55000000000000004">
      <c r="A18" t="str">
        <f>HYPERLINK("https://www.infodis.net/philips/net/Shipment/Details?InfodisNumber=4567594&amp;DomainCode=DAP", "4567594")</f>
        <v>4567594</v>
      </c>
      <c r="B18" t="s">
        <v>4596</v>
      </c>
      <c r="C18" t="s">
        <v>4597</v>
      </c>
      <c r="D18" t="s">
        <v>4598</v>
      </c>
      <c r="E18" t="s">
        <v>4599</v>
      </c>
      <c r="F18" t="s">
        <v>291</v>
      </c>
      <c r="G18" t="s">
        <v>4600</v>
      </c>
      <c r="H18" t="s">
        <v>1263</v>
      </c>
      <c r="K18" t="s">
        <v>295</v>
      </c>
      <c r="L18" t="s">
        <v>296</v>
      </c>
      <c r="M18" t="s">
        <v>84</v>
      </c>
      <c r="P18" t="s">
        <v>4601</v>
      </c>
      <c r="R18" t="s">
        <v>300</v>
      </c>
      <c r="S18" s="2">
        <v>44161</v>
      </c>
      <c r="T18" s="2">
        <v>44161</v>
      </c>
      <c r="Y18" t="s">
        <v>4602</v>
      </c>
      <c r="AB18" t="s">
        <v>67</v>
      </c>
      <c r="AC18" t="s">
        <v>68</v>
      </c>
      <c r="AD18" t="s">
        <v>68</v>
      </c>
      <c r="AF18" t="s">
        <v>4574</v>
      </c>
      <c r="AI18" t="s">
        <v>73</v>
      </c>
      <c r="AJ18">
        <v>0</v>
      </c>
      <c r="AK18">
        <v>0</v>
      </c>
      <c r="AN18">
        <v>1</v>
      </c>
      <c r="AO18">
        <v>210</v>
      </c>
      <c r="AP18">
        <v>0.67200000000000004</v>
      </c>
      <c r="AV18">
        <v>-1</v>
      </c>
    </row>
    <row r="19" spans="1:48" x14ac:dyDescent="0.55000000000000004">
      <c r="A19" t="str">
        <f>HYPERLINK("https://www.infodis.net/philips/net/Shipment/Details?InfodisNumber=4567758&amp;DomainCode=DAP", "4567758")</f>
        <v>4567758</v>
      </c>
      <c r="B19" t="s">
        <v>4603</v>
      </c>
      <c r="C19" t="s">
        <v>2207</v>
      </c>
      <c r="D19" t="s">
        <v>2208</v>
      </c>
      <c r="E19" t="s">
        <v>2269</v>
      </c>
      <c r="F19" t="s">
        <v>1102</v>
      </c>
      <c r="G19" t="s">
        <v>259</v>
      </c>
      <c r="H19" t="s">
        <v>260</v>
      </c>
      <c r="K19" t="s">
        <v>797</v>
      </c>
      <c r="L19" t="s">
        <v>55</v>
      </c>
      <c r="M19" t="s">
        <v>60</v>
      </c>
      <c r="P19" t="s">
        <v>2211</v>
      </c>
      <c r="R19" t="s">
        <v>615</v>
      </c>
      <c r="S19" s="2">
        <v>44161</v>
      </c>
      <c r="T19" s="2">
        <v>44167</v>
      </c>
      <c r="Y19" t="s">
        <v>4566</v>
      </c>
      <c r="AB19" t="s">
        <v>67</v>
      </c>
      <c r="AC19" t="s">
        <v>68</v>
      </c>
      <c r="AD19" t="s">
        <v>68</v>
      </c>
      <c r="AF19" t="s">
        <v>70</v>
      </c>
      <c r="AI19" t="s">
        <v>73</v>
      </c>
      <c r="AJ19">
        <v>0</v>
      </c>
      <c r="AK19">
        <v>0</v>
      </c>
      <c r="AN19">
        <v>33</v>
      </c>
      <c r="AO19">
        <v>9999</v>
      </c>
      <c r="AP19">
        <v>76.031999999999996</v>
      </c>
      <c r="AV19">
        <v>-1</v>
      </c>
    </row>
    <row r="20" spans="1:48" x14ac:dyDescent="0.55000000000000004">
      <c r="A20" t="str">
        <f>HYPERLINK("https://www.infodis.net/philips/net/Shipment/Details?InfodisNumber=7016642&amp;DomainCode=PHILIPSR1", "7016642")</f>
        <v>7016642</v>
      </c>
      <c r="B20" t="s">
        <v>4604</v>
      </c>
      <c r="C20" t="s">
        <v>2580</v>
      </c>
      <c r="D20" t="s">
        <v>2581</v>
      </c>
      <c r="E20" t="s">
        <v>1187</v>
      </c>
      <c r="F20" t="s">
        <v>4605</v>
      </c>
      <c r="G20" t="s">
        <v>880</v>
      </c>
      <c r="H20" t="s">
        <v>881</v>
      </c>
      <c r="K20" t="s">
        <v>4606</v>
      </c>
      <c r="L20" t="s">
        <v>244</v>
      </c>
      <c r="M20" t="s">
        <v>60</v>
      </c>
      <c r="P20" t="s">
        <v>888</v>
      </c>
      <c r="R20" t="s">
        <v>4607</v>
      </c>
      <c r="S20" s="2">
        <v>44161</v>
      </c>
      <c r="T20" s="2">
        <v>44161</v>
      </c>
      <c r="Y20" t="s">
        <v>4608</v>
      </c>
      <c r="AB20" t="s">
        <v>67</v>
      </c>
      <c r="AC20" t="s">
        <v>68</v>
      </c>
      <c r="AD20" t="s">
        <v>68</v>
      </c>
      <c r="AF20" t="s">
        <v>4574</v>
      </c>
      <c r="AI20" t="s">
        <v>252</v>
      </c>
      <c r="AJ20">
        <v>0</v>
      </c>
      <c r="AK20">
        <v>0</v>
      </c>
      <c r="AN20">
        <v>1</v>
      </c>
      <c r="AO20">
        <v>180</v>
      </c>
      <c r="AP20">
        <v>1.696</v>
      </c>
      <c r="AV20">
        <v>-1</v>
      </c>
    </row>
    <row r="21" spans="1:48" x14ac:dyDescent="0.55000000000000004">
      <c r="A21" t="str">
        <f>HYPERLINK("https://www.infodis.net/philips/net/Shipment/Details?InfodisNumber=4567778&amp;DomainCode=DAP", "4567778")</f>
        <v>4567778</v>
      </c>
      <c r="B21" t="s">
        <v>4609</v>
      </c>
      <c r="C21" t="s">
        <v>2207</v>
      </c>
      <c r="D21" t="s">
        <v>2208</v>
      </c>
      <c r="E21" t="s">
        <v>2269</v>
      </c>
      <c r="F21" t="s">
        <v>1102</v>
      </c>
      <c r="G21" t="s">
        <v>259</v>
      </c>
      <c r="H21" t="s">
        <v>260</v>
      </c>
      <c r="K21" t="s">
        <v>797</v>
      </c>
      <c r="L21" t="s">
        <v>55</v>
      </c>
      <c r="M21" t="s">
        <v>60</v>
      </c>
      <c r="P21" t="s">
        <v>2211</v>
      </c>
      <c r="R21" t="s">
        <v>615</v>
      </c>
      <c r="S21" s="2">
        <v>44161</v>
      </c>
      <c r="T21" s="2">
        <v>44168</v>
      </c>
      <c r="Y21" t="s">
        <v>4566</v>
      </c>
      <c r="AB21" t="s">
        <v>67</v>
      </c>
      <c r="AC21" t="s">
        <v>68</v>
      </c>
      <c r="AD21" t="s">
        <v>68</v>
      </c>
      <c r="AF21" t="s">
        <v>70</v>
      </c>
      <c r="AI21" t="s">
        <v>73</v>
      </c>
      <c r="AJ21">
        <v>0</v>
      </c>
      <c r="AK21">
        <v>0</v>
      </c>
      <c r="AN21">
        <v>33</v>
      </c>
      <c r="AO21">
        <v>9999</v>
      </c>
      <c r="AP21">
        <v>76.031999999999996</v>
      </c>
      <c r="AV21">
        <v>-1</v>
      </c>
    </row>
    <row r="22" spans="1:48" x14ac:dyDescent="0.55000000000000004">
      <c r="A22" t="str">
        <f>HYPERLINK("https://www.infodis.net/philips/net/Shipment/Details?InfodisNumber=4567759&amp;DomainCode=DAP", "4567759")</f>
        <v>4567759</v>
      </c>
      <c r="B22" t="s">
        <v>4610</v>
      </c>
      <c r="C22" t="s">
        <v>2207</v>
      </c>
      <c r="D22" t="s">
        <v>2208</v>
      </c>
      <c r="E22" t="s">
        <v>2269</v>
      </c>
      <c r="F22" t="s">
        <v>1102</v>
      </c>
      <c r="G22" t="s">
        <v>259</v>
      </c>
      <c r="H22" t="s">
        <v>260</v>
      </c>
      <c r="K22" t="s">
        <v>797</v>
      </c>
      <c r="L22" t="s">
        <v>55</v>
      </c>
      <c r="M22" t="s">
        <v>60</v>
      </c>
      <c r="P22" t="s">
        <v>2211</v>
      </c>
      <c r="R22" t="s">
        <v>615</v>
      </c>
      <c r="S22" s="2">
        <v>44161</v>
      </c>
      <c r="T22" s="2">
        <v>44167</v>
      </c>
      <c r="Y22" t="s">
        <v>4566</v>
      </c>
      <c r="AB22" t="s">
        <v>67</v>
      </c>
      <c r="AC22" t="s">
        <v>68</v>
      </c>
      <c r="AD22" t="s">
        <v>68</v>
      </c>
      <c r="AF22" t="s">
        <v>70</v>
      </c>
      <c r="AI22" t="s">
        <v>73</v>
      </c>
      <c r="AJ22">
        <v>0</v>
      </c>
      <c r="AK22">
        <v>0</v>
      </c>
      <c r="AN22">
        <v>33</v>
      </c>
      <c r="AO22">
        <v>9999</v>
      </c>
      <c r="AP22">
        <v>76.031999999999996</v>
      </c>
      <c r="AV22">
        <v>-1</v>
      </c>
    </row>
    <row r="23" spans="1:48" x14ac:dyDescent="0.55000000000000004">
      <c r="A23" t="str">
        <f>HYPERLINK("https://www.infodis.net/philips/net/Shipment/Details?InfodisNumber=1585895&amp;DomainCode=PHILIPSM1", "1585895")</f>
        <v>1585895</v>
      </c>
      <c r="B23" t="s">
        <v>4611</v>
      </c>
      <c r="C23" t="s">
        <v>4570</v>
      </c>
      <c r="D23" t="s">
        <v>4571</v>
      </c>
      <c r="E23" t="s">
        <v>4572</v>
      </c>
      <c r="F23" t="s">
        <v>4612</v>
      </c>
      <c r="G23" t="s">
        <v>1430</v>
      </c>
      <c r="H23" t="s">
        <v>244</v>
      </c>
      <c r="K23" t="s">
        <v>4613</v>
      </c>
      <c r="L23" t="s">
        <v>244</v>
      </c>
      <c r="M23" t="s">
        <v>60</v>
      </c>
      <c r="P23" t="s">
        <v>1432</v>
      </c>
      <c r="R23" t="s">
        <v>4614</v>
      </c>
      <c r="S23" s="2">
        <v>44161</v>
      </c>
      <c r="T23" s="2">
        <v>44161</v>
      </c>
      <c r="Y23" t="s">
        <v>4576</v>
      </c>
      <c r="AB23" t="s">
        <v>67</v>
      </c>
      <c r="AC23" t="s">
        <v>68</v>
      </c>
      <c r="AD23" t="s">
        <v>68</v>
      </c>
      <c r="AF23" t="s">
        <v>4574</v>
      </c>
      <c r="AI23" t="s">
        <v>605</v>
      </c>
      <c r="AJ23">
        <v>0</v>
      </c>
      <c r="AK23">
        <v>0</v>
      </c>
      <c r="AN23">
        <v>1</v>
      </c>
      <c r="AO23">
        <v>68</v>
      </c>
      <c r="AP23">
        <v>1.1519999999999999</v>
      </c>
      <c r="AV23">
        <v>-1</v>
      </c>
    </row>
    <row r="24" spans="1:48" x14ac:dyDescent="0.55000000000000004">
      <c r="A24" t="str">
        <f>HYPERLINK("https://www.infodis.net/philips/net/Shipment/Details?InfodisNumber=1585898&amp;DomainCode=PHILIPSM1", "1585898")</f>
        <v>1585898</v>
      </c>
      <c r="B24" t="s">
        <v>4615</v>
      </c>
      <c r="C24" t="s">
        <v>4570</v>
      </c>
      <c r="D24" t="s">
        <v>4571</v>
      </c>
      <c r="E24" t="s">
        <v>4572</v>
      </c>
      <c r="F24" t="s">
        <v>4616</v>
      </c>
      <c r="G24" t="s">
        <v>1430</v>
      </c>
      <c r="H24" t="s">
        <v>244</v>
      </c>
      <c r="K24" t="s">
        <v>2763</v>
      </c>
      <c r="L24" t="s">
        <v>296</v>
      </c>
      <c r="M24" t="s">
        <v>60</v>
      </c>
      <c r="P24" t="s">
        <v>1432</v>
      </c>
      <c r="R24" t="s">
        <v>4617</v>
      </c>
      <c r="S24" s="2">
        <v>44161</v>
      </c>
      <c r="T24" s="2">
        <v>44161</v>
      </c>
      <c r="Y24" t="s">
        <v>4576</v>
      </c>
      <c r="AB24" t="s">
        <v>67</v>
      </c>
      <c r="AC24" t="s">
        <v>68</v>
      </c>
      <c r="AD24" t="s">
        <v>68</v>
      </c>
      <c r="AF24" t="s">
        <v>4574</v>
      </c>
      <c r="AI24" t="s">
        <v>605</v>
      </c>
      <c r="AJ24">
        <v>0</v>
      </c>
      <c r="AK24">
        <v>0</v>
      </c>
      <c r="AN24">
        <v>1</v>
      </c>
      <c r="AO24">
        <v>92</v>
      </c>
      <c r="AP24">
        <v>1.44</v>
      </c>
      <c r="AV24">
        <v>-1</v>
      </c>
    </row>
    <row r="25" spans="1:48" x14ac:dyDescent="0.55000000000000004">
      <c r="A25" t="str">
        <f>HYPERLINK("https://www.infodis.net/philips/net/Shipment/Details?InfodisNumber=1423246&amp;DomainCode=PHILIPSM1", "1423246")</f>
        <v>1423246</v>
      </c>
      <c r="B25" t="s">
        <v>4618</v>
      </c>
      <c r="C25" t="s">
        <v>4619</v>
      </c>
      <c r="D25" t="s">
        <v>4620</v>
      </c>
      <c r="E25" t="s">
        <v>4619</v>
      </c>
      <c r="F25" t="s">
        <v>4621</v>
      </c>
      <c r="G25" t="s">
        <v>4622</v>
      </c>
      <c r="H25" t="s">
        <v>55</v>
      </c>
      <c r="K25" t="s">
        <v>3867</v>
      </c>
      <c r="L25" t="s">
        <v>55</v>
      </c>
      <c r="M25" t="s">
        <v>84</v>
      </c>
      <c r="P25" t="s">
        <v>4623</v>
      </c>
      <c r="R25" t="s">
        <v>3868</v>
      </c>
      <c r="S25" s="2">
        <v>44159</v>
      </c>
      <c r="T25" s="2">
        <v>44161</v>
      </c>
      <c r="Y25" t="s">
        <v>4624</v>
      </c>
      <c r="AB25" t="s">
        <v>67</v>
      </c>
      <c r="AC25" t="s">
        <v>68</v>
      </c>
      <c r="AD25" t="s">
        <v>68</v>
      </c>
      <c r="AF25" t="s">
        <v>70</v>
      </c>
      <c r="AI25" t="s">
        <v>3933</v>
      </c>
      <c r="AJ25">
        <v>0</v>
      </c>
      <c r="AK25">
        <v>0</v>
      </c>
      <c r="AN25">
        <v>1</v>
      </c>
      <c r="AO25">
        <v>30</v>
      </c>
      <c r="AP25">
        <v>0.48</v>
      </c>
      <c r="AV25">
        <v>-1</v>
      </c>
    </row>
    <row r="26" spans="1:48" x14ac:dyDescent="0.55000000000000004">
      <c r="A26" t="str">
        <f>HYPERLINK("https://www.infodis.net/philips/net/Shipment/Details?InfodisNumber=1582864&amp;DomainCode=PHILIPSM1", "1582864")</f>
        <v>1582864</v>
      </c>
      <c r="B26" t="s">
        <v>4625</v>
      </c>
      <c r="C26" t="s">
        <v>4570</v>
      </c>
      <c r="D26" t="s">
        <v>4571</v>
      </c>
      <c r="E26" t="s">
        <v>4572</v>
      </c>
      <c r="F26" t="s">
        <v>4589</v>
      </c>
      <c r="G26" t="s">
        <v>1430</v>
      </c>
      <c r="H26" t="s">
        <v>244</v>
      </c>
      <c r="K26" t="s">
        <v>3867</v>
      </c>
      <c r="L26" t="s">
        <v>55</v>
      </c>
      <c r="M26" t="s">
        <v>60</v>
      </c>
      <c r="P26" t="s">
        <v>1432</v>
      </c>
      <c r="R26" t="s">
        <v>3868</v>
      </c>
      <c r="S26" s="2">
        <v>44159</v>
      </c>
      <c r="T26" s="2">
        <v>44160</v>
      </c>
      <c r="U26" s="2">
        <v>44160</v>
      </c>
      <c r="Y26" t="s">
        <v>4576</v>
      </c>
      <c r="AB26" t="s">
        <v>67</v>
      </c>
      <c r="AC26" t="s">
        <v>68</v>
      </c>
      <c r="AD26" t="s">
        <v>68</v>
      </c>
      <c r="AF26" t="s">
        <v>4574</v>
      </c>
      <c r="AI26" t="s">
        <v>605</v>
      </c>
      <c r="AJ26">
        <v>0</v>
      </c>
      <c r="AK26">
        <v>0</v>
      </c>
      <c r="AN26">
        <v>2</v>
      </c>
      <c r="AO26">
        <v>62.5</v>
      </c>
      <c r="AP26">
        <v>3.0720000000000001</v>
      </c>
      <c r="AV26">
        <v>-1</v>
      </c>
    </row>
    <row r="27" spans="1:48" x14ac:dyDescent="0.55000000000000004">
      <c r="A27" t="str">
        <f>HYPERLINK("https://www.infodis.net/philips/net/Shipment/Details?InfodisNumber=7008699&amp;DomainCode=PHILIPSR1", "7008699")</f>
        <v>7008699</v>
      </c>
      <c r="B27" t="s">
        <v>4626</v>
      </c>
      <c r="C27" t="s">
        <v>4627</v>
      </c>
      <c r="D27" t="s">
        <v>4628</v>
      </c>
      <c r="E27" t="s">
        <v>4629</v>
      </c>
      <c r="F27" t="s">
        <v>609</v>
      </c>
      <c r="G27" t="s">
        <v>4630</v>
      </c>
      <c r="H27" t="s">
        <v>244</v>
      </c>
      <c r="K27" t="s">
        <v>611</v>
      </c>
      <c r="L27" t="s">
        <v>55</v>
      </c>
      <c r="M27" t="s">
        <v>60</v>
      </c>
      <c r="P27" t="s">
        <v>250</v>
      </c>
      <c r="R27" t="s">
        <v>615</v>
      </c>
      <c r="S27" s="2">
        <v>44159</v>
      </c>
      <c r="T27" s="2">
        <v>44160</v>
      </c>
      <c r="Y27" t="s">
        <v>4631</v>
      </c>
      <c r="AB27" t="s">
        <v>67</v>
      </c>
      <c r="AC27" t="s">
        <v>68</v>
      </c>
      <c r="AD27" t="s">
        <v>68</v>
      </c>
      <c r="AF27" t="s">
        <v>4574</v>
      </c>
      <c r="AI27" t="s">
        <v>252</v>
      </c>
      <c r="AJ27">
        <v>0</v>
      </c>
      <c r="AK27">
        <v>0</v>
      </c>
      <c r="AN27">
        <v>4</v>
      </c>
      <c r="AO27">
        <v>280</v>
      </c>
      <c r="AP27">
        <v>5.9039999999999999</v>
      </c>
      <c r="AV27">
        <v>-1</v>
      </c>
    </row>
    <row r="28" spans="1:48" x14ac:dyDescent="0.55000000000000004">
      <c r="A28" t="str">
        <f>HYPERLINK("https://www.infodis.net/philips/net/Shipment/Details?InfodisNumber=7008698&amp;DomainCode=PHILIPSR1", "7008698")</f>
        <v>7008698</v>
      </c>
      <c r="B28" t="s">
        <v>4632</v>
      </c>
      <c r="C28" t="s">
        <v>4627</v>
      </c>
      <c r="D28" t="s">
        <v>4628</v>
      </c>
      <c r="E28" t="s">
        <v>4629</v>
      </c>
      <c r="F28" t="s">
        <v>609</v>
      </c>
      <c r="G28" t="s">
        <v>4630</v>
      </c>
      <c r="H28" t="s">
        <v>244</v>
      </c>
      <c r="K28" t="s">
        <v>611</v>
      </c>
      <c r="L28" t="s">
        <v>55</v>
      </c>
      <c r="M28" t="s">
        <v>60</v>
      </c>
      <c r="P28" t="s">
        <v>250</v>
      </c>
      <c r="R28" t="s">
        <v>615</v>
      </c>
      <c r="S28" s="2">
        <v>44159</v>
      </c>
      <c r="T28" s="2">
        <v>44160</v>
      </c>
      <c r="Y28" t="s">
        <v>4631</v>
      </c>
      <c r="AB28" t="s">
        <v>67</v>
      </c>
      <c r="AC28" t="s">
        <v>68</v>
      </c>
      <c r="AD28" t="s">
        <v>68</v>
      </c>
      <c r="AF28" t="s">
        <v>4574</v>
      </c>
      <c r="AI28" t="s">
        <v>252</v>
      </c>
      <c r="AJ28">
        <v>0</v>
      </c>
      <c r="AK28">
        <v>0</v>
      </c>
      <c r="AN28">
        <v>32</v>
      </c>
      <c r="AO28">
        <v>2720</v>
      </c>
      <c r="AP28">
        <v>47.231999999999999</v>
      </c>
      <c r="AV28">
        <v>-1</v>
      </c>
    </row>
    <row r="29" spans="1:48" x14ac:dyDescent="0.55000000000000004">
      <c r="A29" t="str">
        <f>HYPERLINK("https://www.infodis.net/philips/net/Shipment/Details?InfodisNumber=4564001&amp;DomainCode=DAP", "4564001")</f>
        <v>4564001</v>
      </c>
      <c r="B29" t="s">
        <v>4633</v>
      </c>
      <c r="C29" t="s">
        <v>212</v>
      </c>
      <c r="D29" t="s">
        <v>213</v>
      </c>
      <c r="E29" t="s">
        <v>214</v>
      </c>
      <c r="F29" t="s">
        <v>4634</v>
      </c>
      <c r="G29" t="s">
        <v>216</v>
      </c>
      <c r="H29" t="s">
        <v>55</v>
      </c>
      <c r="K29" t="s">
        <v>4635</v>
      </c>
      <c r="L29" t="s">
        <v>307</v>
      </c>
      <c r="M29" t="s">
        <v>60</v>
      </c>
      <c r="O29" t="s">
        <v>4636</v>
      </c>
      <c r="P29" t="s">
        <v>2369</v>
      </c>
      <c r="R29" t="s">
        <v>4637</v>
      </c>
      <c r="S29" s="2">
        <v>44155</v>
      </c>
      <c r="T29" s="2">
        <v>44161</v>
      </c>
      <c r="U29" s="2">
        <v>44160</v>
      </c>
      <c r="Y29" t="s">
        <v>4576</v>
      </c>
      <c r="AB29" t="s">
        <v>67</v>
      </c>
      <c r="AC29" t="s">
        <v>68</v>
      </c>
      <c r="AD29" t="s">
        <v>68</v>
      </c>
      <c r="AF29" t="s">
        <v>70</v>
      </c>
      <c r="AI29" t="s">
        <v>73</v>
      </c>
      <c r="AJ29">
        <v>0</v>
      </c>
      <c r="AK29">
        <v>0</v>
      </c>
      <c r="AN29">
        <v>6</v>
      </c>
      <c r="AO29">
        <v>579.86</v>
      </c>
      <c r="AP29">
        <v>6.7770000000000001</v>
      </c>
      <c r="AV29">
        <v>-1</v>
      </c>
    </row>
    <row r="30" spans="1:48" x14ac:dyDescent="0.55000000000000004">
      <c r="A30" t="str">
        <f>HYPERLINK("https://www.infodis.net/philips/net/Shipment/Details?InfodisNumber=4564028&amp;DomainCode=DAP", "4564028")</f>
        <v>4564028</v>
      </c>
      <c r="B30" t="s">
        <v>4638</v>
      </c>
      <c r="C30" t="s">
        <v>2207</v>
      </c>
      <c r="D30" t="s">
        <v>2208</v>
      </c>
      <c r="E30" t="s">
        <v>2269</v>
      </c>
      <c r="F30" t="s">
        <v>1102</v>
      </c>
      <c r="G30" t="s">
        <v>259</v>
      </c>
      <c r="H30" t="s">
        <v>260</v>
      </c>
      <c r="K30" t="s">
        <v>797</v>
      </c>
      <c r="L30" t="s">
        <v>55</v>
      </c>
      <c r="M30" t="s">
        <v>60</v>
      </c>
      <c r="P30" t="s">
        <v>2211</v>
      </c>
      <c r="R30" t="s">
        <v>615</v>
      </c>
      <c r="S30" s="2">
        <v>44155</v>
      </c>
      <c r="T30" s="2">
        <v>44160</v>
      </c>
      <c r="Y30" t="s">
        <v>4566</v>
      </c>
      <c r="AB30" t="s">
        <v>67</v>
      </c>
      <c r="AC30" t="s">
        <v>68</v>
      </c>
      <c r="AD30" t="s">
        <v>68</v>
      </c>
      <c r="AF30" t="s">
        <v>70</v>
      </c>
      <c r="AI30" t="s">
        <v>73</v>
      </c>
      <c r="AJ30">
        <v>0</v>
      </c>
      <c r="AK30">
        <v>0</v>
      </c>
      <c r="AN30">
        <v>33</v>
      </c>
      <c r="AO30">
        <v>9999</v>
      </c>
      <c r="AP30">
        <v>76.031999999999996</v>
      </c>
      <c r="AV30">
        <v>-1</v>
      </c>
    </row>
    <row r="31" spans="1:48" x14ac:dyDescent="0.55000000000000004">
      <c r="A31" t="str">
        <f>HYPERLINK("https://www.infodis.net/philips/net/Shipment/Details?InfodisNumber=4564030&amp;DomainCode=DAP", "4564030")</f>
        <v>4564030</v>
      </c>
      <c r="B31" t="s">
        <v>4639</v>
      </c>
      <c r="C31" t="s">
        <v>2207</v>
      </c>
      <c r="D31" t="s">
        <v>2208</v>
      </c>
      <c r="E31" t="s">
        <v>2269</v>
      </c>
      <c r="F31" t="s">
        <v>1102</v>
      </c>
      <c r="G31" t="s">
        <v>259</v>
      </c>
      <c r="H31" t="s">
        <v>260</v>
      </c>
      <c r="K31" t="s">
        <v>797</v>
      </c>
      <c r="L31" t="s">
        <v>55</v>
      </c>
      <c r="M31" t="s">
        <v>60</v>
      </c>
      <c r="P31" t="s">
        <v>2211</v>
      </c>
      <c r="R31" t="s">
        <v>615</v>
      </c>
      <c r="S31" s="2">
        <v>44155</v>
      </c>
      <c r="T31" s="2">
        <v>44160</v>
      </c>
      <c r="Y31" t="s">
        <v>4566</v>
      </c>
      <c r="AB31" t="s">
        <v>67</v>
      </c>
      <c r="AC31" t="s">
        <v>68</v>
      </c>
      <c r="AD31" t="s">
        <v>68</v>
      </c>
      <c r="AF31" t="s">
        <v>70</v>
      </c>
      <c r="AI31" t="s">
        <v>73</v>
      </c>
      <c r="AJ31">
        <v>0</v>
      </c>
      <c r="AK31">
        <v>0</v>
      </c>
      <c r="AN31">
        <v>33</v>
      </c>
      <c r="AO31">
        <v>9999</v>
      </c>
      <c r="AP31">
        <v>76.031999999999996</v>
      </c>
      <c r="AV31">
        <v>-1</v>
      </c>
    </row>
    <row r="32" spans="1:48" x14ac:dyDescent="0.55000000000000004">
      <c r="A32" t="str">
        <f>HYPERLINK("https://www.infodis.net/philips/net/Shipment/Details?InfodisNumber=4535005&amp;DomainCode=DAP", "4535005")</f>
        <v>4535005</v>
      </c>
      <c r="B32" t="s">
        <v>4640</v>
      </c>
      <c r="C32" t="s">
        <v>212</v>
      </c>
      <c r="D32" t="s">
        <v>213</v>
      </c>
      <c r="E32" t="s">
        <v>304</v>
      </c>
      <c r="F32" t="s">
        <v>215</v>
      </c>
      <c r="G32" t="s">
        <v>216</v>
      </c>
      <c r="H32" t="s">
        <v>55</v>
      </c>
      <c r="K32" t="s">
        <v>306</v>
      </c>
      <c r="L32" t="s">
        <v>307</v>
      </c>
      <c r="M32" t="s">
        <v>60</v>
      </c>
      <c r="P32" t="s">
        <v>222</v>
      </c>
      <c r="R32" t="s">
        <v>312</v>
      </c>
      <c r="S32" s="2">
        <v>44119</v>
      </c>
      <c r="T32" s="2">
        <v>44123</v>
      </c>
      <c r="U32" s="2">
        <v>44123</v>
      </c>
      <c r="Y32" t="s">
        <v>940</v>
      </c>
      <c r="AB32" t="s">
        <v>67</v>
      </c>
      <c r="AC32" t="s">
        <v>68</v>
      </c>
      <c r="AD32" t="s">
        <v>68</v>
      </c>
      <c r="AF32" t="s">
        <v>70</v>
      </c>
      <c r="AI32" t="s">
        <v>73</v>
      </c>
      <c r="AJ32">
        <v>0</v>
      </c>
      <c r="AK32">
        <v>0</v>
      </c>
      <c r="AN32">
        <v>0</v>
      </c>
      <c r="AO32">
        <v>148.09200000000001</v>
      </c>
      <c r="AP32">
        <v>1.44</v>
      </c>
      <c r="AV32">
        <v>-1</v>
      </c>
    </row>
    <row r="33" spans="1:49" x14ac:dyDescent="0.55000000000000004">
      <c r="A33" t="str">
        <f>HYPERLINK("https://www.infodis.net/philips/net/Shipment/Details?InfodisNumber=4560350&amp;DomainCode=DAP", "4560350")</f>
        <v>4560350</v>
      </c>
      <c r="B33" t="s">
        <v>4641</v>
      </c>
      <c r="C33" t="s">
        <v>3597</v>
      </c>
      <c r="D33" t="s">
        <v>3598</v>
      </c>
      <c r="E33" t="s">
        <v>2048</v>
      </c>
      <c r="F33" t="s">
        <v>4642</v>
      </c>
      <c r="G33" t="s">
        <v>1262</v>
      </c>
      <c r="H33" t="s">
        <v>1263</v>
      </c>
      <c r="K33" t="s">
        <v>452</v>
      </c>
      <c r="L33" t="s">
        <v>453</v>
      </c>
      <c r="M33" t="s">
        <v>60</v>
      </c>
      <c r="P33" t="s">
        <v>1264</v>
      </c>
      <c r="R33" t="s">
        <v>454</v>
      </c>
      <c r="S33" s="2">
        <v>44153</v>
      </c>
      <c r="T33" s="2">
        <v>44159</v>
      </c>
      <c r="U33" s="2">
        <v>44159</v>
      </c>
      <c r="Y33" t="s">
        <v>4643</v>
      </c>
      <c r="AB33" t="s">
        <v>67</v>
      </c>
      <c r="AC33" t="s">
        <v>68</v>
      </c>
      <c r="AD33" t="s">
        <v>68</v>
      </c>
      <c r="AF33" t="s">
        <v>70</v>
      </c>
      <c r="AI33" t="s">
        <v>73</v>
      </c>
      <c r="AJ33">
        <v>0</v>
      </c>
      <c r="AK33">
        <v>0</v>
      </c>
      <c r="AN33">
        <v>13</v>
      </c>
      <c r="AO33">
        <v>2375.1179999999999</v>
      </c>
      <c r="AP33">
        <v>21.140999999999998</v>
      </c>
      <c r="AV33">
        <v>-1</v>
      </c>
    </row>
    <row r="34" spans="1:49" x14ac:dyDescent="0.55000000000000004">
      <c r="A34" s="3" t="str">
        <f>HYPERLINK("https://www.infodis.net/philips/net/Shipment/Details?InfodisNumber=1563168&amp;DomainCode=PHILIPSM1", "1563168")</f>
        <v>1563168</v>
      </c>
      <c r="B34" s="3" t="s">
        <v>4644</v>
      </c>
      <c r="C34" s="3" t="s">
        <v>4570</v>
      </c>
      <c r="D34" s="3" t="s">
        <v>4571</v>
      </c>
      <c r="E34" s="3" t="s">
        <v>4572</v>
      </c>
      <c r="F34" s="3" t="s">
        <v>4589</v>
      </c>
      <c r="G34" s="3" t="s">
        <v>1430</v>
      </c>
      <c r="H34" s="3" t="s">
        <v>244</v>
      </c>
      <c r="I34" s="3"/>
      <c r="J34" s="3"/>
      <c r="K34" s="3" t="s">
        <v>3867</v>
      </c>
      <c r="L34" s="3" t="s">
        <v>55</v>
      </c>
      <c r="M34" s="3" t="s">
        <v>60</v>
      </c>
      <c r="N34" s="3"/>
      <c r="O34" s="3"/>
      <c r="P34" s="3" t="s">
        <v>1432</v>
      </c>
      <c r="Q34" s="3"/>
      <c r="R34" s="3" t="s">
        <v>3868</v>
      </c>
      <c r="S34" s="4">
        <v>44151</v>
      </c>
      <c r="T34" s="4">
        <v>44152</v>
      </c>
      <c r="U34" s="4">
        <v>44152</v>
      </c>
      <c r="V34" s="3"/>
      <c r="W34" s="3"/>
      <c r="X34" s="3"/>
      <c r="Y34" s="3" t="s">
        <v>4576</v>
      </c>
      <c r="Z34" s="3"/>
      <c r="AA34" s="3"/>
      <c r="AB34" s="3" t="s">
        <v>67</v>
      </c>
      <c r="AC34" s="3" t="s">
        <v>68</v>
      </c>
      <c r="AD34" s="3" t="s">
        <v>68</v>
      </c>
      <c r="AE34" s="3"/>
      <c r="AF34" s="3" t="s">
        <v>4574</v>
      </c>
      <c r="AG34" s="3"/>
      <c r="AH34" s="3"/>
      <c r="AI34" s="3" t="s">
        <v>605</v>
      </c>
      <c r="AJ34" s="3">
        <v>0</v>
      </c>
      <c r="AK34" s="3">
        <v>0</v>
      </c>
      <c r="AL34" s="3"/>
      <c r="AM34" s="3"/>
      <c r="AN34" s="3">
        <v>1</v>
      </c>
      <c r="AO34" s="3">
        <v>62</v>
      </c>
      <c r="AP34" s="3">
        <v>0</v>
      </c>
      <c r="AQ34" s="3" t="s">
        <v>713</v>
      </c>
      <c r="AR34" s="3" t="s">
        <v>714</v>
      </c>
      <c r="AS34" s="3" t="s">
        <v>713</v>
      </c>
      <c r="AT34" s="4">
        <v>44138</v>
      </c>
      <c r="AU34" s="3" t="s">
        <v>4645</v>
      </c>
      <c r="AV34" s="3">
        <v>24</v>
      </c>
      <c r="AW34" s="3" t="s">
        <v>4646</v>
      </c>
    </row>
    <row r="35" spans="1:49" x14ac:dyDescent="0.55000000000000004">
      <c r="A35" s="3" t="str">
        <f>HYPERLINK("https://www.infodis.net/philips/net/Shipment/Details?InfodisNumber=1558232&amp;DomainCode=PHILIPSM1", "1558232")</f>
        <v>1558232</v>
      </c>
      <c r="B35" s="3" t="s">
        <v>4647</v>
      </c>
      <c r="C35" s="3" t="s">
        <v>4570</v>
      </c>
      <c r="D35" s="3" t="s">
        <v>4571</v>
      </c>
      <c r="E35" s="3" t="s">
        <v>4572</v>
      </c>
      <c r="F35" s="3" t="s">
        <v>4579</v>
      </c>
      <c r="G35" s="3" t="s">
        <v>1430</v>
      </c>
      <c r="H35" s="3" t="s">
        <v>244</v>
      </c>
      <c r="I35" s="3"/>
      <c r="J35" s="3"/>
      <c r="K35" s="3" t="s">
        <v>4580</v>
      </c>
      <c r="L35" s="3" t="s">
        <v>244</v>
      </c>
      <c r="M35" s="3" t="s">
        <v>60</v>
      </c>
      <c r="N35" s="3"/>
      <c r="O35" s="3"/>
      <c r="P35" s="3" t="s">
        <v>1432</v>
      </c>
      <c r="Q35" s="3"/>
      <c r="R35" s="3" t="s">
        <v>4581</v>
      </c>
      <c r="S35" s="4">
        <v>44144</v>
      </c>
      <c r="T35" s="4">
        <v>44144</v>
      </c>
      <c r="U35" s="4">
        <v>44144</v>
      </c>
      <c r="V35" s="3"/>
      <c r="W35" s="3"/>
      <c r="X35" s="3"/>
      <c r="Y35" s="3" t="s">
        <v>4576</v>
      </c>
      <c r="Z35" s="3"/>
      <c r="AA35" s="3"/>
      <c r="AB35" s="3" t="s">
        <v>67</v>
      </c>
      <c r="AC35" s="3" t="s">
        <v>68</v>
      </c>
      <c r="AD35" s="3" t="s">
        <v>68</v>
      </c>
      <c r="AE35" s="3"/>
      <c r="AF35" s="3" t="s">
        <v>4574</v>
      </c>
      <c r="AG35" s="3"/>
      <c r="AH35" s="3"/>
      <c r="AI35" s="3" t="s">
        <v>605</v>
      </c>
      <c r="AJ35" s="3">
        <v>0</v>
      </c>
      <c r="AK35" s="3">
        <v>0</v>
      </c>
      <c r="AL35" s="3"/>
      <c r="AM35" s="3"/>
      <c r="AN35" s="3">
        <v>5</v>
      </c>
      <c r="AO35" s="3">
        <v>366</v>
      </c>
      <c r="AP35" s="3">
        <v>8.0640000000000001</v>
      </c>
      <c r="AQ35" s="3" t="s">
        <v>713</v>
      </c>
      <c r="AR35" s="3" t="s">
        <v>714</v>
      </c>
      <c r="AS35" s="3" t="s">
        <v>713</v>
      </c>
      <c r="AT35" s="4">
        <v>44138</v>
      </c>
      <c r="AU35" s="3" t="s">
        <v>4645</v>
      </c>
      <c r="AV35" s="3">
        <v>24</v>
      </c>
      <c r="AW35" s="3" t="s">
        <v>4646</v>
      </c>
    </row>
    <row r="36" spans="1:49" x14ac:dyDescent="0.55000000000000004">
      <c r="A36" s="3" t="str">
        <f>HYPERLINK("https://www.infodis.net/philips/net/Shipment/Details?InfodisNumber=1557756&amp;DomainCode=PHILIPSM1", "1557756")</f>
        <v>1557756</v>
      </c>
      <c r="B36" s="3" t="s">
        <v>4648</v>
      </c>
      <c r="C36" s="3" t="s">
        <v>4570</v>
      </c>
      <c r="D36" s="3" t="s">
        <v>4571</v>
      </c>
      <c r="E36" s="3" t="s">
        <v>4572</v>
      </c>
      <c r="F36" s="3" t="s">
        <v>4649</v>
      </c>
      <c r="G36" s="3" t="s">
        <v>1430</v>
      </c>
      <c r="H36" s="3" t="s">
        <v>244</v>
      </c>
      <c r="I36" s="3"/>
      <c r="J36" s="3"/>
      <c r="K36" s="3" t="s">
        <v>3344</v>
      </c>
      <c r="L36" s="3" t="s">
        <v>55</v>
      </c>
      <c r="M36" s="3" t="s">
        <v>60</v>
      </c>
      <c r="N36" s="3"/>
      <c r="O36" s="3"/>
      <c r="P36" s="3" t="s">
        <v>1432</v>
      </c>
      <c r="Q36" s="3"/>
      <c r="R36" s="3" t="s">
        <v>4650</v>
      </c>
      <c r="S36" s="4">
        <v>44139</v>
      </c>
      <c r="T36" s="4">
        <v>44139</v>
      </c>
      <c r="U36" s="3"/>
      <c r="V36" s="3"/>
      <c r="W36" s="3"/>
      <c r="X36" s="3"/>
      <c r="Y36" s="3" t="s">
        <v>4576</v>
      </c>
      <c r="Z36" s="3"/>
      <c r="AA36" s="3"/>
      <c r="AB36" s="3" t="s">
        <v>67</v>
      </c>
      <c r="AC36" s="3" t="s">
        <v>68</v>
      </c>
      <c r="AD36" s="3" t="s">
        <v>68</v>
      </c>
      <c r="AE36" s="3"/>
      <c r="AF36" s="3" t="s">
        <v>4574</v>
      </c>
      <c r="AG36" s="3"/>
      <c r="AH36" s="3"/>
      <c r="AI36" s="3" t="s">
        <v>605</v>
      </c>
      <c r="AJ36" s="3">
        <v>0</v>
      </c>
      <c r="AK36" s="3">
        <v>0</v>
      </c>
      <c r="AL36" s="3"/>
      <c r="AM36" s="3"/>
      <c r="AN36" s="3">
        <v>1</v>
      </c>
      <c r="AO36" s="3">
        <v>195</v>
      </c>
      <c r="AP36" s="3">
        <v>5.976</v>
      </c>
      <c r="AQ36" s="3" t="s">
        <v>713</v>
      </c>
      <c r="AR36" s="3" t="s">
        <v>714</v>
      </c>
      <c r="AS36" s="3" t="s">
        <v>713</v>
      </c>
      <c r="AT36" s="4">
        <v>44138</v>
      </c>
      <c r="AU36" s="3" t="s">
        <v>4645</v>
      </c>
      <c r="AV36" s="3">
        <v>24</v>
      </c>
      <c r="AW36" s="3" t="s">
        <v>4646</v>
      </c>
    </row>
    <row r="37" spans="1:49" x14ac:dyDescent="0.55000000000000004">
      <c r="A37" s="3" t="str">
        <f>HYPERLINK("https://www.infodis.net/philips/net/Shipment/Details?InfodisNumber=1557769&amp;DomainCode=PHILIPSM1", "1557769")</f>
        <v>1557769</v>
      </c>
      <c r="B37" s="3" t="s">
        <v>4651</v>
      </c>
      <c r="C37" s="3" t="s">
        <v>4570</v>
      </c>
      <c r="D37" s="3" t="s">
        <v>4571</v>
      </c>
      <c r="E37" s="3" t="s">
        <v>4572</v>
      </c>
      <c r="F37" s="3" t="s">
        <v>4589</v>
      </c>
      <c r="G37" s="3" t="s">
        <v>1430</v>
      </c>
      <c r="H37" s="3" t="s">
        <v>244</v>
      </c>
      <c r="I37" s="3"/>
      <c r="J37" s="3"/>
      <c r="K37" s="3" t="s">
        <v>3867</v>
      </c>
      <c r="L37" s="3" t="s">
        <v>55</v>
      </c>
      <c r="M37" s="3" t="s">
        <v>60</v>
      </c>
      <c r="N37" s="3"/>
      <c r="O37" s="3"/>
      <c r="P37" s="3" t="s">
        <v>1432</v>
      </c>
      <c r="Q37" s="3"/>
      <c r="R37" s="3" t="s">
        <v>3868</v>
      </c>
      <c r="S37" s="4">
        <v>44139</v>
      </c>
      <c r="T37" s="4">
        <v>44140</v>
      </c>
      <c r="U37" s="4">
        <v>44140</v>
      </c>
      <c r="V37" s="3"/>
      <c r="W37" s="3"/>
      <c r="X37" s="3"/>
      <c r="Y37" s="3" t="s">
        <v>4576</v>
      </c>
      <c r="Z37" s="3"/>
      <c r="AA37" s="3"/>
      <c r="AB37" s="3" t="s">
        <v>67</v>
      </c>
      <c r="AC37" s="3" t="s">
        <v>68</v>
      </c>
      <c r="AD37" s="3" t="s">
        <v>68</v>
      </c>
      <c r="AE37" s="3"/>
      <c r="AF37" s="3" t="s">
        <v>4574</v>
      </c>
      <c r="AG37" s="3"/>
      <c r="AH37" s="3"/>
      <c r="AI37" s="3" t="s">
        <v>605</v>
      </c>
      <c r="AJ37" s="3">
        <v>0</v>
      </c>
      <c r="AK37" s="3">
        <v>0</v>
      </c>
      <c r="AL37" s="3"/>
      <c r="AM37" s="3"/>
      <c r="AN37" s="3">
        <v>1</v>
      </c>
      <c r="AO37" s="3">
        <v>31.9</v>
      </c>
      <c r="AP37" s="3">
        <v>1.536</v>
      </c>
      <c r="AQ37" s="3" t="s">
        <v>713</v>
      </c>
      <c r="AR37" s="3" t="s">
        <v>714</v>
      </c>
      <c r="AS37" s="3" t="s">
        <v>713</v>
      </c>
      <c r="AT37" s="4">
        <v>44138</v>
      </c>
      <c r="AU37" s="3" t="s">
        <v>4645</v>
      </c>
      <c r="AV37" s="3">
        <v>24</v>
      </c>
      <c r="AW37" s="3" t="s">
        <v>4646</v>
      </c>
    </row>
    <row r="38" spans="1:49" x14ac:dyDescent="0.55000000000000004">
      <c r="A38" s="3" t="str">
        <f>HYPERLINK("https://www.infodis.net/philips/net/Shipment/Details?InfodisNumber=1557638&amp;DomainCode=PHILIPSM1", "1557638")</f>
        <v>1557638</v>
      </c>
      <c r="B38" s="3" t="s">
        <v>4652</v>
      </c>
      <c r="C38" s="3" t="s">
        <v>4570</v>
      </c>
      <c r="D38" s="3" t="s">
        <v>4571</v>
      </c>
      <c r="E38" s="3" t="s">
        <v>4653</v>
      </c>
      <c r="F38" s="3" t="s">
        <v>4589</v>
      </c>
      <c r="G38" s="3" t="s">
        <v>1430</v>
      </c>
      <c r="H38" s="3" t="s">
        <v>244</v>
      </c>
      <c r="I38" s="3"/>
      <c r="J38" s="3"/>
      <c r="K38" s="3" t="s">
        <v>3867</v>
      </c>
      <c r="L38" s="3" t="s">
        <v>55</v>
      </c>
      <c r="M38" s="3" t="s">
        <v>60</v>
      </c>
      <c r="N38" s="3"/>
      <c r="O38" s="3"/>
      <c r="P38" s="3" t="s">
        <v>1432</v>
      </c>
      <c r="Q38" s="3"/>
      <c r="R38" s="3" t="s">
        <v>3868</v>
      </c>
      <c r="S38" s="4">
        <v>44138</v>
      </c>
      <c r="T38" s="4">
        <v>44139</v>
      </c>
      <c r="U38" s="4">
        <v>44139</v>
      </c>
      <c r="V38" s="3"/>
      <c r="W38" s="3"/>
      <c r="X38" s="3"/>
      <c r="Y38" s="3" t="s">
        <v>4576</v>
      </c>
      <c r="Z38" s="3"/>
      <c r="AA38" s="3"/>
      <c r="AB38" s="3" t="s">
        <v>67</v>
      </c>
      <c r="AC38" s="3" t="s">
        <v>68</v>
      </c>
      <c r="AD38" s="3" t="s">
        <v>68</v>
      </c>
      <c r="AE38" s="3"/>
      <c r="AF38" s="3" t="s">
        <v>4574</v>
      </c>
      <c r="AG38" s="3"/>
      <c r="AH38" s="3"/>
      <c r="AI38" s="3" t="s">
        <v>605</v>
      </c>
      <c r="AJ38" s="3">
        <v>0</v>
      </c>
      <c r="AK38" s="3">
        <v>0</v>
      </c>
      <c r="AL38" s="3"/>
      <c r="AM38" s="3"/>
      <c r="AN38" s="3">
        <v>2</v>
      </c>
      <c r="AO38" s="3">
        <v>116</v>
      </c>
      <c r="AP38" s="3">
        <v>0</v>
      </c>
      <c r="AQ38" s="3" t="s">
        <v>713</v>
      </c>
      <c r="AR38" s="3" t="s">
        <v>714</v>
      </c>
      <c r="AS38" s="3" t="s">
        <v>713</v>
      </c>
      <c r="AT38" s="4">
        <v>44138</v>
      </c>
      <c r="AU38" s="3" t="s">
        <v>4645</v>
      </c>
      <c r="AV38" s="3">
        <v>24</v>
      </c>
      <c r="AW38" s="3" t="s">
        <v>4646</v>
      </c>
    </row>
    <row r="39" spans="1:49" x14ac:dyDescent="0.55000000000000004">
      <c r="A39" s="3" t="str">
        <f>HYPERLINK("https://www.infodis.net/philips/net/Shipment/Details?InfodisNumber=1558551&amp;DomainCode=PHILIPSM1", "1558551")</f>
        <v>1558551</v>
      </c>
      <c r="B39" s="3" t="s">
        <v>4654</v>
      </c>
      <c r="C39" s="3" t="s">
        <v>4570</v>
      </c>
      <c r="D39" s="3" t="s">
        <v>4571</v>
      </c>
      <c r="E39" s="3" t="s">
        <v>4572</v>
      </c>
      <c r="F39" s="3" t="s">
        <v>4589</v>
      </c>
      <c r="G39" s="3" t="s">
        <v>1430</v>
      </c>
      <c r="H39" s="3" t="s">
        <v>244</v>
      </c>
      <c r="I39" s="3"/>
      <c r="J39" s="3"/>
      <c r="K39" s="3" t="s">
        <v>3867</v>
      </c>
      <c r="L39" s="3" t="s">
        <v>55</v>
      </c>
      <c r="M39" s="3" t="s">
        <v>60</v>
      </c>
      <c r="N39" s="3"/>
      <c r="O39" s="3"/>
      <c r="P39" s="3" t="s">
        <v>1432</v>
      </c>
      <c r="Q39" s="3"/>
      <c r="R39" s="3" t="s">
        <v>3868</v>
      </c>
      <c r="S39" s="4">
        <v>44146</v>
      </c>
      <c r="T39" s="4">
        <v>44146</v>
      </c>
      <c r="U39" s="4">
        <v>44148</v>
      </c>
      <c r="V39" s="3"/>
      <c r="W39" s="3"/>
      <c r="X39" s="3"/>
      <c r="Y39" s="3" t="s">
        <v>4576</v>
      </c>
      <c r="Z39" s="3"/>
      <c r="AA39" s="3"/>
      <c r="AB39" s="3" t="s">
        <v>67</v>
      </c>
      <c r="AC39" s="3" t="s">
        <v>68</v>
      </c>
      <c r="AD39" s="3" t="s">
        <v>68</v>
      </c>
      <c r="AE39" s="3"/>
      <c r="AF39" s="3" t="s">
        <v>4574</v>
      </c>
      <c r="AG39" s="3"/>
      <c r="AH39" s="3"/>
      <c r="AI39" s="3" t="s">
        <v>605</v>
      </c>
      <c r="AJ39" s="3">
        <v>0</v>
      </c>
      <c r="AK39" s="3">
        <v>0</v>
      </c>
      <c r="AL39" s="3"/>
      <c r="AM39" s="3"/>
      <c r="AN39" s="3">
        <v>4</v>
      </c>
      <c r="AO39" s="3">
        <v>198.8</v>
      </c>
      <c r="AP39" s="3">
        <v>5.4720000000000004</v>
      </c>
      <c r="AQ39" s="3" t="s">
        <v>713</v>
      </c>
      <c r="AR39" s="3" t="s">
        <v>714</v>
      </c>
      <c r="AS39" s="3" t="s">
        <v>713</v>
      </c>
      <c r="AT39" s="4">
        <v>44138</v>
      </c>
      <c r="AU39" s="3" t="s">
        <v>4645</v>
      </c>
      <c r="AV39" s="3">
        <v>24</v>
      </c>
      <c r="AW39" s="3" t="s">
        <v>4646</v>
      </c>
    </row>
    <row r="40" spans="1:49" x14ac:dyDescent="0.55000000000000004">
      <c r="A40" s="3" t="str">
        <f>HYPERLINK("https://www.infodis.net/philips/net/Shipment/Details?InfodisNumber=1558587&amp;DomainCode=PHILIPSM1", "1558587")</f>
        <v>1558587</v>
      </c>
      <c r="B40" s="3" t="s">
        <v>4655</v>
      </c>
      <c r="C40" s="3" t="s">
        <v>4570</v>
      </c>
      <c r="D40" s="3" t="s">
        <v>4571</v>
      </c>
      <c r="E40" s="3" t="s">
        <v>4572</v>
      </c>
      <c r="F40" s="3" t="s">
        <v>4589</v>
      </c>
      <c r="G40" s="3" t="s">
        <v>1430</v>
      </c>
      <c r="H40" s="3" t="s">
        <v>244</v>
      </c>
      <c r="I40" s="3"/>
      <c r="J40" s="3"/>
      <c r="K40" s="3" t="s">
        <v>3867</v>
      </c>
      <c r="L40" s="3" t="s">
        <v>55</v>
      </c>
      <c r="M40" s="3" t="s">
        <v>60</v>
      </c>
      <c r="N40" s="3"/>
      <c r="O40" s="3"/>
      <c r="P40" s="3" t="s">
        <v>1432</v>
      </c>
      <c r="Q40" s="3"/>
      <c r="R40" s="3" t="s">
        <v>3868</v>
      </c>
      <c r="S40" s="4">
        <v>44146</v>
      </c>
      <c r="T40" s="4">
        <v>44147</v>
      </c>
      <c r="U40" s="4">
        <v>44147</v>
      </c>
      <c r="V40" s="3"/>
      <c r="W40" s="3"/>
      <c r="X40" s="3"/>
      <c r="Y40" s="3" t="s">
        <v>4576</v>
      </c>
      <c r="Z40" s="3"/>
      <c r="AA40" s="3"/>
      <c r="AB40" s="3" t="s">
        <v>67</v>
      </c>
      <c r="AC40" s="3" t="s">
        <v>68</v>
      </c>
      <c r="AD40" s="3" t="s">
        <v>68</v>
      </c>
      <c r="AE40" s="3"/>
      <c r="AF40" s="3" t="s">
        <v>4574</v>
      </c>
      <c r="AG40" s="3"/>
      <c r="AH40" s="3"/>
      <c r="AI40" s="3" t="s">
        <v>605</v>
      </c>
      <c r="AJ40" s="3">
        <v>0</v>
      </c>
      <c r="AK40" s="3">
        <v>0</v>
      </c>
      <c r="AL40" s="3"/>
      <c r="AM40" s="3"/>
      <c r="AN40" s="3">
        <v>2</v>
      </c>
      <c r="AO40" s="3">
        <v>87.8</v>
      </c>
      <c r="AP40" s="3">
        <v>2.88</v>
      </c>
      <c r="AQ40" s="3" t="s">
        <v>713</v>
      </c>
      <c r="AR40" s="3" t="s">
        <v>714</v>
      </c>
      <c r="AS40" s="3" t="s">
        <v>713</v>
      </c>
      <c r="AT40" s="4">
        <v>44138</v>
      </c>
      <c r="AU40" s="3" t="s">
        <v>4645</v>
      </c>
      <c r="AV40" s="3">
        <v>24</v>
      </c>
      <c r="AW40" s="3" t="s">
        <v>4646</v>
      </c>
    </row>
    <row r="41" spans="1:49" x14ac:dyDescent="0.55000000000000004">
      <c r="A41" s="3" t="str">
        <f>HYPERLINK("https://www.infodis.net/philips/net/Shipment/Details?InfodisNumber=1573441&amp;DomainCode=PHILIPSM1", "1573441")</f>
        <v>1573441</v>
      </c>
      <c r="B41" s="3" t="s">
        <v>4656</v>
      </c>
      <c r="C41" s="3" t="s">
        <v>4570</v>
      </c>
      <c r="D41" s="3" t="s">
        <v>4571</v>
      </c>
      <c r="E41" s="3" t="s">
        <v>4572</v>
      </c>
      <c r="F41" s="3" t="s">
        <v>4589</v>
      </c>
      <c r="G41" s="3" t="s">
        <v>1430</v>
      </c>
      <c r="H41" s="3" t="s">
        <v>244</v>
      </c>
      <c r="I41" s="3"/>
      <c r="J41" s="3"/>
      <c r="K41" s="3" t="s">
        <v>3867</v>
      </c>
      <c r="L41" s="3" t="s">
        <v>55</v>
      </c>
      <c r="M41" s="3" t="s">
        <v>60</v>
      </c>
      <c r="N41" s="3"/>
      <c r="O41" s="3"/>
      <c r="P41" s="3" t="s">
        <v>1432</v>
      </c>
      <c r="Q41" s="3"/>
      <c r="R41" s="3" t="s">
        <v>3868</v>
      </c>
      <c r="S41" s="4">
        <v>44153</v>
      </c>
      <c r="T41" s="4">
        <v>44154</v>
      </c>
      <c r="U41" s="4">
        <v>44154</v>
      </c>
      <c r="V41" s="3"/>
      <c r="W41" s="3"/>
      <c r="X41" s="3"/>
      <c r="Y41" s="3" t="s">
        <v>4576</v>
      </c>
      <c r="Z41" s="3"/>
      <c r="AA41" s="3"/>
      <c r="AB41" s="3" t="s">
        <v>67</v>
      </c>
      <c r="AC41" s="3" t="s">
        <v>68</v>
      </c>
      <c r="AD41" s="3" t="s">
        <v>68</v>
      </c>
      <c r="AE41" s="3"/>
      <c r="AF41" s="3" t="s">
        <v>4574</v>
      </c>
      <c r="AG41" s="3"/>
      <c r="AH41" s="3"/>
      <c r="AI41" s="3" t="s">
        <v>605</v>
      </c>
      <c r="AJ41" s="3">
        <v>0</v>
      </c>
      <c r="AK41" s="3">
        <v>0</v>
      </c>
      <c r="AL41" s="3"/>
      <c r="AM41" s="3"/>
      <c r="AN41" s="3">
        <v>2</v>
      </c>
      <c r="AO41" s="3">
        <v>101</v>
      </c>
      <c r="AP41" s="3">
        <v>0</v>
      </c>
      <c r="AQ41" s="3" t="s">
        <v>713</v>
      </c>
      <c r="AR41" s="3" t="s">
        <v>714</v>
      </c>
      <c r="AS41" s="3" t="s">
        <v>713</v>
      </c>
      <c r="AT41" s="4">
        <v>44138</v>
      </c>
      <c r="AU41" s="3" t="s">
        <v>4645</v>
      </c>
      <c r="AV41" s="3">
        <v>24</v>
      </c>
      <c r="AW41" s="3" t="s">
        <v>4646</v>
      </c>
    </row>
    <row r="42" spans="1:49" x14ac:dyDescent="0.55000000000000004">
      <c r="A42" s="3" t="str">
        <f>HYPERLINK("https://www.infodis.net/philips/net/Shipment/Details?InfodisNumber=1419277&amp;DomainCode=PHILIPSM1", "1419277")</f>
        <v>1419277</v>
      </c>
      <c r="B42" s="3" t="s">
        <v>4657</v>
      </c>
      <c r="C42" s="3" t="s">
        <v>4619</v>
      </c>
      <c r="D42" s="3" t="s">
        <v>4620</v>
      </c>
      <c r="E42" s="3" t="s">
        <v>4619</v>
      </c>
      <c r="F42" s="3" t="s">
        <v>4621</v>
      </c>
      <c r="G42" s="3" t="s">
        <v>4622</v>
      </c>
      <c r="H42" s="3" t="s">
        <v>55</v>
      </c>
      <c r="I42" s="3"/>
      <c r="J42" s="3"/>
      <c r="K42" s="3" t="s">
        <v>3867</v>
      </c>
      <c r="L42" s="3" t="s">
        <v>55</v>
      </c>
      <c r="M42" s="3" t="s">
        <v>84</v>
      </c>
      <c r="N42" s="3"/>
      <c r="O42" s="3"/>
      <c r="P42" s="3" t="s">
        <v>4623</v>
      </c>
      <c r="Q42" s="3"/>
      <c r="R42" s="3" t="s">
        <v>3868</v>
      </c>
      <c r="S42" s="4">
        <v>44147</v>
      </c>
      <c r="T42" s="4">
        <v>44148</v>
      </c>
      <c r="U42" s="4">
        <v>44148</v>
      </c>
      <c r="V42" s="3"/>
      <c r="W42" s="3"/>
      <c r="X42" s="3"/>
      <c r="Y42" s="3" t="s">
        <v>4624</v>
      </c>
      <c r="Z42" s="3"/>
      <c r="AA42" s="3"/>
      <c r="AB42" s="3" t="s">
        <v>67</v>
      </c>
      <c r="AC42" s="3" t="s">
        <v>68</v>
      </c>
      <c r="AD42" s="3" t="s">
        <v>68</v>
      </c>
      <c r="AE42" s="3"/>
      <c r="AF42" s="3" t="s">
        <v>70</v>
      </c>
      <c r="AG42" s="3"/>
      <c r="AH42" s="3"/>
      <c r="AI42" s="3" t="s">
        <v>3933</v>
      </c>
      <c r="AJ42" s="3">
        <v>0</v>
      </c>
      <c r="AK42" s="3">
        <v>0</v>
      </c>
      <c r="AL42" s="3"/>
      <c r="AM42" s="3"/>
      <c r="AN42" s="3">
        <v>0</v>
      </c>
      <c r="AO42" s="3">
        <v>50</v>
      </c>
      <c r="AP42" s="3">
        <v>0.76800000000000002</v>
      </c>
      <c r="AQ42" s="3" t="s">
        <v>713</v>
      </c>
      <c r="AR42" s="3" t="s">
        <v>714</v>
      </c>
      <c r="AS42" s="3" t="s">
        <v>713</v>
      </c>
      <c r="AT42" s="4">
        <v>44151</v>
      </c>
      <c r="AU42" s="3" t="s">
        <v>4658</v>
      </c>
      <c r="AV42" s="3">
        <v>11</v>
      </c>
      <c r="AW42" s="3" t="s">
        <v>4659</v>
      </c>
    </row>
    <row r="43" spans="1:49" x14ac:dyDescent="0.55000000000000004">
      <c r="A43" s="3" t="str">
        <f>HYPERLINK("https://www.infodis.net/philips/net/Shipment/Details?InfodisNumber=1562436&amp;DomainCode=PHILIPSM1", "1562436")</f>
        <v>1562436</v>
      </c>
      <c r="B43" s="3" t="s">
        <v>4660</v>
      </c>
      <c r="C43" s="3" t="s">
        <v>4570</v>
      </c>
      <c r="D43" s="3" t="s">
        <v>4571</v>
      </c>
      <c r="E43" s="3" t="s">
        <v>4572</v>
      </c>
      <c r="F43" s="3" t="s">
        <v>4612</v>
      </c>
      <c r="G43" s="3" t="s">
        <v>1430</v>
      </c>
      <c r="H43" s="3" t="s">
        <v>244</v>
      </c>
      <c r="I43" s="3"/>
      <c r="J43" s="3"/>
      <c r="K43" s="3" t="s">
        <v>4613</v>
      </c>
      <c r="L43" s="3" t="s">
        <v>244</v>
      </c>
      <c r="M43" s="3" t="s">
        <v>60</v>
      </c>
      <c r="N43" s="3"/>
      <c r="O43" s="3"/>
      <c r="P43" s="3" t="s">
        <v>1432</v>
      </c>
      <c r="Q43" s="3"/>
      <c r="R43" s="3" t="s">
        <v>4614</v>
      </c>
      <c r="S43" s="4">
        <v>44148</v>
      </c>
      <c r="T43" s="4">
        <v>44148</v>
      </c>
      <c r="U43" s="4">
        <v>44148</v>
      </c>
      <c r="V43" s="3"/>
      <c r="W43" s="3"/>
      <c r="X43" s="3"/>
      <c r="Y43" s="3" t="s">
        <v>4576</v>
      </c>
      <c r="Z43" s="3"/>
      <c r="AA43" s="3"/>
      <c r="AB43" s="3" t="s">
        <v>67</v>
      </c>
      <c r="AC43" s="3" t="s">
        <v>68</v>
      </c>
      <c r="AD43" s="3" t="s">
        <v>68</v>
      </c>
      <c r="AE43" s="3"/>
      <c r="AF43" s="3" t="s">
        <v>4574</v>
      </c>
      <c r="AG43" s="3"/>
      <c r="AH43" s="3"/>
      <c r="AI43" s="3" t="s">
        <v>605</v>
      </c>
      <c r="AJ43" s="3">
        <v>0</v>
      </c>
      <c r="AK43" s="3">
        <v>0</v>
      </c>
      <c r="AL43" s="3"/>
      <c r="AM43" s="3"/>
      <c r="AN43" s="3">
        <v>1</v>
      </c>
      <c r="AO43" s="3">
        <v>30</v>
      </c>
      <c r="AP43" s="3">
        <v>0.57600000000000007</v>
      </c>
      <c r="AQ43" s="3" t="s">
        <v>713</v>
      </c>
      <c r="AR43" s="3" t="s">
        <v>714</v>
      </c>
      <c r="AS43" s="3" t="s">
        <v>713</v>
      </c>
      <c r="AT43" s="4">
        <v>44138</v>
      </c>
      <c r="AU43" s="3" t="s">
        <v>4645</v>
      </c>
      <c r="AV43" s="3">
        <v>24</v>
      </c>
      <c r="AW43" s="3" t="s">
        <v>4646</v>
      </c>
    </row>
    <row r="44" spans="1:49" x14ac:dyDescent="0.55000000000000004">
      <c r="A44" s="3" t="str">
        <f>HYPERLINK("https://www.infodis.net/philips/net/Shipment/Details?InfodisNumber=1561823&amp;DomainCode=PHILIPSM1", "1561823")</f>
        <v>1561823</v>
      </c>
      <c r="B44" s="3" t="s">
        <v>4661</v>
      </c>
      <c r="C44" s="3" t="s">
        <v>4570</v>
      </c>
      <c r="D44" s="3" t="s">
        <v>4571</v>
      </c>
      <c r="E44" s="3" t="s">
        <v>4572</v>
      </c>
      <c r="F44" s="3" t="s">
        <v>4579</v>
      </c>
      <c r="G44" s="3" t="s">
        <v>1430</v>
      </c>
      <c r="H44" s="3" t="s">
        <v>244</v>
      </c>
      <c r="I44" s="3"/>
      <c r="J44" s="3"/>
      <c r="K44" s="3" t="s">
        <v>4580</v>
      </c>
      <c r="L44" s="3" t="s">
        <v>244</v>
      </c>
      <c r="M44" s="3" t="s">
        <v>60</v>
      </c>
      <c r="N44" s="3"/>
      <c r="O44" s="3"/>
      <c r="P44" s="3" t="s">
        <v>1432</v>
      </c>
      <c r="Q44" s="3"/>
      <c r="R44" s="3" t="s">
        <v>4581</v>
      </c>
      <c r="S44" s="4">
        <v>44148</v>
      </c>
      <c r="T44" s="4">
        <v>44148</v>
      </c>
      <c r="U44" s="4">
        <v>44148</v>
      </c>
      <c r="V44" s="3"/>
      <c r="W44" s="3"/>
      <c r="X44" s="3"/>
      <c r="Y44" s="3" t="s">
        <v>4576</v>
      </c>
      <c r="Z44" s="3"/>
      <c r="AA44" s="3"/>
      <c r="AB44" s="3" t="s">
        <v>67</v>
      </c>
      <c r="AC44" s="3" t="s">
        <v>68</v>
      </c>
      <c r="AD44" s="3" t="s">
        <v>68</v>
      </c>
      <c r="AE44" s="3"/>
      <c r="AF44" s="3" t="s">
        <v>4574</v>
      </c>
      <c r="AG44" s="3"/>
      <c r="AH44" s="3"/>
      <c r="AI44" s="3" t="s">
        <v>605</v>
      </c>
      <c r="AJ44" s="3">
        <v>0</v>
      </c>
      <c r="AK44" s="3">
        <v>0</v>
      </c>
      <c r="AL44" s="3"/>
      <c r="AM44" s="3"/>
      <c r="AN44" s="3">
        <v>2</v>
      </c>
      <c r="AO44" s="3">
        <v>110</v>
      </c>
      <c r="AP44" s="3">
        <v>3.1680000000000001</v>
      </c>
      <c r="AQ44" s="3" t="s">
        <v>713</v>
      </c>
      <c r="AR44" s="3" t="s">
        <v>714</v>
      </c>
      <c r="AS44" s="3" t="s">
        <v>713</v>
      </c>
      <c r="AT44" s="4">
        <v>44138</v>
      </c>
      <c r="AU44" s="3" t="s">
        <v>4645</v>
      </c>
      <c r="AV44" s="3">
        <v>24</v>
      </c>
      <c r="AW44" s="3" t="s">
        <v>4646</v>
      </c>
    </row>
    <row r="45" spans="1:49" x14ac:dyDescent="0.55000000000000004">
      <c r="A45" s="3" t="str">
        <f>HYPERLINK("https://www.infodis.net/philips/net/Shipment/Details?InfodisNumber=1557937&amp;DomainCode=PHILIPSM1", "1557937")</f>
        <v>1557937</v>
      </c>
      <c r="B45" s="3" t="s">
        <v>4662</v>
      </c>
      <c r="C45" s="3" t="s">
        <v>4570</v>
      </c>
      <c r="D45" s="3" t="s">
        <v>4571</v>
      </c>
      <c r="E45" s="3" t="s">
        <v>4572</v>
      </c>
      <c r="F45" s="3" t="s">
        <v>4589</v>
      </c>
      <c r="G45" s="3" t="s">
        <v>1430</v>
      </c>
      <c r="H45" s="3" t="s">
        <v>244</v>
      </c>
      <c r="I45" s="3"/>
      <c r="J45" s="3"/>
      <c r="K45" s="3" t="s">
        <v>3867</v>
      </c>
      <c r="L45" s="3" t="s">
        <v>55</v>
      </c>
      <c r="M45" s="3" t="s">
        <v>60</v>
      </c>
      <c r="N45" s="3"/>
      <c r="O45" s="3"/>
      <c r="P45" s="3" t="s">
        <v>1432</v>
      </c>
      <c r="Q45" s="3"/>
      <c r="R45" s="3" t="s">
        <v>3868</v>
      </c>
      <c r="S45" s="4">
        <v>44140</v>
      </c>
      <c r="T45" s="4">
        <v>44141</v>
      </c>
      <c r="U45" s="4">
        <v>44145</v>
      </c>
      <c r="V45" s="3"/>
      <c r="W45" s="3"/>
      <c r="X45" s="3"/>
      <c r="Y45" s="3" t="s">
        <v>4576</v>
      </c>
      <c r="Z45" s="3"/>
      <c r="AA45" s="3"/>
      <c r="AB45" s="3" t="s">
        <v>67</v>
      </c>
      <c r="AC45" s="3" t="s">
        <v>68</v>
      </c>
      <c r="AD45" s="3" t="s">
        <v>68</v>
      </c>
      <c r="AE45" s="3"/>
      <c r="AF45" s="3" t="s">
        <v>4574</v>
      </c>
      <c r="AG45" s="3"/>
      <c r="AH45" s="3"/>
      <c r="AI45" s="3" t="s">
        <v>605</v>
      </c>
      <c r="AJ45" s="3">
        <v>0</v>
      </c>
      <c r="AK45" s="3">
        <v>0</v>
      </c>
      <c r="AL45" s="3"/>
      <c r="AM45" s="3"/>
      <c r="AN45" s="3">
        <v>0</v>
      </c>
      <c r="AO45" s="3">
        <v>66</v>
      </c>
      <c r="AP45" s="3">
        <v>1.728</v>
      </c>
      <c r="AQ45" s="3" t="s">
        <v>713</v>
      </c>
      <c r="AR45" s="3" t="s">
        <v>714</v>
      </c>
      <c r="AS45" s="3" t="s">
        <v>713</v>
      </c>
      <c r="AT45" s="4">
        <v>44138</v>
      </c>
      <c r="AU45" s="3" t="s">
        <v>4645</v>
      </c>
      <c r="AV45" s="3">
        <v>24</v>
      </c>
      <c r="AW45" s="3" t="s">
        <v>4646</v>
      </c>
    </row>
    <row r="46" spans="1:49" x14ac:dyDescent="0.55000000000000004">
      <c r="A46" s="3" t="str">
        <f>HYPERLINK("https://www.infodis.net/philips/net/Shipment/Details?InfodisNumber=1581156&amp;DomainCode=PHILIPSM1", "1581156")</f>
        <v>1581156</v>
      </c>
      <c r="B46" s="3" t="s">
        <v>4663</v>
      </c>
      <c r="C46" s="3" t="s">
        <v>4570</v>
      </c>
      <c r="D46" s="3" t="s">
        <v>4571</v>
      </c>
      <c r="E46" s="3" t="s">
        <v>4572</v>
      </c>
      <c r="F46" s="3" t="s">
        <v>4589</v>
      </c>
      <c r="G46" s="3" t="s">
        <v>1430</v>
      </c>
      <c r="H46" s="3" t="s">
        <v>244</v>
      </c>
      <c r="I46" s="3"/>
      <c r="J46" s="3"/>
      <c r="K46" s="3" t="s">
        <v>3867</v>
      </c>
      <c r="L46" s="3" t="s">
        <v>55</v>
      </c>
      <c r="M46" s="3" t="s">
        <v>60</v>
      </c>
      <c r="N46" s="3"/>
      <c r="O46" s="3"/>
      <c r="P46" s="3" t="s">
        <v>1432</v>
      </c>
      <c r="Q46" s="3"/>
      <c r="R46" s="3" t="s">
        <v>3868</v>
      </c>
      <c r="S46" s="4">
        <v>44155</v>
      </c>
      <c r="T46" s="4">
        <v>44158</v>
      </c>
      <c r="U46" s="4">
        <v>44158</v>
      </c>
      <c r="V46" s="3"/>
      <c r="W46" s="3"/>
      <c r="X46" s="3"/>
      <c r="Y46" s="3" t="s">
        <v>4576</v>
      </c>
      <c r="Z46" s="3"/>
      <c r="AA46" s="3"/>
      <c r="AB46" s="3" t="s">
        <v>67</v>
      </c>
      <c r="AC46" s="3" t="s">
        <v>68</v>
      </c>
      <c r="AD46" s="3" t="s">
        <v>68</v>
      </c>
      <c r="AE46" s="3"/>
      <c r="AF46" s="3" t="s">
        <v>4574</v>
      </c>
      <c r="AG46" s="3"/>
      <c r="AH46" s="3"/>
      <c r="AI46" s="3" t="s">
        <v>605</v>
      </c>
      <c r="AJ46" s="3">
        <v>0</v>
      </c>
      <c r="AK46" s="3">
        <v>0</v>
      </c>
      <c r="AL46" s="3"/>
      <c r="AM46" s="3"/>
      <c r="AN46" s="3">
        <v>2</v>
      </c>
      <c r="AO46" s="3">
        <v>74</v>
      </c>
      <c r="AP46" s="3">
        <v>2.4</v>
      </c>
      <c r="AQ46" s="3" t="s">
        <v>713</v>
      </c>
      <c r="AR46" s="3" t="s">
        <v>714</v>
      </c>
      <c r="AS46" s="3" t="s">
        <v>713</v>
      </c>
      <c r="AT46" s="4">
        <v>44138</v>
      </c>
      <c r="AU46" s="3" t="s">
        <v>4645</v>
      </c>
      <c r="AV46" s="3">
        <v>24</v>
      </c>
      <c r="AW46" s="3" t="s">
        <v>4646</v>
      </c>
    </row>
    <row r="47" spans="1:49" x14ac:dyDescent="0.55000000000000004">
      <c r="A47" s="3" t="str">
        <f>HYPERLINK("https://www.infodis.net/philips/net/Shipment/Details?InfodisNumber=1557324&amp;DomainCode=PHILIPSM1", "1557324")</f>
        <v>1557324</v>
      </c>
      <c r="B47" s="3" t="s">
        <v>4664</v>
      </c>
      <c r="C47" s="3" t="s">
        <v>4570</v>
      </c>
      <c r="D47" s="3" t="s">
        <v>4571</v>
      </c>
      <c r="E47" s="3" t="s">
        <v>4572</v>
      </c>
      <c r="F47" s="3" t="s">
        <v>4612</v>
      </c>
      <c r="G47" s="3" t="s">
        <v>1430</v>
      </c>
      <c r="H47" s="3" t="s">
        <v>244</v>
      </c>
      <c r="I47" s="3"/>
      <c r="J47" s="3"/>
      <c r="K47" s="3" t="s">
        <v>4613</v>
      </c>
      <c r="L47" s="3" t="s">
        <v>244</v>
      </c>
      <c r="M47" s="3" t="s">
        <v>60</v>
      </c>
      <c r="N47" s="3"/>
      <c r="O47" s="3"/>
      <c r="P47" s="3" t="s">
        <v>1432</v>
      </c>
      <c r="Q47" s="3"/>
      <c r="R47" s="3" t="s">
        <v>4614</v>
      </c>
      <c r="S47" s="4">
        <v>44134</v>
      </c>
      <c r="T47" s="4">
        <v>44137</v>
      </c>
      <c r="U47" s="4">
        <v>44137</v>
      </c>
      <c r="V47" s="3"/>
      <c r="W47" s="3"/>
      <c r="X47" s="3"/>
      <c r="Y47" s="3" t="s">
        <v>4576</v>
      </c>
      <c r="Z47" s="3"/>
      <c r="AA47" s="3"/>
      <c r="AB47" s="3" t="s">
        <v>67</v>
      </c>
      <c r="AC47" s="3" t="s">
        <v>68</v>
      </c>
      <c r="AD47" s="3" t="s">
        <v>68</v>
      </c>
      <c r="AE47" s="3"/>
      <c r="AF47" s="3" t="s">
        <v>4574</v>
      </c>
      <c r="AG47" s="3"/>
      <c r="AH47" s="3"/>
      <c r="AI47" s="3" t="s">
        <v>605</v>
      </c>
      <c r="AJ47" s="3">
        <v>0</v>
      </c>
      <c r="AK47" s="3">
        <v>0</v>
      </c>
      <c r="AL47" s="3"/>
      <c r="AM47" s="3"/>
      <c r="AN47" s="3">
        <v>1</v>
      </c>
      <c r="AO47" s="3">
        <v>35</v>
      </c>
      <c r="AP47" s="3">
        <v>1.536</v>
      </c>
      <c r="AQ47" s="3" t="s">
        <v>713</v>
      </c>
      <c r="AR47" s="3" t="s">
        <v>714</v>
      </c>
      <c r="AS47" s="3" t="s">
        <v>713</v>
      </c>
      <c r="AT47" s="4">
        <v>44138</v>
      </c>
      <c r="AU47" s="3" t="s">
        <v>4645</v>
      </c>
      <c r="AV47" s="3">
        <v>24</v>
      </c>
      <c r="AW47" s="3" t="s">
        <v>4646</v>
      </c>
    </row>
    <row r="48" spans="1:49" x14ac:dyDescent="0.55000000000000004">
      <c r="A48" s="3" t="str">
        <f>HYPERLINK("https://www.infodis.net/philips/net/Shipment/Details?InfodisNumber=1562941&amp;DomainCode=PHILIPSM1", "1562941")</f>
        <v>1562941</v>
      </c>
      <c r="B48" s="3" t="s">
        <v>4665</v>
      </c>
      <c r="C48" s="3" t="s">
        <v>4570</v>
      </c>
      <c r="D48" s="3" t="s">
        <v>4571</v>
      </c>
      <c r="E48" s="3" t="s">
        <v>4572</v>
      </c>
      <c r="F48" s="3" t="s">
        <v>4589</v>
      </c>
      <c r="G48" s="3" t="s">
        <v>1430</v>
      </c>
      <c r="H48" s="3" t="s">
        <v>244</v>
      </c>
      <c r="I48" s="3"/>
      <c r="J48" s="3"/>
      <c r="K48" s="3" t="s">
        <v>3867</v>
      </c>
      <c r="L48" s="3" t="s">
        <v>55</v>
      </c>
      <c r="M48" s="3" t="s">
        <v>60</v>
      </c>
      <c r="N48" s="3"/>
      <c r="O48" s="3"/>
      <c r="P48" s="3" t="s">
        <v>1432</v>
      </c>
      <c r="Q48" s="3"/>
      <c r="R48" s="3" t="s">
        <v>3868</v>
      </c>
      <c r="S48" s="4">
        <v>44148</v>
      </c>
      <c r="T48" s="4">
        <v>44151</v>
      </c>
      <c r="U48" s="3"/>
      <c r="V48" s="3"/>
      <c r="W48" s="3"/>
      <c r="X48" s="3"/>
      <c r="Y48" s="3" t="s">
        <v>4576</v>
      </c>
      <c r="Z48" s="3"/>
      <c r="AA48" s="3"/>
      <c r="AB48" s="3" t="s">
        <v>67</v>
      </c>
      <c r="AC48" s="3" t="s">
        <v>68</v>
      </c>
      <c r="AD48" s="3" t="s">
        <v>68</v>
      </c>
      <c r="AE48" s="3"/>
      <c r="AF48" s="3" t="s">
        <v>4574</v>
      </c>
      <c r="AG48" s="3"/>
      <c r="AH48" s="3"/>
      <c r="AI48" s="3" t="s">
        <v>605</v>
      </c>
      <c r="AJ48" s="3">
        <v>0</v>
      </c>
      <c r="AK48" s="3">
        <v>0</v>
      </c>
      <c r="AL48" s="3"/>
      <c r="AM48" s="3"/>
      <c r="AN48" s="3">
        <v>2</v>
      </c>
      <c r="AO48" s="3">
        <v>119</v>
      </c>
      <c r="AP48" s="3">
        <v>3.456</v>
      </c>
      <c r="AQ48" s="3" t="s">
        <v>713</v>
      </c>
      <c r="AR48" s="3" t="s">
        <v>714</v>
      </c>
      <c r="AS48" s="3" t="s">
        <v>713</v>
      </c>
      <c r="AT48" s="4">
        <v>44138</v>
      </c>
      <c r="AU48" s="3" t="s">
        <v>4645</v>
      </c>
      <c r="AV48" s="3">
        <v>24</v>
      </c>
      <c r="AW48" s="3" t="s">
        <v>4646</v>
      </c>
    </row>
    <row r="49" spans="1:49" x14ac:dyDescent="0.55000000000000004">
      <c r="A49" s="3" t="str">
        <f>HYPERLINK("https://www.infodis.net/philips/net/Shipment/Details?InfodisNumber=1561434&amp;DomainCode=PHILIPSM1", "1561434")</f>
        <v>1561434</v>
      </c>
      <c r="B49" s="3" t="s">
        <v>4666</v>
      </c>
      <c r="C49" s="3" t="s">
        <v>4570</v>
      </c>
      <c r="D49" s="3" t="s">
        <v>4571</v>
      </c>
      <c r="E49" s="3" t="s">
        <v>4572</v>
      </c>
      <c r="F49" s="3" t="s">
        <v>4589</v>
      </c>
      <c r="G49" s="3" t="s">
        <v>1430</v>
      </c>
      <c r="H49" s="3" t="s">
        <v>244</v>
      </c>
      <c r="I49" s="3"/>
      <c r="J49" s="3"/>
      <c r="K49" s="3" t="s">
        <v>3867</v>
      </c>
      <c r="L49" s="3" t="s">
        <v>55</v>
      </c>
      <c r="M49" s="3" t="s">
        <v>60</v>
      </c>
      <c r="N49" s="3"/>
      <c r="O49" s="3"/>
      <c r="P49" s="3" t="s">
        <v>1432</v>
      </c>
      <c r="Q49" s="3"/>
      <c r="R49" s="3" t="s">
        <v>3868</v>
      </c>
      <c r="S49" s="4">
        <v>44147</v>
      </c>
      <c r="T49" s="4">
        <v>44148</v>
      </c>
      <c r="U49" s="4">
        <v>44148</v>
      </c>
      <c r="V49" s="3"/>
      <c r="W49" s="3"/>
      <c r="X49" s="3"/>
      <c r="Y49" s="3" t="s">
        <v>4576</v>
      </c>
      <c r="Z49" s="3"/>
      <c r="AA49" s="3"/>
      <c r="AB49" s="3" t="s">
        <v>67</v>
      </c>
      <c r="AC49" s="3" t="s">
        <v>68</v>
      </c>
      <c r="AD49" s="3" t="s">
        <v>68</v>
      </c>
      <c r="AE49" s="3"/>
      <c r="AF49" s="3" t="s">
        <v>4574</v>
      </c>
      <c r="AG49" s="3"/>
      <c r="AH49" s="3"/>
      <c r="AI49" s="3" t="s">
        <v>605</v>
      </c>
      <c r="AJ49" s="3">
        <v>0</v>
      </c>
      <c r="AK49" s="3">
        <v>0</v>
      </c>
      <c r="AL49" s="3"/>
      <c r="AM49" s="3"/>
      <c r="AN49" s="3">
        <v>1</v>
      </c>
      <c r="AO49" s="3">
        <v>61</v>
      </c>
      <c r="AP49" s="3">
        <v>1.44</v>
      </c>
      <c r="AQ49" s="3" t="s">
        <v>713</v>
      </c>
      <c r="AR49" s="3" t="s">
        <v>714</v>
      </c>
      <c r="AS49" s="3" t="s">
        <v>713</v>
      </c>
      <c r="AT49" s="4">
        <v>44138</v>
      </c>
      <c r="AU49" s="3" t="s">
        <v>4645</v>
      </c>
      <c r="AV49" s="3">
        <v>24</v>
      </c>
      <c r="AW49" s="3" t="s">
        <v>4646</v>
      </c>
    </row>
    <row r="50" spans="1:49" x14ac:dyDescent="0.55000000000000004">
      <c r="A50" s="3" t="str">
        <f>HYPERLINK("https://www.infodis.net/philips/net/Shipment/Details?InfodisNumber=1565933&amp;DomainCode=PHILIPSM1", "1565933")</f>
        <v>1565933</v>
      </c>
      <c r="B50" s="3" t="s">
        <v>4667</v>
      </c>
      <c r="C50" s="3" t="s">
        <v>4570</v>
      </c>
      <c r="D50" s="3" t="s">
        <v>4571</v>
      </c>
      <c r="E50" s="3" t="s">
        <v>4572</v>
      </c>
      <c r="F50" s="3" t="s">
        <v>4589</v>
      </c>
      <c r="G50" s="3" t="s">
        <v>1430</v>
      </c>
      <c r="H50" s="3" t="s">
        <v>244</v>
      </c>
      <c r="I50" s="3"/>
      <c r="J50" s="3"/>
      <c r="K50" s="3" t="s">
        <v>3867</v>
      </c>
      <c r="L50" s="3" t="s">
        <v>55</v>
      </c>
      <c r="M50" s="3" t="s">
        <v>60</v>
      </c>
      <c r="N50" s="3"/>
      <c r="O50" s="3"/>
      <c r="P50" s="3" t="s">
        <v>1432</v>
      </c>
      <c r="Q50" s="3"/>
      <c r="R50" s="3" t="s">
        <v>3868</v>
      </c>
      <c r="S50" s="4">
        <v>44152</v>
      </c>
      <c r="T50" s="4">
        <v>44153</v>
      </c>
      <c r="U50" s="4">
        <v>44153</v>
      </c>
      <c r="V50" s="3"/>
      <c r="W50" s="3"/>
      <c r="X50" s="3"/>
      <c r="Y50" s="3" t="s">
        <v>4576</v>
      </c>
      <c r="Z50" s="3"/>
      <c r="AA50" s="3"/>
      <c r="AB50" s="3" t="s">
        <v>67</v>
      </c>
      <c r="AC50" s="3" t="s">
        <v>68</v>
      </c>
      <c r="AD50" s="3" t="s">
        <v>68</v>
      </c>
      <c r="AE50" s="3"/>
      <c r="AF50" s="3" t="s">
        <v>4574</v>
      </c>
      <c r="AG50" s="3"/>
      <c r="AH50" s="3"/>
      <c r="AI50" s="3" t="s">
        <v>605</v>
      </c>
      <c r="AJ50" s="3">
        <v>0</v>
      </c>
      <c r="AK50" s="3">
        <v>0</v>
      </c>
      <c r="AL50" s="3"/>
      <c r="AM50" s="3"/>
      <c r="AN50" s="3">
        <v>1</v>
      </c>
      <c r="AO50" s="3">
        <v>48.5</v>
      </c>
      <c r="AP50" s="3">
        <v>1.5840000000000001</v>
      </c>
      <c r="AQ50" s="3" t="s">
        <v>713</v>
      </c>
      <c r="AR50" s="3" t="s">
        <v>714</v>
      </c>
      <c r="AS50" s="3" t="s">
        <v>713</v>
      </c>
      <c r="AT50" s="4">
        <v>44138</v>
      </c>
      <c r="AU50" s="3" t="s">
        <v>4645</v>
      </c>
      <c r="AV50" s="3">
        <v>24</v>
      </c>
      <c r="AW50" s="3" t="s">
        <v>4646</v>
      </c>
    </row>
    <row r="51" spans="1:49" x14ac:dyDescent="0.55000000000000004">
      <c r="A51" s="3" t="str">
        <f>HYPERLINK("https://www.infodis.net/philips/net/Shipment/Details?InfodisNumber=1581346&amp;DomainCode=PHILIPSM1", "1581346")</f>
        <v>1581346</v>
      </c>
      <c r="B51" s="3" t="s">
        <v>4668</v>
      </c>
      <c r="C51" s="3" t="s">
        <v>4570</v>
      </c>
      <c r="D51" s="3" t="s">
        <v>4571</v>
      </c>
      <c r="E51" s="3" t="s">
        <v>4572</v>
      </c>
      <c r="F51" s="3" t="s">
        <v>4579</v>
      </c>
      <c r="G51" s="3" t="s">
        <v>1430</v>
      </c>
      <c r="H51" s="3" t="s">
        <v>244</v>
      </c>
      <c r="I51" s="3"/>
      <c r="J51" s="3"/>
      <c r="K51" s="3" t="s">
        <v>4580</v>
      </c>
      <c r="L51" s="3" t="s">
        <v>244</v>
      </c>
      <c r="M51" s="3" t="s">
        <v>60</v>
      </c>
      <c r="N51" s="3"/>
      <c r="O51" s="3"/>
      <c r="P51" s="3" t="s">
        <v>1432</v>
      </c>
      <c r="Q51" s="3"/>
      <c r="R51" s="3" t="s">
        <v>4581</v>
      </c>
      <c r="S51" s="4">
        <v>44158</v>
      </c>
      <c r="T51" s="4">
        <v>44159</v>
      </c>
      <c r="U51" s="3"/>
      <c r="V51" s="3"/>
      <c r="W51" s="3"/>
      <c r="X51" s="3"/>
      <c r="Y51" s="3" t="s">
        <v>4576</v>
      </c>
      <c r="Z51" s="3"/>
      <c r="AA51" s="3"/>
      <c r="AB51" s="3" t="s">
        <v>67</v>
      </c>
      <c r="AC51" s="3" t="s">
        <v>68</v>
      </c>
      <c r="AD51" s="3" t="s">
        <v>68</v>
      </c>
      <c r="AE51" s="3"/>
      <c r="AF51" s="3" t="s">
        <v>4574</v>
      </c>
      <c r="AG51" s="3"/>
      <c r="AH51" s="3"/>
      <c r="AI51" s="3" t="s">
        <v>605</v>
      </c>
      <c r="AJ51" s="3">
        <v>0</v>
      </c>
      <c r="AK51" s="3">
        <v>0</v>
      </c>
      <c r="AL51" s="3"/>
      <c r="AM51" s="3"/>
      <c r="AN51" s="3">
        <v>5</v>
      </c>
      <c r="AO51" s="3">
        <v>258</v>
      </c>
      <c r="AP51" s="3">
        <v>7.968</v>
      </c>
      <c r="AQ51" s="3" t="s">
        <v>713</v>
      </c>
      <c r="AR51" s="3" t="s">
        <v>714</v>
      </c>
      <c r="AS51" s="3" t="s">
        <v>713</v>
      </c>
      <c r="AT51" s="4">
        <v>44138</v>
      </c>
      <c r="AU51" s="3" t="s">
        <v>4645</v>
      </c>
      <c r="AV51" s="3">
        <v>24</v>
      </c>
      <c r="AW51" s="3" t="s">
        <v>4646</v>
      </c>
    </row>
    <row r="52" spans="1:49" x14ac:dyDescent="0.55000000000000004">
      <c r="A52" s="3" t="str">
        <f>HYPERLINK("https://www.infodis.net/philips/net/Shipment/Details?InfodisNumber=1581386&amp;DomainCode=PHILIPSM1", "1581386")</f>
        <v>1581386</v>
      </c>
      <c r="B52" s="3" t="s">
        <v>4669</v>
      </c>
      <c r="C52" s="3" t="s">
        <v>4570</v>
      </c>
      <c r="D52" s="3" t="s">
        <v>4571</v>
      </c>
      <c r="E52" s="3" t="s">
        <v>4572</v>
      </c>
      <c r="F52" s="3" t="s">
        <v>4589</v>
      </c>
      <c r="G52" s="3" t="s">
        <v>1430</v>
      </c>
      <c r="H52" s="3" t="s">
        <v>244</v>
      </c>
      <c r="I52" s="3"/>
      <c r="J52" s="3"/>
      <c r="K52" s="3" t="s">
        <v>3867</v>
      </c>
      <c r="L52" s="3" t="s">
        <v>55</v>
      </c>
      <c r="M52" s="3" t="s">
        <v>60</v>
      </c>
      <c r="N52" s="3"/>
      <c r="O52" s="3"/>
      <c r="P52" s="3" t="s">
        <v>1432</v>
      </c>
      <c r="Q52" s="3"/>
      <c r="R52" s="3" t="s">
        <v>3868</v>
      </c>
      <c r="S52" s="4">
        <v>44158</v>
      </c>
      <c r="T52" s="4">
        <v>44159</v>
      </c>
      <c r="U52" s="3"/>
      <c r="V52" s="3"/>
      <c r="W52" s="3"/>
      <c r="X52" s="3"/>
      <c r="Y52" s="3" t="s">
        <v>4576</v>
      </c>
      <c r="Z52" s="3"/>
      <c r="AA52" s="3"/>
      <c r="AB52" s="3" t="s">
        <v>67</v>
      </c>
      <c r="AC52" s="3" t="s">
        <v>68</v>
      </c>
      <c r="AD52" s="3" t="s">
        <v>68</v>
      </c>
      <c r="AE52" s="3"/>
      <c r="AF52" s="3" t="s">
        <v>4574</v>
      </c>
      <c r="AG52" s="3"/>
      <c r="AH52" s="3"/>
      <c r="AI52" s="3" t="s">
        <v>605</v>
      </c>
      <c r="AJ52" s="3">
        <v>0</v>
      </c>
      <c r="AK52" s="3">
        <v>0</v>
      </c>
      <c r="AL52" s="3"/>
      <c r="AM52" s="3"/>
      <c r="AN52" s="3">
        <v>2</v>
      </c>
      <c r="AO52" s="3">
        <v>115.7</v>
      </c>
      <c r="AP52" s="3">
        <v>3.84</v>
      </c>
      <c r="AQ52" s="3" t="s">
        <v>713</v>
      </c>
      <c r="AR52" s="3" t="s">
        <v>714</v>
      </c>
      <c r="AS52" s="3" t="s">
        <v>713</v>
      </c>
      <c r="AT52" s="4">
        <v>44138</v>
      </c>
      <c r="AU52" s="3" t="s">
        <v>4645</v>
      </c>
      <c r="AV52" s="3">
        <v>24</v>
      </c>
      <c r="AW52" s="3" t="s">
        <v>4646</v>
      </c>
    </row>
    <row r="53" spans="1:49" x14ac:dyDescent="0.55000000000000004">
      <c r="A53" s="3" t="str">
        <f>HYPERLINK("https://www.infodis.net/philips/net/Shipment/Details?InfodisNumber=1558233&amp;DomainCode=PHILIPSM1", "1558233")</f>
        <v>1558233</v>
      </c>
      <c r="B53" s="3" t="s">
        <v>4670</v>
      </c>
      <c r="C53" s="3" t="s">
        <v>4570</v>
      </c>
      <c r="D53" s="3" t="s">
        <v>4571</v>
      </c>
      <c r="E53" s="3" t="s">
        <v>4572</v>
      </c>
      <c r="F53" s="3" t="s">
        <v>4612</v>
      </c>
      <c r="G53" s="3" t="s">
        <v>1430</v>
      </c>
      <c r="H53" s="3" t="s">
        <v>244</v>
      </c>
      <c r="I53" s="3"/>
      <c r="J53" s="3"/>
      <c r="K53" s="3" t="s">
        <v>4613</v>
      </c>
      <c r="L53" s="3" t="s">
        <v>244</v>
      </c>
      <c r="M53" s="3" t="s">
        <v>60</v>
      </c>
      <c r="N53" s="3"/>
      <c r="O53" s="3"/>
      <c r="P53" s="3" t="s">
        <v>1432</v>
      </c>
      <c r="Q53" s="3"/>
      <c r="R53" s="3" t="s">
        <v>4614</v>
      </c>
      <c r="S53" s="4">
        <v>44144</v>
      </c>
      <c r="T53" s="4">
        <v>44144</v>
      </c>
      <c r="U53" s="4">
        <v>44144</v>
      </c>
      <c r="V53" s="3"/>
      <c r="W53" s="3"/>
      <c r="X53" s="3"/>
      <c r="Y53" s="3" t="s">
        <v>4576</v>
      </c>
      <c r="Z53" s="3"/>
      <c r="AA53" s="3"/>
      <c r="AB53" s="3" t="s">
        <v>67</v>
      </c>
      <c r="AC53" s="3" t="s">
        <v>68</v>
      </c>
      <c r="AD53" s="3" t="s">
        <v>68</v>
      </c>
      <c r="AE53" s="3"/>
      <c r="AF53" s="3" t="s">
        <v>4574</v>
      </c>
      <c r="AG53" s="3"/>
      <c r="AH53" s="3"/>
      <c r="AI53" s="3" t="s">
        <v>605</v>
      </c>
      <c r="AJ53" s="3">
        <v>0</v>
      </c>
      <c r="AK53" s="3">
        <v>0</v>
      </c>
      <c r="AL53" s="3"/>
      <c r="AM53" s="3"/>
      <c r="AN53" s="3">
        <v>1</v>
      </c>
      <c r="AO53" s="3">
        <v>25</v>
      </c>
      <c r="AP53" s="3">
        <v>0.48</v>
      </c>
      <c r="AQ53" s="3" t="s">
        <v>713</v>
      </c>
      <c r="AR53" s="3" t="s">
        <v>714</v>
      </c>
      <c r="AS53" s="3" t="s">
        <v>713</v>
      </c>
      <c r="AT53" s="4">
        <v>44138</v>
      </c>
      <c r="AU53" s="3" t="s">
        <v>4645</v>
      </c>
      <c r="AV53" s="3">
        <v>24</v>
      </c>
      <c r="AW53" s="3" t="s">
        <v>4646</v>
      </c>
    </row>
    <row r="54" spans="1:49" x14ac:dyDescent="0.55000000000000004">
      <c r="A54" s="3" t="str">
        <f>HYPERLINK("https://www.infodis.net/philips/net/Shipment/Details?InfodisNumber=1402963&amp;DomainCode=PHILIPSM1", "1402963")</f>
        <v>1402963</v>
      </c>
      <c r="B54" s="3" t="s">
        <v>4671</v>
      </c>
      <c r="C54" s="3" t="s">
        <v>4672</v>
      </c>
      <c r="D54" s="3" t="s">
        <v>4673</v>
      </c>
      <c r="E54" s="3" t="s">
        <v>4672</v>
      </c>
      <c r="F54" s="3" t="s">
        <v>4674</v>
      </c>
      <c r="G54" s="3" t="s">
        <v>4675</v>
      </c>
      <c r="H54" s="3" t="s">
        <v>2384</v>
      </c>
      <c r="I54" s="3"/>
      <c r="J54" s="3"/>
      <c r="K54" s="3" t="s">
        <v>3867</v>
      </c>
      <c r="L54" s="3" t="s">
        <v>55</v>
      </c>
      <c r="M54" s="3" t="s">
        <v>84</v>
      </c>
      <c r="N54" s="3"/>
      <c r="O54" s="3"/>
      <c r="P54" s="3"/>
      <c r="Q54" s="3"/>
      <c r="R54" s="3" t="s">
        <v>3868</v>
      </c>
      <c r="S54" s="4">
        <v>44109</v>
      </c>
      <c r="T54" s="4">
        <v>44109</v>
      </c>
      <c r="U54" s="3"/>
      <c r="V54" s="3"/>
      <c r="W54" s="3"/>
      <c r="X54" s="3"/>
      <c r="Y54" s="3" t="s">
        <v>4676</v>
      </c>
      <c r="Z54" s="3"/>
      <c r="AA54" s="3"/>
      <c r="AB54" s="3" t="s">
        <v>67</v>
      </c>
      <c r="AC54" s="3" t="s">
        <v>68</v>
      </c>
      <c r="AD54" s="3" t="s">
        <v>68</v>
      </c>
      <c r="AE54" s="3"/>
      <c r="AF54" s="3" t="s">
        <v>70</v>
      </c>
      <c r="AG54" s="3"/>
      <c r="AH54" s="3"/>
      <c r="AI54" s="3" t="s">
        <v>3933</v>
      </c>
      <c r="AJ54" s="3">
        <v>0</v>
      </c>
      <c r="AK54" s="3">
        <v>0</v>
      </c>
      <c r="AL54" s="3"/>
      <c r="AM54" s="3"/>
      <c r="AN54" s="3">
        <v>1</v>
      </c>
      <c r="AO54" s="3">
        <v>55</v>
      </c>
      <c r="AP54" s="3">
        <v>1.1519999999999999</v>
      </c>
      <c r="AQ54" s="3" t="s">
        <v>713</v>
      </c>
      <c r="AR54" s="3" t="s">
        <v>714</v>
      </c>
      <c r="AS54" s="3" t="s">
        <v>713</v>
      </c>
      <c r="AT54" s="4">
        <v>44123</v>
      </c>
      <c r="AU54" s="3" t="s">
        <v>4677</v>
      </c>
      <c r="AV54" s="3">
        <v>39</v>
      </c>
      <c r="AW54" s="3" t="s">
        <v>4646</v>
      </c>
    </row>
    <row r="55" spans="1:49" x14ac:dyDescent="0.55000000000000004">
      <c r="A55" s="3" t="str">
        <f>HYPERLINK("https://www.infodis.net/philips/net/Shipment/Details?InfodisNumber=4530328&amp;DomainCode=DAP", "4530328")</f>
        <v>4530328</v>
      </c>
      <c r="B55" s="3" t="s">
        <v>4678</v>
      </c>
      <c r="C55" s="3" t="s">
        <v>212</v>
      </c>
      <c r="D55" s="3" t="s">
        <v>213</v>
      </c>
      <c r="E55" s="3" t="s">
        <v>304</v>
      </c>
      <c r="F55" s="3" t="s">
        <v>1078</v>
      </c>
      <c r="G55" s="3" t="s">
        <v>216</v>
      </c>
      <c r="H55" s="3" t="s">
        <v>55</v>
      </c>
      <c r="I55" s="3"/>
      <c r="J55" s="3"/>
      <c r="K55" s="3" t="s">
        <v>306</v>
      </c>
      <c r="L55" s="3" t="s">
        <v>307</v>
      </c>
      <c r="M55" s="3" t="s">
        <v>309</v>
      </c>
      <c r="N55" s="3"/>
      <c r="O55" s="3"/>
      <c r="P55" s="3" t="s">
        <v>222</v>
      </c>
      <c r="Q55" s="3"/>
      <c r="R55" s="3" t="s">
        <v>312</v>
      </c>
      <c r="S55" s="4">
        <v>44112</v>
      </c>
      <c r="T55" s="4">
        <v>44116</v>
      </c>
      <c r="U55" s="4">
        <v>44116</v>
      </c>
      <c r="V55" s="3"/>
      <c r="W55" s="3"/>
      <c r="X55" s="3"/>
      <c r="Y55" s="3" t="s">
        <v>940</v>
      </c>
      <c r="Z55" s="3"/>
      <c r="AA55" s="3"/>
      <c r="AB55" s="3" t="s">
        <v>67</v>
      </c>
      <c r="AC55" s="3" t="s">
        <v>68</v>
      </c>
      <c r="AD55" s="3" t="s">
        <v>68</v>
      </c>
      <c r="AE55" s="3"/>
      <c r="AF55" s="3" t="s">
        <v>70</v>
      </c>
      <c r="AG55" s="3"/>
      <c r="AH55" s="3"/>
      <c r="AI55" s="3" t="s">
        <v>73</v>
      </c>
      <c r="AJ55" s="3">
        <v>0</v>
      </c>
      <c r="AK55" s="3">
        <v>0</v>
      </c>
      <c r="AL55" s="3"/>
      <c r="AM55" s="3"/>
      <c r="AN55" s="3">
        <v>0</v>
      </c>
      <c r="AO55" s="3">
        <v>83</v>
      </c>
      <c r="AP55" s="3">
        <v>1.296</v>
      </c>
      <c r="AQ55" s="3" t="s">
        <v>713</v>
      </c>
      <c r="AR55" s="3" t="s">
        <v>714</v>
      </c>
      <c r="AS55" s="3" t="s">
        <v>713</v>
      </c>
      <c r="AT55" s="4">
        <v>44118</v>
      </c>
      <c r="AU55" s="3" t="s">
        <v>4679</v>
      </c>
      <c r="AV55" s="3">
        <v>44</v>
      </c>
      <c r="AW55" s="3" t="s">
        <v>968</v>
      </c>
    </row>
    <row r="56" spans="1:49" x14ac:dyDescent="0.55000000000000004">
      <c r="A56" s="3" t="str">
        <f>HYPERLINK("https://www.infodis.net/philips/net/Shipment/Details?InfodisNumber=1579494&amp;DomainCode=PHILIPSM1", "1579494")</f>
        <v>1579494</v>
      </c>
      <c r="B56" s="3" t="s">
        <v>4680</v>
      </c>
      <c r="C56" s="3" t="s">
        <v>4570</v>
      </c>
      <c r="D56" s="3" t="s">
        <v>4571</v>
      </c>
      <c r="E56" s="3" t="s">
        <v>4572</v>
      </c>
      <c r="F56" s="3" t="s">
        <v>4589</v>
      </c>
      <c r="G56" s="3" t="s">
        <v>1430</v>
      </c>
      <c r="H56" s="3" t="s">
        <v>244</v>
      </c>
      <c r="I56" s="3"/>
      <c r="J56" s="3"/>
      <c r="K56" s="3" t="s">
        <v>3867</v>
      </c>
      <c r="L56" s="3" t="s">
        <v>55</v>
      </c>
      <c r="M56" s="3" t="s">
        <v>60</v>
      </c>
      <c r="N56" s="3"/>
      <c r="O56" s="3"/>
      <c r="P56" s="3" t="s">
        <v>1432</v>
      </c>
      <c r="Q56" s="3"/>
      <c r="R56" s="3" t="s">
        <v>3868</v>
      </c>
      <c r="S56" s="4">
        <v>44154</v>
      </c>
      <c r="T56" s="4">
        <v>44155</v>
      </c>
      <c r="U56" s="4">
        <v>44155</v>
      </c>
      <c r="V56" s="3"/>
      <c r="W56" s="3"/>
      <c r="X56" s="3"/>
      <c r="Y56" s="3" t="s">
        <v>4576</v>
      </c>
      <c r="Z56" s="3"/>
      <c r="AA56" s="3"/>
      <c r="AB56" s="3" t="s">
        <v>67</v>
      </c>
      <c r="AC56" s="3" t="s">
        <v>68</v>
      </c>
      <c r="AD56" s="3" t="s">
        <v>68</v>
      </c>
      <c r="AE56" s="3"/>
      <c r="AF56" s="3" t="s">
        <v>4574</v>
      </c>
      <c r="AG56" s="3"/>
      <c r="AH56" s="3"/>
      <c r="AI56" s="3" t="s">
        <v>605</v>
      </c>
      <c r="AJ56" s="3">
        <v>0</v>
      </c>
      <c r="AK56" s="3">
        <v>0</v>
      </c>
      <c r="AL56" s="3"/>
      <c r="AM56" s="3"/>
      <c r="AN56" s="3">
        <v>2</v>
      </c>
      <c r="AO56" s="3">
        <v>125</v>
      </c>
      <c r="AP56" s="3">
        <v>0</v>
      </c>
      <c r="AQ56" s="3" t="s">
        <v>713</v>
      </c>
      <c r="AR56" s="3" t="s">
        <v>714</v>
      </c>
      <c r="AS56" s="3" t="s">
        <v>713</v>
      </c>
      <c r="AT56" s="4">
        <v>44138</v>
      </c>
      <c r="AU56" s="3" t="s">
        <v>4645</v>
      </c>
      <c r="AV56" s="3">
        <v>24</v>
      </c>
      <c r="AW56" s="3" t="s">
        <v>4646</v>
      </c>
    </row>
    <row r="57" spans="1:49" x14ac:dyDescent="0.55000000000000004">
      <c r="A57" s="3" t="str">
        <f>HYPERLINK("https://www.infodis.net/philips/net/Shipment/Details?InfodisNumber=1581339&amp;DomainCode=PHILIPSM1", "1581339")</f>
        <v>1581339</v>
      </c>
      <c r="B57" s="3" t="s">
        <v>4681</v>
      </c>
      <c r="C57" s="3" t="s">
        <v>4570</v>
      </c>
      <c r="D57" s="3" t="s">
        <v>4571</v>
      </c>
      <c r="E57" s="3" t="s">
        <v>4572</v>
      </c>
      <c r="F57" s="3" t="s">
        <v>4612</v>
      </c>
      <c r="G57" s="3" t="s">
        <v>1430</v>
      </c>
      <c r="H57" s="3" t="s">
        <v>244</v>
      </c>
      <c r="I57" s="3"/>
      <c r="J57" s="3"/>
      <c r="K57" s="3" t="s">
        <v>4613</v>
      </c>
      <c r="L57" s="3" t="s">
        <v>244</v>
      </c>
      <c r="M57" s="3" t="s">
        <v>60</v>
      </c>
      <c r="N57" s="3"/>
      <c r="O57" s="3"/>
      <c r="P57" s="3" t="s">
        <v>1432</v>
      </c>
      <c r="Q57" s="3"/>
      <c r="R57" s="3" t="s">
        <v>4614</v>
      </c>
      <c r="S57" s="4">
        <v>44158</v>
      </c>
      <c r="T57" s="4">
        <v>44159</v>
      </c>
      <c r="U57" s="3"/>
      <c r="V57" s="3"/>
      <c r="W57" s="3"/>
      <c r="X57" s="3"/>
      <c r="Y57" s="3" t="s">
        <v>4576</v>
      </c>
      <c r="Z57" s="3"/>
      <c r="AA57" s="3"/>
      <c r="AB57" s="3" t="s">
        <v>67</v>
      </c>
      <c r="AC57" s="3" t="s">
        <v>68</v>
      </c>
      <c r="AD57" s="3" t="s">
        <v>68</v>
      </c>
      <c r="AE57" s="3"/>
      <c r="AF57" s="3" t="s">
        <v>4574</v>
      </c>
      <c r="AG57" s="3"/>
      <c r="AH57" s="3"/>
      <c r="AI57" s="3" t="s">
        <v>605</v>
      </c>
      <c r="AJ57" s="3">
        <v>0</v>
      </c>
      <c r="AK57" s="3">
        <v>0</v>
      </c>
      <c r="AL57" s="3"/>
      <c r="AM57" s="3"/>
      <c r="AN57" s="3">
        <v>1</v>
      </c>
      <c r="AO57" s="3">
        <v>50</v>
      </c>
      <c r="AP57" s="3">
        <v>1.6319999999999999</v>
      </c>
      <c r="AQ57" s="3" t="s">
        <v>713</v>
      </c>
      <c r="AR57" s="3" t="s">
        <v>714</v>
      </c>
      <c r="AS57" s="3" t="s">
        <v>713</v>
      </c>
      <c r="AT57" s="4">
        <v>44138</v>
      </c>
      <c r="AU57" s="3" t="s">
        <v>4645</v>
      </c>
      <c r="AV57" s="3">
        <v>24</v>
      </c>
      <c r="AW57" s="3" t="s">
        <v>4646</v>
      </c>
    </row>
    <row r="58" spans="1:49" x14ac:dyDescent="0.55000000000000004">
      <c r="A58" s="3" t="str">
        <f>HYPERLINK("https://www.infodis.net/philips/net/Shipment/Details?InfodisNumber=1557606&amp;DomainCode=PHILIPSM1", "1557606")</f>
        <v>1557606</v>
      </c>
      <c r="B58" s="3" t="s">
        <v>4682</v>
      </c>
      <c r="C58" s="3" t="s">
        <v>4570</v>
      </c>
      <c r="D58" s="3" t="s">
        <v>4571</v>
      </c>
      <c r="E58" s="3" t="s">
        <v>4572</v>
      </c>
      <c r="F58" s="3" t="s">
        <v>4579</v>
      </c>
      <c r="G58" s="3" t="s">
        <v>1430</v>
      </c>
      <c r="H58" s="3" t="s">
        <v>244</v>
      </c>
      <c r="I58" s="3"/>
      <c r="J58" s="3"/>
      <c r="K58" s="3" t="s">
        <v>4580</v>
      </c>
      <c r="L58" s="3" t="s">
        <v>244</v>
      </c>
      <c r="M58" s="3" t="s">
        <v>60</v>
      </c>
      <c r="N58" s="3"/>
      <c r="O58" s="3"/>
      <c r="P58" s="3" t="s">
        <v>1432</v>
      </c>
      <c r="Q58" s="3"/>
      <c r="R58" s="3" t="s">
        <v>4581</v>
      </c>
      <c r="S58" s="4">
        <v>44138</v>
      </c>
      <c r="T58" s="4">
        <v>44139</v>
      </c>
      <c r="U58" s="4">
        <v>44139</v>
      </c>
      <c r="V58" s="3"/>
      <c r="W58" s="3"/>
      <c r="X58" s="3"/>
      <c r="Y58" s="3" t="s">
        <v>4576</v>
      </c>
      <c r="Z58" s="3"/>
      <c r="AA58" s="3"/>
      <c r="AB58" s="3" t="s">
        <v>67</v>
      </c>
      <c r="AC58" s="3" t="s">
        <v>68</v>
      </c>
      <c r="AD58" s="3" t="s">
        <v>68</v>
      </c>
      <c r="AE58" s="3"/>
      <c r="AF58" s="3" t="s">
        <v>4574</v>
      </c>
      <c r="AG58" s="3"/>
      <c r="AH58" s="3"/>
      <c r="AI58" s="3" t="s">
        <v>605</v>
      </c>
      <c r="AJ58" s="3">
        <v>0</v>
      </c>
      <c r="AK58" s="3">
        <v>0</v>
      </c>
      <c r="AL58" s="3"/>
      <c r="AM58" s="3"/>
      <c r="AN58" s="3">
        <v>1</v>
      </c>
      <c r="AO58" s="3">
        <v>84</v>
      </c>
      <c r="AP58" s="3">
        <v>1.728</v>
      </c>
      <c r="AQ58" s="3" t="s">
        <v>713</v>
      </c>
      <c r="AR58" s="3" t="s">
        <v>714</v>
      </c>
      <c r="AS58" s="3" t="s">
        <v>713</v>
      </c>
      <c r="AT58" s="4">
        <v>44138</v>
      </c>
      <c r="AU58" s="3" t="s">
        <v>4645</v>
      </c>
      <c r="AV58" s="3">
        <v>24</v>
      </c>
      <c r="AW58" s="3" t="s">
        <v>4646</v>
      </c>
    </row>
    <row r="59" spans="1:49" x14ac:dyDescent="0.55000000000000004">
      <c r="A59" s="3" t="str">
        <f>HYPERLINK("https://www.infodis.net/philips/net/Shipment/Details?InfodisNumber=1557323&amp;DomainCode=PHILIPSM1", "1557323")</f>
        <v>1557323</v>
      </c>
      <c r="B59" s="3" t="s">
        <v>4683</v>
      </c>
      <c r="C59" s="3" t="s">
        <v>4570</v>
      </c>
      <c r="D59" s="3" t="s">
        <v>4571</v>
      </c>
      <c r="E59" s="3" t="s">
        <v>4572</v>
      </c>
      <c r="F59" s="3" t="s">
        <v>4579</v>
      </c>
      <c r="G59" s="3" t="s">
        <v>1430</v>
      </c>
      <c r="H59" s="3" t="s">
        <v>244</v>
      </c>
      <c r="I59" s="3"/>
      <c r="J59" s="3"/>
      <c r="K59" s="3" t="s">
        <v>4580</v>
      </c>
      <c r="L59" s="3" t="s">
        <v>244</v>
      </c>
      <c r="M59" s="3" t="s">
        <v>60</v>
      </c>
      <c r="N59" s="3"/>
      <c r="O59" s="3"/>
      <c r="P59" s="3" t="s">
        <v>1432</v>
      </c>
      <c r="Q59" s="3"/>
      <c r="R59" s="3" t="s">
        <v>4581</v>
      </c>
      <c r="S59" s="4">
        <v>44134</v>
      </c>
      <c r="T59" s="4">
        <v>44137</v>
      </c>
      <c r="U59" s="4">
        <v>44137</v>
      </c>
      <c r="V59" s="3"/>
      <c r="W59" s="3"/>
      <c r="X59" s="3"/>
      <c r="Y59" s="3" t="s">
        <v>4576</v>
      </c>
      <c r="Z59" s="3"/>
      <c r="AA59" s="3"/>
      <c r="AB59" s="3" t="s">
        <v>67</v>
      </c>
      <c r="AC59" s="3" t="s">
        <v>68</v>
      </c>
      <c r="AD59" s="3" t="s">
        <v>68</v>
      </c>
      <c r="AE59" s="3"/>
      <c r="AF59" s="3" t="s">
        <v>4574</v>
      </c>
      <c r="AG59" s="3"/>
      <c r="AH59" s="3"/>
      <c r="AI59" s="3" t="s">
        <v>605</v>
      </c>
      <c r="AJ59" s="3">
        <v>0</v>
      </c>
      <c r="AK59" s="3">
        <v>0</v>
      </c>
      <c r="AL59" s="3"/>
      <c r="AM59" s="3"/>
      <c r="AN59" s="3">
        <v>4</v>
      </c>
      <c r="AO59" s="3">
        <v>258</v>
      </c>
      <c r="AP59" s="3">
        <v>5.8559999999999999</v>
      </c>
      <c r="AQ59" s="3" t="s">
        <v>713</v>
      </c>
      <c r="AR59" s="3" t="s">
        <v>714</v>
      </c>
      <c r="AS59" s="3" t="s">
        <v>713</v>
      </c>
      <c r="AT59" s="4">
        <v>44138</v>
      </c>
      <c r="AU59" s="3" t="s">
        <v>4645</v>
      </c>
      <c r="AV59" s="3">
        <v>24</v>
      </c>
      <c r="AW59" s="3" t="s">
        <v>4646</v>
      </c>
    </row>
    <row r="60" spans="1:49" x14ac:dyDescent="0.55000000000000004">
      <c r="A60" s="3" t="str">
        <f>HYPERLINK("https://www.infodis.net/philips/net/Shipment/Details?InfodisNumber=1557610&amp;DomainCode=PHILIPSM1", "1557610")</f>
        <v>1557610</v>
      </c>
      <c r="B60" s="3" t="s">
        <v>4684</v>
      </c>
      <c r="C60" s="3" t="s">
        <v>4570</v>
      </c>
      <c r="D60" s="3" t="s">
        <v>4571</v>
      </c>
      <c r="E60" s="3" t="s">
        <v>4572</v>
      </c>
      <c r="F60" s="3" t="s">
        <v>4612</v>
      </c>
      <c r="G60" s="3" t="s">
        <v>1430</v>
      </c>
      <c r="H60" s="3" t="s">
        <v>244</v>
      </c>
      <c r="I60" s="3"/>
      <c r="J60" s="3"/>
      <c r="K60" s="3" t="s">
        <v>4613</v>
      </c>
      <c r="L60" s="3" t="s">
        <v>244</v>
      </c>
      <c r="M60" s="3" t="s">
        <v>60</v>
      </c>
      <c r="N60" s="3"/>
      <c r="O60" s="3"/>
      <c r="P60" s="3" t="s">
        <v>1432</v>
      </c>
      <c r="Q60" s="3"/>
      <c r="R60" s="3" t="s">
        <v>4614</v>
      </c>
      <c r="S60" s="4">
        <v>44138</v>
      </c>
      <c r="T60" s="4">
        <v>44139</v>
      </c>
      <c r="U60" s="4">
        <v>44139</v>
      </c>
      <c r="V60" s="3"/>
      <c r="W60" s="3"/>
      <c r="X60" s="3"/>
      <c r="Y60" s="3" t="s">
        <v>4576</v>
      </c>
      <c r="Z60" s="3"/>
      <c r="AA60" s="3"/>
      <c r="AB60" s="3" t="s">
        <v>67</v>
      </c>
      <c r="AC60" s="3" t="s">
        <v>68</v>
      </c>
      <c r="AD60" s="3" t="s">
        <v>68</v>
      </c>
      <c r="AE60" s="3"/>
      <c r="AF60" s="3" t="s">
        <v>4574</v>
      </c>
      <c r="AG60" s="3"/>
      <c r="AH60" s="3"/>
      <c r="AI60" s="3" t="s">
        <v>605</v>
      </c>
      <c r="AJ60" s="3">
        <v>0</v>
      </c>
      <c r="AK60" s="3">
        <v>0</v>
      </c>
      <c r="AL60" s="3"/>
      <c r="AM60" s="3"/>
      <c r="AN60" s="3">
        <v>1</v>
      </c>
      <c r="AO60" s="3">
        <v>40</v>
      </c>
      <c r="AP60" s="3">
        <v>0.96</v>
      </c>
      <c r="AQ60" s="3" t="s">
        <v>713</v>
      </c>
      <c r="AR60" s="3" t="s">
        <v>714</v>
      </c>
      <c r="AS60" s="3" t="s">
        <v>713</v>
      </c>
      <c r="AT60" s="4">
        <v>44138</v>
      </c>
      <c r="AU60" s="3" t="s">
        <v>4645</v>
      </c>
      <c r="AV60" s="3">
        <v>24</v>
      </c>
      <c r="AW60" s="3" t="s">
        <v>4646</v>
      </c>
    </row>
    <row r="61" spans="1:49" x14ac:dyDescent="0.55000000000000004">
      <c r="A61" s="3" t="str">
        <f>HYPERLINK("https://www.infodis.net/philips/net/Shipment/Details?InfodisNumber=1406070&amp;DomainCode=PHILIPSM1", "1406070")</f>
        <v>1406070</v>
      </c>
      <c r="B61" s="3" t="s">
        <v>4685</v>
      </c>
      <c r="C61" s="3" t="s">
        <v>4686</v>
      </c>
      <c r="D61" s="3" t="s">
        <v>4687</v>
      </c>
      <c r="E61" s="3" t="s">
        <v>4686</v>
      </c>
      <c r="F61" s="3" t="s">
        <v>4674</v>
      </c>
      <c r="G61" s="3" t="s">
        <v>4688</v>
      </c>
      <c r="H61" s="3" t="s">
        <v>244</v>
      </c>
      <c r="I61" s="3"/>
      <c r="J61" s="3"/>
      <c r="K61" s="3" t="s">
        <v>3867</v>
      </c>
      <c r="L61" s="3" t="s">
        <v>55</v>
      </c>
      <c r="M61" s="3" t="s">
        <v>84</v>
      </c>
      <c r="N61" s="3"/>
      <c r="O61" s="3"/>
      <c r="P61" s="3" t="s">
        <v>4689</v>
      </c>
      <c r="Q61" s="3"/>
      <c r="R61" s="3" t="s">
        <v>3868</v>
      </c>
      <c r="S61" s="4">
        <v>44116</v>
      </c>
      <c r="T61" s="4">
        <v>44116</v>
      </c>
      <c r="U61" s="4">
        <v>44117</v>
      </c>
      <c r="V61" s="3"/>
      <c r="W61" s="3"/>
      <c r="X61" s="3"/>
      <c r="Y61" s="3" t="s">
        <v>4624</v>
      </c>
      <c r="Z61" s="3"/>
      <c r="AA61" s="3"/>
      <c r="AB61" s="3" t="s">
        <v>67</v>
      </c>
      <c r="AC61" s="3" t="s">
        <v>68</v>
      </c>
      <c r="AD61" s="3" t="s">
        <v>68</v>
      </c>
      <c r="AE61" s="3"/>
      <c r="AF61" s="3" t="s">
        <v>70</v>
      </c>
      <c r="AG61" s="3"/>
      <c r="AH61" s="3"/>
      <c r="AI61" s="3" t="s">
        <v>3933</v>
      </c>
      <c r="AJ61" s="3">
        <v>0</v>
      </c>
      <c r="AK61" s="3">
        <v>0</v>
      </c>
      <c r="AL61" s="3"/>
      <c r="AM61" s="3"/>
      <c r="AN61" s="3">
        <v>1</v>
      </c>
      <c r="AO61" s="3">
        <v>82</v>
      </c>
      <c r="AP61" s="3">
        <v>0.81700000000000006</v>
      </c>
      <c r="AQ61" s="3" t="s">
        <v>713</v>
      </c>
      <c r="AR61" s="3" t="s">
        <v>714</v>
      </c>
      <c r="AS61" s="3" t="s">
        <v>713</v>
      </c>
      <c r="AT61" s="4">
        <v>44123</v>
      </c>
      <c r="AU61" s="3" t="s">
        <v>4677</v>
      </c>
      <c r="AV61" s="3">
        <v>39</v>
      </c>
      <c r="AW61" s="3" t="s">
        <v>4646</v>
      </c>
    </row>
    <row r="62" spans="1:49" x14ac:dyDescent="0.55000000000000004">
      <c r="A62" s="3" t="str">
        <f>HYPERLINK("https://www.infodis.net/philips/net/Shipment/Details?InfodisNumber=1408409&amp;DomainCode=PHILIPSM1", "1408409")</f>
        <v>1408409</v>
      </c>
      <c r="B62" s="3" t="s">
        <v>4690</v>
      </c>
      <c r="C62" s="3" t="s">
        <v>4686</v>
      </c>
      <c r="D62" s="3" t="s">
        <v>4687</v>
      </c>
      <c r="E62" s="3" t="s">
        <v>4686</v>
      </c>
      <c r="F62" s="3" t="s">
        <v>4674</v>
      </c>
      <c r="G62" s="3" t="s">
        <v>4688</v>
      </c>
      <c r="H62" s="3" t="s">
        <v>244</v>
      </c>
      <c r="I62" s="3"/>
      <c r="J62" s="3"/>
      <c r="K62" s="3" t="s">
        <v>3867</v>
      </c>
      <c r="L62" s="3" t="s">
        <v>55</v>
      </c>
      <c r="M62" s="3" t="s">
        <v>84</v>
      </c>
      <c r="N62" s="3"/>
      <c r="O62" s="3"/>
      <c r="P62" s="3" t="s">
        <v>4689</v>
      </c>
      <c r="Q62" s="3"/>
      <c r="R62" s="3" t="s">
        <v>3868</v>
      </c>
      <c r="S62" s="4">
        <v>44120</v>
      </c>
      <c r="T62" s="4">
        <v>44122</v>
      </c>
      <c r="U62" s="4">
        <v>44123</v>
      </c>
      <c r="V62" s="3"/>
      <c r="W62" s="3"/>
      <c r="X62" s="3"/>
      <c r="Y62" s="3" t="s">
        <v>4624</v>
      </c>
      <c r="Z62" s="3"/>
      <c r="AA62" s="3"/>
      <c r="AB62" s="3" t="s">
        <v>67</v>
      </c>
      <c r="AC62" s="3" t="s">
        <v>68</v>
      </c>
      <c r="AD62" s="3" t="s">
        <v>68</v>
      </c>
      <c r="AE62" s="3"/>
      <c r="AF62" s="3" t="s">
        <v>70</v>
      </c>
      <c r="AG62" s="3"/>
      <c r="AH62" s="3"/>
      <c r="AI62" s="3" t="s">
        <v>3933</v>
      </c>
      <c r="AJ62" s="3">
        <v>0</v>
      </c>
      <c r="AK62" s="3">
        <v>0</v>
      </c>
      <c r="AL62" s="3"/>
      <c r="AM62" s="3"/>
      <c r="AN62" s="3">
        <v>1</v>
      </c>
      <c r="AO62" s="3">
        <v>103</v>
      </c>
      <c r="AP62" s="3">
        <v>1.3169999999999999</v>
      </c>
      <c r="AQ62" s="3" t="s">
        <v>713</v>
      </c>
      <c r="AR62" s="3" t="s">
        <v>714</v>
      </c>
      <c r="AS62" s="3" t="s">
        <v>713</v>
      </c>
      <c r="AT62" s="4">
        <v>44123</v>
      </c>
      <c r="AU62" s="3" t="s">
        <v>4677</v>
      </c>
      <c r="AV62" s="3">
        <v>39</v>
      </c>
      <c r="AW62" s="3" t="s">
        <v>4646</v>
      </c>
    </row>
    <row r="63" spans="1:49" x14ac:dyDescent="0.55000000000000004">
      <c r="A63" s="3" t="str">
        <f>HYPERLINK("https://www.infodis.net/philips/net/Shipment/Details?InfodisNumber=1409008&amp;DomainCode=PHILIPSM1", "1409008")</f>
        <v>1409008</v>
      </c>
      <c r="B63" s="3" t="s">
        <v>4691</v>
      </c>
      <c r="C63" s="3" t="s">
        <v>4686</v>
      </c>
      <c r="D63" s="3" t="s">
        <v>4687</v>
      </c>
      <c r="E63" s="3" t="s">
        <v>4686</v>
      </c>
      <c r="F63" s="3" t="s">
        <v>4621</v>
      </c>
      <c r="G63" s="3" t="s">
        <v>4688</v>
      </c>
      <c r="H63" s="3" t="s">
        <v>244</v>
      </c>
      <c r="I63" s="3"/>
      <c r="J63" s="3"/>
      <c r="K63" s="3" t="s">
        <v>3867</v>
      </c>
      <c r="L63" s="3" t="s">
        <v>55</v>
      </c>
      <c r="M63" s="3" t="s">
        <v>84</v>
      </c>
      <c r="N63" s="3"/>
      <c r="O63" s="3"/>
      <c r="P63" s="3" t="s">
        <v>4689</v>
      </c>
      <c r="Q63" s="3"/>
      <c r="R63" s="3" t="s">
        <v>3868</v>
      </c>
      <c r="S63" s="4">
        <v>44123</v>
      </c>
      <c r="T63" s="4">
        <v>44123</v>
      </c>
      <c r="U63" s="4">
        <v>44124</v>
      </c>
      <c r="V63" s="3"/>
      <c r="W63" s="3"/>
      <c r="X63" s="3"/>
      <c r="Y63" s="3" t="s">
        <v>4624</v>
      </c>
      <c r="Z63" s="3"/>
      <c r="AA63" s="3"/>
      <c r="AB63" s="3" t="s">
        <v>67</v>
      </c>
      <c r="AC63" s="3" t="s">
        <v>68</v>
      </c>
      <c r="AD63" s="3" t="s">
        <v>68</v>
      </c>
      <c r="AE63" s="3"/>
      <c r="AF63" s="3" t="s">
        <v>70</v>
      </c>
      <c r="AG63" s="3"/>
      <c r="AH63" s="3"/>
      <c r="AI63" s="3" t="s">
        <v>3933</v>
      </c>
      <c r="AJ63" s="3">
        <v>0</v>
      </c>
      <c r="AK63" s="3">
        <v>0</v>
      </c>
      <c r="AL63" s="3"/>
      <c r="AM63" s="3"/>
      <c r="AN63" s="3">
        <v>1</v>
      </c>
      <c r="AO63" s="3">
        <v>75</v>
      </c>
      <c r="AP63" s="3">
        <v>0.85499999999999998</v>
      </c>
      <c r="AQ63" s="3" t="s">
        <v>713</v>
      </c>
      <c r="AR63" s="3" t="s">
        <v>714</v>
      </c>
      <c r="AS63" s="3" t="s">
        <v>713</v>
      </c>
      <c r="AT63" s="4">
        <v>44123</v>
      </c>
      <c r="AU63" s="3" t="s">
        <v>4677</v>
      </c>
      <c r="AV63" s="3">
        <v>39</v>
      </c>
      <c r="AW63" s="3" t="s">
        <v>4646</v>
      </c>
    </row>
    <row r="64" spans="1:49" x14ac:dyDescent="0.55000000000000004">
      <c r="A64" s="3" t="str">
        <f>HYPERLINK("https://www.infodis.net/philips/net/Shipment/Details?InfodisNumber=1404792&amp;DomainCode=PHILIPSM1", "1404792")</f>
        <v>1404792</v>
      </c>
      <c r="B64" s="3" t="s">
        <v>4692</v>
      </c>
      <c r="C64" s="3" t="s">
        <v>4693</v>
      </c>
      <c r="D64" s="3" t="s">
        <v>4694</v>
      </c>
      <c r="E64" s="3" t="s">
        <v>4695</v>
      </c>
      <c r="F64" s="3" t="s">
        <v>4674</v>
      </c>
      <c r="G64" s="3" t="s">
        <v>4696</v>
      </c>
      <c r="H64" s="3" t="s">
        <v>55</v>
      </c>
      <c r="I64" s="3"/>
      <c r="J64" s="3"/>
      <c r="K64" s="3" t="s">
        <v>3867</v>
      </c>
      <c r="L64" s="3" t="s">
        <v>55</v>
      </c>
      <c r="M64" s="3" t="s">
        <v>84</v>
      </c>
      <c r="N64" s="3"/>
      <c r="O64" s="3"/>
      <c r="P64" s="3" t="s">
        <v>4697</v>
      </c>
      <c r="Q64" s="3"/>
      <c r="R64" s="3" t="s">
        <v>3868</v>
      </c>
      <c r="S64" s="4">
        <v>44112</v>
      </c>
      <c r="T64" s="4">
        <v>44112</v>
      </c>
      <c r="U64" s="4">
        <v>44116</v>
      </c>
      <c r="V64" s="3"/>
      <c r="W64" s="3"/>
      <c r="X64" s="3"/>
      <c r="Y64" s="3" t="s">
        <v>4624</v>
      </c>
      <c r="Z64" s="3"/>
      <c r="AA64" s="3"/>
      <c r="AB64" s="3" t="s">
        <v>67</v>
      </c>
      <c r="AC64" s="3" t="s">
        <v>68</v>
      </c>
      <c r="AD64" s="3" t="s">
        <v>68</v>
      </c>
      <c r="AE64" s="3"/>
      <c r="AF64" s="3" t="s">
        <v>70</v>
      </c>
      <c r="AG64" s="3"/>
      <c r="AH64" s="3"/>
      <c r="AI64" s="3" t="s">
        <v>3933</v>
      </c>
      <c r="AJ64" s="3">
        <v>0</v>
      </c>
      <c r="AK64" s="3">
        <v>0</v>
      </c>
      <c r="AL64" s="3"/>
      <c r="AM64" s="3"/>
      <c r="AN64" s="3">
        <v>1</v>
      </c>
      <c r="AO64" s="3">
        <v>193</v>
      </c>
      <c r="AP64" s="3">
        <v>0.28799999999999998</v>
      </c>
      <c r="AQ64" s="3" t="s">
        <v>713</v>
      </c>
      <c r="AR64" s="3" t="s">
        <v>714</v>
      </c>
      <c r="AS64" s="3" t="s">
        <v>713</v>
      </c>
      <c r="AT64" s="4">
        <v>44123</v>
      </c>
      <c r="AU64" s="3" t="s">
        <v>4677</v>
      </c>
      <c r="AV64" s="3">
        <v>39</v>
      </c>
      <c r="AW64" s="3" t="s">
        <v>4646</v>
      </c>
    </row>
    <row r="65" spans="1:49" x14ac:dyDescent="0.55000000000000004">
      <c r="A65" s="3" t="str">
        <f>HYPERLINK("https://www.infodis.net/philips/net/Shipment/Details?InfodisNumber=1408402&amp;DomainCode=PHILIPSM1", "1408402")</f>
        <v>1408402</v>
      </c>
      <c r="B65" s="3" t="s">
        <v>4698</v>
      </c>
      <c r="C65" s="3" t="s">
        <v>4699</v>
      </c>
      <c r="D65" s="3" t="s">
        <v>4700</v>
      </c>
      <c r="E65" s="3" t="s">
        <v>4695</v>
      </c>
      <c r="F65" s="3" t="s">
        <v>4621</v>
      </c>
      <c r="G65" s="3" t="s">
        <v>4701</v>
      </c>
      <c r="H65" s="3" t="s">
        <v>244</v>
      </c>
      <c r="I65" s="3"/>
      <c r="J65" s="3"/>
      <c r="K65" s="3" t="s">
        <v>3867</v>
      </c>
      <c r="L65" s="3" t="s">
        <v>55</v>
      </c>
      <c r="M65" s="3" t="s">
        <v>84</v>
      </c>
      <c r="N65" s="3"/>
      <c r="O65" s="3"/>
      <c r="P65" s="3" t="s">
        <v>4702</v>
      </c>
      <c r="Q65" s="3"/>
      <c r="R65" s="3" t="s">
        <v>3868</v>
      </c>
      <c r="S65" s="4">
        <v>44120</v>
      </c>
      <c r="T65" s="4">
        <v>44120</v>
      </c>
      <c r="U65" s="3"/>
      <c r="V65" s="3"/>
      <c r="W65" s="3"/>
      <c r="X65" s="3"/>
      <c r="Y65" s="3" t="s">
        <v>4624</v>
      </c>
      <c r="Z65" s="3"/>
      <c r="AA65" s="3"/>
      <c r="AB65" s="3" t="s">
        <v>67</v>
      </c>
      <c r="AC65" s="3" t="s">
        <v>68</v>
      </c>
      <c r="AD65" s="3" t="s">
        <v>68</v>
      </c>
      <c r="AE65" s="3"/>
      <c r="AF65" s="3" t="s">
        <v>70</v>
      </c>
      <c r="AG65" s="3"/>
      <c r="AH65" s="3"/>
      <c r="AI65" s="3" t="s">
        <v>3933</v>
      </c>
      <c r="AJ65" s="3">
        <v>0</v>
      </c>
      <c r="AK65" s="3">
        <v>0</v>
      </c>
      <c r="AL65" s="3"/>
      <c r="AM65" s="3"/>
      <c r="AN65" s="3">
        <v>1</v>
      </c>
      <c r="AO65" s="3">
        <v>50</v>
      </c>
      <c r="AP65" s="3">
        <v>0.54600000000000004</v>
      </c>
      <c r="AQ65" s="3" t="s">
        <v>713</v>
      </c>
      <c r="AR65" s="3" t="s">
        <v>714</v>
      </c>
      <c r="AS65" s="3" t="s">
        <v>713</v>
      </c>
      <c r="AT65" s="4">
        <v>44123</v>
      </c>
      <c r="AU65" s="3" t="s">
        <v>4677</v>
      </c>
      <c r="AV65" s="3">
        <v>39</v>
      </c>
      <c r="AW65" s="3" t="s">
        <v>4646</v>
      </c>
    </row>
    <row r="66" spans="1:49" x14ac:dyDescent="0.55000000000000004">
      <c r="A66" s="3" t="str">
        <f>HYPERLINK("https://www.infodis.net/philips/net/Shipment/Details?InfodisNumber=1550700&amp;DomainCode=PHILIPSM1", "1550700")</f>
        <v>1550700</v>
      </c>
      <c r="B66" s="3" t="s">
        <v>4703</v>
      </c>
      <c r="C66" s="3" t="s">
        <v>4570</v>
      </c>
      <c r="D66" s="3" t="s">
        <v>4571</v>
      </c>
      <c r="E66" s="3" t="s">
        <v>2082</v>
      </c>
      <c r="F66" s="3" t="s">
        <v>4105</v>
      </c>
      <c r="G66" s="3" t="s">
        <v>1430</v>
      </c>
      <c r="H66" s="3" t="s">
        <v>244</v>
      </c>
      <c r="I66" s="3"/>
      <c r="J66" s="3"/>
      <c r="K66" s="3" t="s">
        <v>3334</v>
      </c>
      <c r="L66" s="3" t="s">
        <v>380</v>
      </c>
      <c r="M66" s="3" t="s">
        <v>60</v>
      </c>
      <c r="N66" s="3"/>
      <c r="O66" s="3"/>
      <c r="P66" s="3" t="s">
        <v>1432</v>
      </c>
      <c r="Q66" s="3"/>
      <c r="R66" s="3" t="s">
        <v>4704</v>
      </c>
      <c r="S66" s="4">
        <v>44127</v>
      </c>
      <c r="T66" s="4">
        <v>44128</v>
      </c>
      <c r="U66" s="4">
        <v>44128</v>
      </c>
      <c r="V66" s="3"/>
      <c r="W66" s="3"/>
      <c r="X66" s="3"/>
      <c r="Y66" s="3" t="s">
        <v>4705</v>
      </c>
      <c r="Z66" s="3"/>
      <c r="AA66" s="3"/>
      <c r="AB66" s="3" t="s">
        <v>67</v>
      </c>
      <c r="AC66" s="3" t="s">
        <v>68</v>
      </c>
      <c r="AD66" s="3" t="s">
        <v>68</v>
      </c>
      <c r="AE66" s="3"/>
      <c r="AF66" s="3" t="s">
        <v>4574</v>
      </c>
      <c r="AG66" s="3"/>
      <c r="AH66" s="3"/>
      <c r="AI66" s="3" t="s">
        <v>605</v>
      </c>
      <c r="AJ66" s="3">
        <v>0</v>
      </c>
      <c r="AK66" s="3">
        <v>0</v>
      </c>
      <c r="AL66" s="3"/>
      <c r="AM66" s="3"/>
      <c r="AN66" s="3">
        <v>1</v>
      </c>
      <c r="AO66" s="3">
        <v>100</v>
      </c>
      <c r="AP66" s="3">
        <v>1.536</v>
      </c>
      <c r="AQ66" s="3" t="s">
        <v>713</v>
      </c>
      <c r="AR66" s="3" t="s">
        <v>714</v>
      </c>
      <c r="AS66" s="3" t="s">
        <v>713</v>
      </c>
      <c r="AT66" s="4">
        <v>44138</v>
      </c>
      <c r="AU66" s="3" t="s">
        <v>4645</v>
      </c>
      <c r="AV66" s="3">
        <v>24</v>
      </c>
      <c r="AW66" s="3" t="s">
        <v>4646</v>
      </c>
    </row>
    <row r="67" spans="1:49" x14ac:dyDescent="0.55000000000000004">
      <c r="A67" s="3" t="str">
        <f>HYPERLINK("https://www.infodis.net/philips/net/Shipment/Details?InfodisNumber=1554942&amp;DomainCode=PHILIPSM1", "1554942")</f>
        <v>1554942</v>
      </c>
      <c r="B67" s="3" t="s">
        <v>4706</v>
      </c>
      <c r="C67" s="3" t="s">
        <v>4570</v>
      </c>
      <c r="D67" s="3" t="s">
        <v>4571</v>
      </c>
      <c r="E67" s="3" t="s">
        <v>4707</v>
      </c>
      <c r="F67" s="3"/>
      <c r="G67" s="3" t="s">
        <v>1430</v>
      </c>
      <c r="H67" s="3" t="s">
        <v>244</v>
      </c>
      <c r="I67" s="3"/>
      <c r="J67" s="3"/>
      <c r="K67" s="3" t="s">
        <v>3344</v>
      </c>
      <c r="L67" s="3" t="s">
        <v>55</v>
      </c>
      <c r="M67" s="3" t="s">
        <v>60</v>
      </c>
      <c r="N67" s="3"/>
      <c r="O67" s="3"/>
      <c r="P67" s="3" t="s">
        <v>1432</v>
      </c>
      <c r="Q67" s="3"/>
      <c r="R67" s="3" t="s">
        <v>3345</v>
      </c>
      <c r="S67" s="4">
        <v>44132</v>
      </c>
      <c r="T67" s="4">
        <v>44132</v>
      </c>
      <c r="U67" s="4">
        <v>44134</v>
      </c>
      <c r="V67" s="3"/>
      <c r="W67" s="3"/>
      <c r="X67" s="3"/>
      <c r="Y67" s="3" t="s">
        <v>4576</v>
      </c>
      <c r="Z67" s="3"/>
      <c r="AA67" s="3"/>
      <c r="AB67" s="3" t="s">
        <v>67</v>
      </c>
      <c r="AC67" s="3" t="s">
        <v>68</v>
      </c>
      <c r="AD67" s="3" t="s">
        <v>68</v>
      </c>
      <c r="AE67" s="3"/>
      <c r="AF67" s="3" t="s">
        <v>4574</v>
      </c>
      <c r="AG67" s="3"/>
      <c r="AH67" s="3"/>
      <c r="AI67" s="3" t="s">
        <v>605</v>
      </c>
      <c r="AJ67" s="3">
        <v>0</v>
      </c>
      <c r="AK67" s="3">
        <v>0</v>
      </c>
      <c r="AL67" s="3"/>
      <c r="AM67" s="3"/>
      <c r="AN67" s="3">
        <v>0</v>
      </c>
      <c r="AO67" s="3">
        <v>370</v>
      </c>
      <c r="AP67" s="3">
        <v>3.83</v>
      </c>
      <c r="AQ67" s="3" t="s">
        <v>713</v>
      </c>
      <c r="AR67" s="3" t="s">
        <v>714</v>
      </c>
      <c r="AS67" s="3" t="s">
        <v>713</v>
      </c>
      <c r="AT67" s="4">
        <v>44138</v>
      </c>
      <c r="AU67" s="3" t="s">
        <v>4645</v>
      </c>
      <c r="AV67" s="3">
        <v>24</v>
      </c>
      <c r="AW67" s="3" t="s">
        <v>4646</v>
      </c>
    </row>
    <row r="68" spans="1:49" x14ac:dyDescent="0.55000000000000004">
      <c r="A68" s="3" t="str">
        <f>HYPERLINK("https://www.infodis.net/philips/net/Shipment/Details?InfodisNumber=1555485&amp;DomainCode=PHILIPSM1", "1555485")</f>
        <v>1555485</v>
      </c>
      <c r="B68" s="3" t="s">
        <v>4708</v>
      </c>
      <c r="C68" s="3" t="s">
        <v>4570</v>
      </c>
      <c r="D68" s="3" t="s">
        <v>4571</v>
      </c>
      <c r="E68" s="3" t="s">
        <v>4572</v>
      </c>
      <c r="F68" s="3" t="s">
        <v>4709</v>
      </c>
      <c r="G68" s="3" t="s">
        <v>1430</v>
      </c>
      <c r="H68" s="3" t="s">
        <v>244</v>
      </c>
      <c r="I68" s="3"/>
      <c r="J68" s="3"/>
      <c r="K68" s="3" t="s">
        <v>4710</v>
      </c>
      <c r="L68" s="3" t="s">
        <v>3082</v>
      </c>
      <c r="M68" s="3" t="s">
        <v>60</v>
      </c>
      <c r="N68" s="3"/>
      <c r="O68" s="3"/>
      <c r="P68" s="3" t="s">
        <v>1432</v>
      </c>
      <c r="Q68" s="3"/>
      <c r="R68" s="3" t="s">
        <v>4711</v>
      </c>
      <c r="S68" s="4">
        <v>44132</v>
      </c>
      <c r="T68" s="4">
        <v>44133</v>
      </c>
      <c r="U68" s="4">
        <v>44133</v>
      </c>
      <c r="V68" s="3"/>
      <c r="W68" s="3"/>
      <c r="X68" s="3"/>
      <c r="Y68" s="3" t="s">
        <v>4576</v>
      </c>
      <c r="Z68" s="3"/>
      <c r="AA68" s="3"/>
      <c r="AB68" s="3" t="s">
        <v>67</v>
      </c>
      <c r="AC68" s="3" t="s">
        <v>68</v>
      </c>
      <c r="AD68" s="3" t="s">
        <v>68</v>
      </c>
      <c r="AE68" s="3"/>
      <c r="AF68" s="3" t="s">
        <v>4574</v>
      </c>
      <c r="AG68" s="3"/>
      <c r="AH68" s="3"/>
      <c r="AI68" s="3" t="s">
        <v>605</v>
      </c>
      <c r="AJ68" s="3">
        <v>0</v>
      </c>
      <c r="AK68" s="3">
        <v>0</v>
      </c>
      <c r="AL68" s="3"/>
      <c r="AM68" s="3"/>
      <c r="AN68" s="3">
        <v>2</v>
      </c>
      <c r="AO68" s="3">
        <v>581</v>
      </c>
      <c r="AP68" s="3">
        <v>5.0880000000000001</v>
      </c>
      <c r="AQ68" s="3" t="s">
        <v>713</v>
      </c>
      <c r="AR68" s="3" t="s">
        <v>714</v>
      </c>
      <c r="AS68" s="3" t="s">
        <v>713</v>
      </c>
      <c r="AT68" s="4">
        <v>44138</v>
      </c>
      <c r="AU68" s="3" t="s">
        <v>4645</v>
      </c>
      <c r="AV68" s="3">
        <v>24</v>
      </c>
      <c r="AW68" s="3" t="s">
        <v>4646</v>
      </c>
    </row>
    <row r="69" spans="1:49" x14ac:dyDescent="0.55000000000000004">
      <c r="A69" s="3" t="str">
        <f>HYPERLINK("https://www.infodis.net/philips/net/Shipment/Details?InfodisNumber=1400975&amp;DomainCode=PHILIPSM1", "1400975")</f>
        <v>1400975</v>
      </c>
      <c r="B69" s="3" t="s">
        <v>4712</v>
      </c>
      <c r="C69" s="3" t="s">
        <v>4713</v>
      </c>
      <c r="D69" s="3" t="s">
        <v>4714</v>
      </c>
      <c r="E69" s="3" t="s">
        <v>4713</v>
      </c>
      <c r="F69" s="3" t="s">
        <v>4674</v>
      </c>
      <c r="G69" s="3" t="s">
        <v>4715</v>
      </c>
      <c r="H69" s="3" t="s">
        <v>244</v>
      </c>
      <c r="I69" s="3"/>
      <c r="J69" s="3"/>
      <c r="K69" s="3" t="s">
        <v>3867</v>
      </c>
      <c r="L69" s="3" t="s">
        <v>55</v>
      </c>
      <c r="M69" s="3" t="s">
        <v>84</v>
      </c>
      <c r="N69" s="3"/>
      <c r="O69" s="3"/>
      <c r="P69" s="3" t="s">
        <v>4716</v>
      </c>
      <c r="Q69" s="3"/>
      <c r="R69" s="3" t="s">
        <v>3868</v>
      </c>
      <c r="S69" s="4">
        <v>44104</v>
      </c>
      <c r="T69" s="4">
        <v>44104</v>
      </c>
      <c r="U69" s="3"/>
      <c r="V69" s="3"/>
      <c r="W69" s="3"/>
      <c r="X69" s="3"/>
      <c r="Y69" s="3" t="s">
        <v>4676</v>
      </c>
      <c r="Z69" s="3"/>
      <c r="AA69" s="3"/>
      <c r="AB69" s="3" t="s">
        <v>67</v>
      </c>
      <c r="AC69" s="3" t="s">
        <v>68</v>
      </c>
      <c r="AD69" s="3" t="s">
        <v>68</v>
      </c>
      <c r="AE69" s="3"/>
      <c r="AF69" s="3" t="s">
        <v>70</v>
      </c>
      <c r="AG69" s="3"/>
      <c r="AH69" s="3"/>
      <c r="AI69" s="3" t="s">
        <v>3933</v>
      </c>
      <c r="AJ69" s="3">
        <v>0</v>
      </c>
      <c r="AK69" s="3">
        <v>0</v>
      </c>
      <c r="AL69" s="3"/>
      <c r="AM69" s="3"/>
      <c r="AN69" s="3">
        <v>1</v>
      </c>
      <c r="AO69" s="3">
        <v>55</v>
      </c>
      <c r="AP69" s="3">
        <v>0.33600000000000002</v>
      </c>
      <c r="AQ69" s="3" t="s">
        <v>713</v>
      </c>
      <c r="AR69" s="3" t="s">
        <v>714</v>
      </c>
      <c r="AS69" s="3" t="s">
        <v>713</v>
      </c>
      <c r="AT69" s="4">
        <v>44123</v>
      </c>
      <c r="AU69" s="3" t="s">
        <v>4677</v>
      </c>
      <c r="AV69" s="3">
        <v>39</v>
      </c>
      <c r="AW69" s="3" t="s">
        <v>4646</v>
      </c>
    </row>
    <row r="70" spans="1:49" x14ac:dyDescent="0.55000000000000004">
      <c r="A70" s="3" t="str">
        <f>HYPERLINK("https://www.infodis.net/philips/net/Shipment/Details?InfodisNumber=1400980&amp;DomainCode=PHILIPSM1", "1400980")</f>
        <v>1400980</v>
      </c>
      <c r="B70" s="3" t="s">
        <v>4717</v>
      </c>
      <c r="C70" s="3" t="s">
        <v>4713</v>
      </c>
      <c r="D70" s="3" t="s">
        <v>4714</v>
      </c>
      <c r="E70" s="3" t="s">
        <v>4713</v>
      </c>
      <c r="F70" s="3" t="s">
        <v>4674</v>
      </c>
      <c r="G70" s="3" t="s">
        <v>4715</v>
      </c>
      <c r="H70" s="3" t="s">
        <v>244</v>
      </c>
      <c r="I70" s="3"/>
      <c r="J70" s="3"/>
      <c r="K70" s="3" t="s">
        <v>3867</v>
      </c>
      <c r="L70" s="3" t="s">
        <v>55</v>
      </c>
      <c r="M70" s="3" t="s">
        <v>84</v>
      </c>
      <c r="N70" s="3"/>
      <c r="O70" s="3"/>
      <c r="P70" s="3" t="s">
        <v>4716</v>
      </c>
      <c r="Q70" s="3"/>
      <c r="R70" s="3" t="s">
        <v>3868</v>
      </c>
      <c r="S70" s="4">
        <v>44104</v>
      </c>
      <c r="T70" s="4">
        <v>44104</v>
      </c>
      <c r="U70" s="3"/>
      <c r="V70" s="3"/>
      <c r="W70" s="3"/>
      <c r="X70" s="3"/>
      <c r="Y70" s="3" t="s">
        <v>4676</v>
      </c>
      <c r="Z70" s="3"/>
      <c r="AA70" s="3"/>
      <c r="AB70" s="3" t="s">
        <v>67</v>
      </c>
      <c r="AC70" s="3" t="s">
        <v>68</v>
      </c>
      <c r="AD70" s="3" t="s">
        <v>68</v>
      </c>
      <c r="AE70" s="3"/>
      <c r="AF70" s="3" t="s">
        <v>70</v>
      </c>
      <c r="AG70" s="3"/>
      <c r="AH70" s="3"/>
      <c r="AI70" s="3" t="s">
        <v>3933</v>
      </c>
      <c r="AJ70" s="3">
        <v>0</v>
      </c>
      <c r="AK70" s="3">
        <v>0</v>
      </c>
      <c r="AL70" s="3"/>
      <c r="AM70" s="3"/>
      <c r="AN70" s="3">
        <v>1</v>
      </c>
      <c r="AO70" s="3">
        <v>55</v>
      </c>
      <c r="AP70" s="3">
        <v>0.33600000000000002</v>
      </c>
      <c r="AQ70" s="3" t="s">
        <v>713</v>
      </c>
      <c r="AR70" s="3" t="s">
        <v>714</v>
      </c>
      <c r="AS70" s="3" t="s">
        <v>713</v>
      </c>
      <c r="AT70" s="4">
        <v>44123</v>
      </c>
      <c r="AU70" s="3" t="s">
        <v>4677</v>
      </c>
      <c r="AV70" s="3">
        <v>39</v>
      </c>
      <c r="AW70" s="3" t="s">
        <v>4646</v>
      </c>
    </row>
    <row r="71" spans="1:49" x14ac:dyDescent="0.55000000000000004">
      <c r="A71" s="3" t="str">
        <f>HYPERLINK("https://www.infodis.net/philips/net/Shipment/Details?InfodisNumber=1389940&amp;DomainCode=PHILIPSM1", "1389940")</f>
        <v>1389940</v>
      </c>
      <c r="B71" s="3" t="s">
        <v>4718</v>
      </c>
      <c r="C71" s="3" t="s">
        <v>4686</v>
      </c>
      <c r="D71" s="3" t="s">
        <v>4687</v>
      </c>
      <c r="E71" s="3" t="s">
        <v>4686</v>
      </c>
      <c r="F71" s="3" t="s">
        <v>4674</v>
      </c>
      <c r="G71" s="3" t="s">
        <v>4688</v>
      </c>
      <c r="H71" s="3" t="s">
        <v>244</v>
      </c>
      <c r="I71" s="3"/>
      <c r="J71" s="3"/>
      <c r="K71" s="3" t="s">
        <v>3867</v>
      </c>
      <c r="L71" s="3" t="s">
        <v>55</v>
      </c>
      <c r="M71" s="3" t="s">
        <v>84</v>
      </c>
      <c r="N71" s="3"/>
      <c r="O71" s="3"/>
      <c r="P71" s="3" t="s">
        <v>4689</v>
      </c>
      <c r="Q71" s="3"/>
      <c r="R71" s="3" t="s">
        <v>3868</v>
      </c>
      <c r="S71" s="4">
        <v>44077</v>
      </c>
      <c r="T71" s="4">
        <v>44077</v>
      </c>
      <c r="U71" s="4">
        <v>44081</v>
      </c>
      <c r="V71" s="3"/>
      <c r="W71" s="3"/>
      <c r="X71" s="3"/>
      <c r="Y71" s="3" t="s">
        <v>4624</v>
      </c>
      <c r="Z71" s="3"/>
      <c r="AA71" s="3"/>
      <c r="AB71" s="3" t="s">
        <v>67</v>
      </c>
      <c r="AC71" s="3" t="s">
        <v>68</v>
      </c>
      <c r="AD71" s="3" t="s">
        <v>68</v>
      </c>
      <c r="AE71" s="3"/>
      <c r="AF71" s="3" t="s">
        <v>70</v>
      </c>
      <c r="AG71" s="3"/>
      <c r="AH71" s="3"/>
      <c r="AI71" s="3" t="s">
        <v>3933</v>
      </c>
      <c r="AJ71" s="3">
        <v>0</v>
      </c>
      <c r="AK71" s="3">
        <v>0</v>
      </c>
      <c r="AL71" s="3"/>
      <c r="AM71" s="3"/>
      <c r="AN71" s="3">
        <v>2</v>
      </c>
      <c r="AO71" s="3">
        <v>227</v>
      </c>
      <c r="AP71" s="3">
        <v>2.5880000000000001</v>
      </c>
      <c r="AQ71" s="3" t="s">
        <v>713</v>
      </c>
      <c r="AR71" s="3" t="s">
        <v>714</v>
      </c>
      <c r="AS71" s="3" t="s">
        <v>713</v>
      </c>
      <c r="AT71" s="4">
        <v>44123</v>
      </c>
      <c r="AU71" s="3" t="s">
        <v>4677</v>
      </c>
      <c r="AV71" s="3">
        <v>39</v>
      </c>
      <c r="AW71" s="3" t="s">
        <v>4646</v>
      </c>
    </row>
    <row r="72" spans="1:49" x14ac:dyDescent="0.55000000000000004">
      <c r="A72" s="3" t="str">
        <f>HYPERLINK("https://www.infodis.net/philips/net/Shipment/Details?InfodisNumber=1420863&amp;DomainCode=PHILIPSM1", "1420863")</f>
        <v>1420863</v>
      </c>
      <c r="B72" s="3" t="s">
        <v>4719</v>
      </c>
      <c r="C72" s="3" t="s">
        <v>4672</v>
      </c>
      <c r="D72" s="3" t="s">
        <v>4673</v>
      </c>
      <c r="E72" s="3" t="s">
        <v>4672</v>
      </c>
      <c r="F72" s="3" t="s">
        <v>4621</v>
      </c>
      <c r="G72" s="3" t="s">
        <v>4675</v>
      </c>
      <c r="H72" s="3" t="s">
        <v>2384</v>
      </c>
      <c r="I72" s="3"/>
      <c r="J72" s="3"/>
      <c r="K72" s="3" t="s">
        <v>3867</v>
      </c>
      <c r="L72" s="3" t="s">
        <v>55</v>
      </c>
      <c r="M72" s="3" t="s">
        <v>84</v>
      </c>
      <c r="N72" s="3"/>
      <c r="O72" s="3"/>
      <c r="P72" s="3"/>
      <c r="Q72" s="3"/>
      <c r="R72" s="3" t="s">
        <v>3868</v>
      </c>
      <c r="S72" s="4">
        <v>44152</v>
      </c>
      <c r="T72" s="4">
        <v>44152</v>
      </c>
      <c r="U72" s="3"/>
      <c r="V72" s="3"/>
      <c r="W72" s="3"/>
      <c r="X72" s="3"/>
      <c r="Y72" s="3" t="s">
        <v>4624</v>
      </c>
      <c r="Z72" s="3"/>
      <c r="AA72" s="3"/>
      <c r="AB72" s="3" t="s">
        <v>67</v>
      </c>
      <c r="AC72" s="3" t="s">
        <v>68</v>
      </c>
      <c r="AD72" s="3" t="s">
        <v>68</v>
      </c>
      <c r="AE72" s="3"/>
      <c r="AF72" s="3" t="s">
        <v>70</v>
      </c>
      <c r="AG72" s="3"/>
      <c r="AH72" s="3"/>
      <c r="AI72" s="3" t="s">
        <v>3933</v>
      </c>
      <c r="AJ72" s="3">
        <v>0</v>
      </c>
      <c r="AK72" s="3">
        <v>0</v>
      </c>
      <c r="AL72" s="3"/>
      <c r="AM72" s="3"/>
      <c r="AN72" s="3">
        <v>0</v>
      </c>
      <c r="AO72" s="3">
        <v>1</v>
      </c>
      <c r="AP72" s="3">
        <v>1.7999999999999999E-2</v>
      </c>
      <c r="AQ72" s="3" t="s">
        <v>713</v>
      </c>
      <c r="AR72" s="3" t="s">
        <v>714</v>
      </c>
      <c r="AS72" s="3" t="s">
        <v>713</v>
      </c>
      <c r="AT72" s="4">
        <v>44138</v>
      </c>
      <c r="AU72" s="3" t="s">
        <v>4645</v>
      </c>
      <c r="AV72" s="3">
        <v>24</v>
      </c>
      <c r="AW72" s="3" t="s">
        <v>4646</v>
      </c>
    </row>
    <row r="73" spans="1:49" x14ac:dyDescent="0.55000000000000004">
      <c r="A73" s="3" t="str">
        <f>HYPERLINK("https://www.infodis.net/philips/net/Shipment/Details?InfodisNumber=1557492&amp;DomainCode=PHILIPSM1", "1557492")</f>
        <v>1557492</v>
      </c>
      <c r="B73" s="3" t="s">
        <v>4720</v>
      </c>
      <c r="C73" s="3" t="s">
        <v>4570</v>
      </c>
      <c r="D73" s="3" t="s">
        <v>4571</v>
      </c>
      <c r="E73" s="3" t="s">
        <v>4572</v>
      </c>
      <c r="F73" s="3" t="s">
        <v>4589</v>
      </c>
      <c r="G73" s="3" t="s">
        <v>1430</v>
      </c>
      <c r="H73" s="3" t="s">
        <v>244</v>
      </c>
      <c r="I73" s="3"/>
      <c r="J73" s="3"/>
      <c r="K73" s="3" t="s">
        <v>3867</v>
      </c>
      <c r="L73" s="3" t="s">
        <v>55</v>
      </c>
      <c r="M73" s="3" t="s">
        <v>60</v>
      </c>
      <c r="N73" s="3"/>
      <c r="O73" s="3"/>
      <c r="P73" s="3" t="s">
        <v>1432</v>
      </c>
      <c r="Q73" s="3"/>
      <c r="R73" s="3" t="s">
        <v>3868</v>
      </c>
      <c r="S73" s="4">
        <v>44137</v>
      </c>
      <c r="T73" s="4">
        <v>44138</v>
      </c>
      <c r="U73" s="4">
        <v>44138</v>
      </c>
      <c r="V73" s="3"/>
      <c r="W73" s="3"/>
      <c r="X73" s="3"/>
      <c r="Y73" s="3" t="s">
        <v>4576</v>
      </c>
      <c r="Z73" s="3"/>
      <c r="AA73" s="3"/>
      <c r="AB73" s="3" t="s">
        <v>67</v>
      </c>
      <c r="AC73" s="3" t="s">
        <v>68</v>
      </c>
      <c r="AD73" s="3" t="s">
        <v>68</v>
      </c>
      <c r="AE73" s="3"/>
      <c r="AF73" s="3" t="s">
        <v>4574</v>
      </c>
      <c r="AG73" s="3"/>
      <c r="AH73" s="3"/>
      <c r="AI73" s="3" t="s">
        <v>605</v>
      </c>
      <c r="AJ73" s="3">
        <v>0</v>
      </c>
      <c r="AK73" s="3">
        <v>0</v>
      </c>
      <c r="AL73" s="3"/>
      <c r="AM73" s="3"/>
      <c r="AN73" s="3">
        <v>0</v>
      </c>
      <c r="AO73" s="3">
        <v>68</v>
      </c>
      <c r="AP73" s="3">
        <v>0</v>
      </c>
      <c r="AQ73" s="3" t="s">
        <v>713</v>
      </c>
      <c r="AR73" s="3" t="s">
        <v>714</v>
      </c>
      <c r="AS73" s="3" t="s">
        <v>713</v>
      </c>
      <c r="AT73" s="4">
        <v>44138</v>
      </c>
      <c r="AU73" s="3" t="s">
        <v>4645</v>
      </c>
      <c r="AV73" s="3">
        <v>24</v>
      </c>
      <c r="AW73" s="3" t="s">
        <v>4646</v>
      </c>
    </row>
    <row r="74" spans="1:49" x14ac:dyDescent="0.55000000000000004">
      <c r="A74" s="3" t="str">
        <f>HYPERLINK("https://www.infodis.net/philips/net/Shipment/Details?InfodisNumber=1557282&amp;DomainCode=PHILIPSM1", "1557282")</f>
        <v>1557282</v>
      </c>
      <c r="B74" s="3" t="s">
        <v>4721</v>
      </c>
      <c r="C74" s="3" t="s">
        <v>4570</v>
      </c>
      <c r="D74" s="3" t="s">
        <v>4571</v>
      </c>
      <c r="E74" s="3" t="s">
        <v>4572</v>
      </c>
      <c r="F74" s="3" t="s">
        <v>4589</v>
      </c>
      <c r="G74" s="3" t="s">
        <v>1430</v>
      </c>
      <c r="H74" s="3" t="s">
        <v>244</v>
      </c>
      <c r="I74" s="3"/>
      <c r="J74" s="3"/>
      <c r="K74" s="3" t="s">
        <v>3867</v>
      </c>
      <c r="L74" s="3" t="s">
        <v>55</v>
      </c>
      <c r="M74" s="3" t="s">
        <v>60</v>
      </c>
      <c r="N74" s="3"/>
      <c r="O74" s="3"/>
      <c r="P74" s="3" t="s">
        <v>1432</v>
      </c>
      <c r="Q74" s="3"/>
      <c r="R74" s="3" t="s">
        <v>3868</v>
      </c>
      <c r="S74" s="4">
        <v>44134</v>
      </c>
      <c r="T74" s="4">
        <v>44134</v>
      </c>
      <c r="U74" s="4">
        <v>44108</v>
      </c>
      <c r="V74" s="3"/>
      <c r="W74" s="3"/>
      <c r="X74" s="3"/>
      <c r="Y74" s="3" t="s">
        <v>4576</v>
      </c>
      <c r="Z74" s="3"/>
      <c r="AA74" s="3"/>
      <c r="AB74" s="3" t="s">
        <v>67</v>
      </c>
      <c r="AC74" s="3" t="s">
        <v>68</v>
      </c>
      <c r="AD74" s="3" t="s">
        <v>68</v>
      </c>
      <c r="AE74" s="3"/>
      <c r="AF74" s="3" t="s">
        <v>4574</v>
      </c>
      <c r="AG74" s="3"/>
      <c r="AH74" s="3"/>
      <c r="AI74" s="3" t="s">
        <v>605</v>
      </c>
      <c r="AJ74" s="3">
        <v>0</v>
      </c>
      <c r="AK74" s="3">
        <v>0</v>
      </c>
      <c r="AL74" s="3"/>
      <c r="AM74" s="3"/>
      <c r="AN74" s="3">
        <v>0</v>
      </c>
      <c r="AO74" s="3">
        <v>73</v>
      </c>
      <c r="AP74" s="3">
        <v>0</v>
      </c>
      <c r="AQ74" s="3" t="s">
        <v>713</v>
      </c>
      <c r="AR74" s="3" t="s">
        <v>714</v>
      </c>
      <c r="AS74" s="3" t="s">
        <v>713</v>
      </c>
      <c r="AT74" s="4">
        <v>44138</v>
      </c>
      <c r="AU74" s="3" t="s">
        <v>4645</v>
      </c>
      <c r="AV74" s="3">
        <v>24</v>
      </c>
      <c r="AW74" s="3" t="s">
        <v>4646</v>
      </c>
    </row>
    <row r="75" spans="1:49" x14ac:dyDescent="0.55000000000000004">
      <c r="A75" s="3" t="str">
        <f>HYPERLINK("https://www.infodis.net/philips/net/Shipment/Details?InfodisNumber=1557493&amp;DomainCode=PHILIPSM1", "1557493")</f>
        <v>1557493</v>
      </c>
      <c r="B75" s="3" t="s">
        <v>4722</v>
      </c>
      <c r="C75" s="3" t="s">
        <v>4570</v>
      </c>
      <c r="D75" s="3" t="s">
        <v>4571</v>
      </c>
      <c r="E75" s="3" t="s">
        <v>4572</v>
      </c>
      <c r="F75" s="3" t="s">
        <v>4723</v>
      </c>
      <c r="G75" s="3" t="s">
        <v>1430</v>
      </c>
      <c r="H75" s="3" t="s">
        <v>244</v>
      </c>
      <c r="I75" s="3"/>
      <c r="J75" s="3"/>
      <c r="K75" s="3" t="s">
        <v>4710</v>
      </c>
      <c r="L75" s="3" t="s">
        <v>3082</v>
      </c>
      <c r="M75" s="3" t="s">
        <v>60</v>
      </c>
      <c r="N75" s="3"/>
      <c r="O75" s="3"/>
      <c r="P75" s="3" t="s">
        <v>1432</v>
      </c>
      <c r="Q75" s="3"/>
      <c r="R75" s="3" t="s">
        <v>4711</v>
      </c>
      <c r="S75" s="4">
        <v>44137</v>
      </c>
      <c r="T75" s="4">
        <v>44138</v>
      </c>
      <c r="U75" s="3"/>
      <c r="V75" s="3"/>
      <c r="W75" s="3"/>
      <c r="X75" s="3"/>
      <c r="Y75" s="3" t="s">
        <v>4576</v>
      </c>
      <c r="Z75" s="3"/>
      <c r="AA75" s="3"/>
      <c r="AB75" s="3" t="s">
        <v>67</v>
      </c>
      <c r="AC75" s="3" t="s">
        <v>68</v>
      </c>
      <c r="AD75" s="3" t="s">
        <v>68</v>
      </c>
      <c r="AE75" s="3"/>
      <c r="AF75" s="3" t="s">
        <v>4574</v>
      </c>
      <c r="AG75" s="3"/>
      <c r="AH75" s="3"/>
      <c r="AI75" s="3" t="s">
        <v>605</v>
      </c>
      <c r="AJ75" s="3">
        <v>0</v>
      </c>
      <c r="AK75" s="3">
        <v>0</v>
      </c>
      <c r="AL75" s="3"/>
      <c r="AM75" s="3"/>
      <c r="AN75" s="3">
        <v>3</v>
      </c>
      <c r="AO75" s="3">
        <v>472</v>
      </c>
      <c r="AP75" s="3">
        <v>4.6080000000000014</v>
      </c>
      <c r="AQ75" s="3" t="s">
        <v>713</v>
      </c>
      <c r="AR75" s="3" t="s">
        <v>714</v>
      </c>
      <c r="AS75" s="3" t="s">
        <v>713</v>
      </c>
      <c r="AT75" s="4">
        <v>44138</v>
      </c>
      <c r="AU75" s="3" t="s">
        <v>4645</v>
      </c>
      <c r="AV75" s="3">
        <v>24</v>
      </c>
      <c r="AW75" s="3" t="s">
        <v>4646</v>
      </c>
    </row>
    <row r="76" spans="1:49" x14ac:dyDescent="0.55000000000000004">
      <c r="A76" s="3" t="str">
        <f>HYPERLINK("https://www.infodis.net/philips/net/Shipment/Details?InfodisNumber=6842782&amp;DomainCode=PHILIPSR1", "6842782")</f>
        <v>6842782</v>
      </c>
      <c r="B76" s="3" t="s">
        <v>4724</v>
      </c>
      <c r="C76" s="3" t="s">
        <v>4725</v>
      </c>
      <c r="D76" s="3" t="s">
        <v>4726</v>
      </c>
      <c r="E76" s="3" t="s">
        <v>4727</v>
      </c>
      <c r="F76" s="3" t="s">
        <v>1187</v>
      </c>
      <c r="G76" s="3" t="s">
        <v>4728</v>
      </c>
      <c r="H76" s="3" t="s">
        <v>244</v>
      </c>
      <c r="I76" s="3"/>
      <c r="J76" s="3"/>
      <c r="K76" s="3" t="s">
        <v>918</v>
      </c>
      <c r="L76" s="3" t="s">
        <v>881</v>
      </c>
      <c r="M76" s="3" t="s">
        <v>1489</v>
      </c>
      <c r="N76" s="3"/>
      <c r="O76" s="3"/>
      <c r="P76" s="3" t="s">
        <v>4729</v>
      </c>
      <c r="Q76" s="3"/>
      <c r="R76" s="3" t="s">
        <v>888</v>
      </c>
      <c r="S76" s="4">
        <v>44103</v>
      </c>
      <c r="T76" s="4">
        <v>44106</v>
      </c>
      <c r="U76" s="4">
        <v>44106</v>
      </c>
      <c r="V76" s="3"/>
      <c r="W76" s="3"/>
      <c r="X76" s="3"/>
      <c r="Y76" s="3" t="s">
        <v>4576</v>
      </c>
      <c r="Z76" s="3"/>
      <c r="AA76" s="3"/>
      <c r="AB76" s="3" t="s">
        <v>67</v>
      </c>
      <c r="AC76" s="3" t="s">
        <v>68</v>
      </c>
      <c r="AD76" s="3" t="s">
        <v>68</v>
      </c>
      <c r="AE76" s="3"/>
      <c r="AF76" s="3" t="s">
        <v>4574</v>
      </c>
      <c r="AG76" s="3"/>
      <c r="AH76" s="3"/>
      <c r="AI76" s="3" t="s">
        <v>252</v>
      </c>
      <c r="AJ76" s="3">
        <v>0</v>
      </c>
      <c r="AK76" s="3">
        <v>0</v>
      </c>
      <c r="AL76" s="3"/>
      <c r="AM76" s="3"/>
      <c r="AN76" s="3">
        <v>1</v>
      </c>
      <c r="AO76" s="3">
        <v>100</v>
      </c>
      <c r="AP76" s="3">
        <v>1.1519999999999999</v>
      </c>
      <c r="AQ76" s="3" t="s">
        <v>713</v>
      </c>
      <c r="AR76" s="3" t="s">
        <v>714</v>
      </c>
      <c r="AS76" s="3" t="s">
        <v>713</v>
      </c>
      <c r="AT76" s="4">
        <v>44123</v>
      </c>
      <c r="AU76" s="3" t="s">
        <v>4730</v>
      </c>
      <c r="AV76" s="3">
        <v>39</v>
      </c>
      <c r="AW76" s="3" t="s">
        <v>4731</v>
      </c>
    </row>
    <row r="77" spans="1:49" x14ac:dyDescent="0.55000000000000004">
      <c r="A77" s="3" t="str">
        <f>HYPERLINK("https://www.infodis.net/philips/net/Shipment/Details?InfodisNumber=1399624&amp;DomainCode=PHILIPSM1", "1399624")</f>
        <v>1399624</v>
      </c>
      <c r="B77" s="3" t="s">
        <v>4732</v>
      </c>
      <c r="C77" s="3" t="s">
        <v>4686</v>
      </c>
      <c r="D77" s="3" t="s">
        <v>4687</v>
      </c>
      <c r="E77" s="3" t="s">
        <v>4686</v>
      </c>
      <c r="F77" s="3" t="s">
        <v>4674</v>
      </c>
      <c r="G77" s="3" t="s">
        <v>4688</v>
      </c>
      <c r="H77" s="3" t="s">
        <v>244</v>
      </c>
      <c r="I77" s="3"/>
      <c r="J77" s="3"/>
      <c r="K77" s="3" t="s">
        <v>3867</v>
      </c>
      <c r="L77" s="3" t="s">
        <v>55</v>
      </c>
      <c r="M77" s="3" t="s">
        <v>84</v>
      </c>
      <c r="N77" s="3"/>
      <c r="O77" s="3"/>
      <c r="P77" s="3" t="s">
        <v>4689</v>
      </c>
      <c r="Q77" s="3"/>
      <c r="R77" s="3" t="s">
        <v>3868</v>
      </c>
      <c r="S77" s="4">
        <v>44102</v>
      </c>
      <c r="T77" s="4">
        <v>44102</v>
      </c>
      <c r="U77" s="4">
        <v>44103</v>
      </c>
      <c r="V77" s="3"/>
      <c r="W77" s="3"/>
      <c r="X77" s="3"/>
      <c r="Y77" s="3" t="s">
        <v>4624</v>
      </c>
      <c r="Z77" s="3"/>
      <c r="AA77" s="3"/>
      <c r="AB77" s="3" t="s">
        <v>67</v>
      </c>
      <c r="AC77" s="3" t="s">
        <v>68</v>
      </c>
      <c r="AD77" s="3" t="s">
        <v>68</v>
      </c>
      <c r="AE77" s="3"/>
      <c r="AF77" s="3" t="s">
        <v>70</v>
      </c>
      <c r="AG77" s="3"/>
      <c r="AH77" s="3"/>
      <c r="AI77" s="3" t="s">
        <v>3933</v>
      </c>
      <c r="AJ77" s="3">
        <v>0</v>
      </c>
      <c r="AK77" s="3">
        <v>0</v>
      </c>
      <c r="AL77" s="3"/>
      <c r="AM77" s="3"/>
      <c r="AN77" s="3">
        <v>3</v>
      </c>
      <c r="AO77" s="3">
        <v>320</v>
      </c>
      <c r="AP77" s="3">
        <v>2.9119999999999999</v>
      </c>
      <c r="AQ77" s="3" t="s">
        <v>713</v>
      </c>
      <c r="AR77" s="3" t="s">
        <v>714</v>
      </c>
      <c r="AS77" s="3" t="s">
        <v>713</v>
      </c>
      <c r="AT77" s="4">
        <v>44123</v>
      </c>
      <c r="AU77" s="3" t="s">
        <v>4677</v>
      </c>
      <c r="AV77" s="3">
        <v>39</v>
      </c>
      <c r="AW77" s="3" t="s">
        <v>4646</v>
      </c>
    </row>
    <row r="78" spans="1:49" x14ac:dyDescent="0.55000000000000004">
      <c r="A78" s="5" t="str">
        <f>HYPERLINK("https://www.infodis.net/philips/net/Shipment/Details?InfodisNumber=1432807&amp;DomainCode=PHILIPSM1", "1432807")</f>
        <v>1432807</v>
      </c>
      <c r="B78" s="5" t="s">
        <v>4733</v>
      </c>
      <c r="C78" s="5" t="s">
        <v>4570</v>
      </c>
      <c r="D78" s="5" t="s">
        <v>4571</v>
      </c>
      <c r="E78" s="5" t="s">
        <v>2082</v>
      </c>
      <c r="F78" s="5"/>
      <c r="G78" s="5" t="s">
        <v>4216</v>
      </c>
      <c r="H78" s="5" t="s">
        <v>244</v>
      </c>
      <c r="I78" s="5"/>
      <c r="J78" s="5"/>
      <c r="K78" s="5" t="s">
        <v>4734</v>
      </c>
      <c r="L78" s="5" t="s">
        <v>244</v>
      </c>
      <c r="M78" s="5" t="s">
        <v>60</v>
      </c>
      <c r="N78" s="5"/>
      <c r="O78" s="5"/>
      <c r="P78" s="5" t="s">
        <v>4220</v>
      </c>
      <c r="Q78" s="5"/>
      <c r="R78" s="5" t="s">
        <v>4735</v>
      </c>
      <c r="S78" s="6">
        <v>44019</v>
      </c>
      <c r="T78" s="6">
        <v>44019</v>
      </c>
      <c r="U78" s="5"/>
      <c r="V78" s="5"/>
      <c r="W78" s="5"/>
      <c r="X78" s="5"/>
      <c r="Y78" s="5" t="s">
        <v>4736</v>
      </c>
      <c r="Z78" s="5"/>
      <c r="AA78" s="5"/>
      <c r="AB78" s="5" t="s">
        <v>67</v>
      </c>
      <c r="AC78" s="5" t="s">
        <v>68</v>
      </c>
      <c r="AD78" s="5" t="s">
        <v>68</v>
      </c>
      <c r="AE78" s="5"/>
      <c r="AF78" s="5" t="s">
        <v>70</v>
      </c>
      <c r="AG78" s="5"/>
      <c r="AH78" s="5"/>
      <c r="AI78" s="5" t="s">
        <v>605</v>
      </c>
      <c r="AJ78" s="5">
        <v>0</v>
      </c>
      <c r="AK78" s="5">
        <v>0</v>
      </c>
      <c r="AL78" s="5"/>
      <c r="AM78" s="5"/>
      <c r="AN78" s="5">
        <v>0</v>
      </c>
      <c r="AO78" s="5">
        <v>382.4</v>
      </c>
      <c r="AP78" s="5">
        <v>0</v>
      </c>
      <c r="AQ78" s="5" t="s">
        <v>713</v>
      </c>
      <c r="AR78" s="5" t="s">
        <v>1104</v>
      </c>
      <c r="AS78" s="5"/>
      <c r="AT78" s="5"/>
      <c r="AU78" s="5"/>
      <c r="AV78" s="5">
        <v>-1</v>
      </c>
      <c r="AW78" s="5" t="s">
        <v>4737</v>
      </c>
    </row>
    <row r="79" spans="1:49" x14ac:dyDescent="0.55000000000000004">
      <c r="A79" s="5" t="str">
        <f>HYPERLINK("https://www.infodis.net/philips/net/Shipment/Details?InfodisNumber=4469585&amp;DomainCode=DAP", "4469585")</f>
        <v>4469585</v>
      </c>
      <c r="B79" s="5" t="s">
        <v>4738</v>
      </c>
      <c r="C79" s="5" t="s">
        <v>4739</v>
      </c>
      <c r="D79" s="5" t="s">
        <v>4740</v>
      </c>
      <c r="E79" s="5" t="s">
        <v>4741</v>
      </c>
      <c r="F79" s="5" t="s">
        <v>4739</v>
      </c>
      <c r="G79" s="5" t="s">
        <v>1262</v>
      </c>
      <c r="H79" s="5" t="s">
        <v>1263</v>
      </c>
      <c r="I79" s="5"/>
      <c r="J79" s="5"/>
      <c r="K79" s="5" t="s">
        <v>4742</v>
      </c>
      <c r="L79" s="5" t="s">
        <v>1263</v>
      </c>
      <c r="M79" s="5" t="s">
        <v>84</v>
      </c>
      <c r="N79" s="5"/>
      <c r="O79" s="5"/>
      <c r="P79" s="5" t="s">
        <v>1264</v>
      </c>
      <c r="Q79" s="5"/>
      <c r="R79" s="5" t="s">
        <v>4743</v>
      </c>
      <c r="S79" s="6">
        <v>44020</v>
      </c>
      <c r="T79" s="6">
        <v>44021</v>
      </c>
      <c r="U79" s="6">
        <v>44020</v>
      </c>
      <c r="V79" s="5"/>
      <c r="W79" s="5"/>
      <c r="X79" s="5"/>
      <c r="Y79" s="5" t="s">
        <v>4643</v>
      </c>
      <c r="Z79" s="5"/>
      <c r="AA79" s="5"/>
      <c r="AB79" s="5" t="s">
        <v>67</v>
      </c>
      <c r="AC79" s="5" t="s">
        <v>68</v>
      </c>
      <c r="AD79" s="5" t="s">
        <v>68</v>
      </c>
      <c r="AE79" s="5"/>
      <c r="AF79" s="5" t="s">
        <v>4574</v>
      </c>
      <c r="AG79" s="5"/>
      <c r="AH79" s="5"/>
      <c r="AI79" s="5" t="s">
        <v>73</v>
      </c>
      <c r="AJ79" s="5">
        <v>0</v>
      </c>
      <c r="AK79" s="5">
        <v>0</v>
      </c>
      <c r="AL79" s="5"/>
      <c r="AM79" s="5"/>
      <c r="AN79" s="5">
        <v>32</v>
      </c>
      <c r="AO79" s="5">
        <v>5000</v>
      </c>
      <c r="AP79" s="5">
        <v>55.296000000000006</v>
      </c>
      <c r="AQ79" s="5" t="s">
        <v>713</v>
      </c>
      <c r="AR79" s="5" t="s">
        <v>1104</v>
      </c>
      <c r="AS79" s="5"/>
      <c r="AT79" s="5"/>
      <c r="AU79" s="5"/>
      <c r="AV79" s="5">
        <v>-1</v>
      </c>
      <c r="AW79" s="5" t="s">
        <v>1110</v>
      </c>
    </row>
    <row r="80" spans="1:49" x14ac:dyDescent="0.55000000000000004">
      <c r="A80" s="5" t="str">
        <f>HYPERLINK("https://www.infodis.net/philips/net/Shipment/Details?InfodisNumber=1439589&amp;DomainCode=PHILIPSM1", "1439589")</f>
        <v>1439589</v>
      </c>
      <c r="B80" s="5" t="s">
        <v>4744</v>
      </c>
      <c r="C80" s="5" t="s">
        <v>4745</v>
      </c>
      <c r="D80" s="5" t="s">
        <v>4746</v>
      </c>
      <c r="E80" s="5" t="s">
        <v>4745</v>
      </c>
      <c r="F80" s="5" t="s">
        <v>1428</v>
      </c>
      <c r="G80" s="5" t="s">
        <v>4747</v>
      </c>
      <c r="H80" s="5" t="s">
        <v>244</v>
      </c>
      <c r="I80" s="5"/>
      <c r="J80" s="5"/>
      <c r="K80" s="5" t="s">
        <v>4216</v>
      </c>
      <c r="L80" s="5" t="s">
        <v>244</v>
      </c>
      <c r="M80" s="5" t="s">
        <v>60</v>
      </c>
      <c r="N80" s="5"/>
      <c r="O80" s="5"/>
      <c r="P80" s="5" t="s">
        <v>4748</v>
      </c>
      <c r="Q80" s="5"/>
      <c r="R80" s="5" t="s">
        <v>4220</v>
      </c>
      <c r="S80" s="6">
        <v>44025</v>
      </c>
      <c r="T80" s="6">
        <v>44026</v>
      </c>
      <c r="U80" s="5"/>
      <c r="V80" s="5"/>
      <c r="W80" s="5"/>
      <c r="X80" s="5"/>
      <c r="Y80" s="5" t="s">
        <v>4566</v>
      </c>
      <c r="Z80" s="5"/>
      <c r="AA80" s="5"/>
      <c r="AB80" s="5" t="s">
        <v>67</v>
      </c>
      <c r="AC80" s="5" t="s">
        <v>68</v>
      </c>
      <c r="AD80" s="5" t="s">
        <v>68</v>
      </c>
      <c r="AE80" s="5"/>
      <c r="AF80" s="5" t="s">
        <v>70</v>
      </c>
      <c r="AG80" s="5"/>
      <c r="AH80" s="5"/>
      <c r="AI80" s="5" t="s">
        <v>605</v>
      </c>
      <c r="AJ80" s="5">
        <v>0</v>
      </c>
      <c r="AK80" s="5">
        <v>0</v>
      </c>
      <c r="AL80" s="5"/>
      <c r="AM80" s="5"/>
      <c r="AN80" s="5">
        <v>33</v>
      </c>
      <c r="AO80" s="5">
        <v>20000</v>
      </c>
      <c r="AP80" s="5">
        <v>38.015999999999998</v>
      </c>
      <c r="AQ80" s="5" t="s">
        <v>713</v>
      </c>
      <c r="AR80" s="5" t="s">
        <v>1104</v>
      </c>
      <c r="AS80" s="5"/>
      <c r="AT80" s="5"/>
      <c r="AU80" s="5"/>
      <c r="AV80" s="5">
        <v>-1</v>
      </c>
      <c r="AW80" s="5" t="s">
        <v>3934</v>
      </c>
    </row>
    <row r="81" spans="1:49" x14ac:dyDescent="0.55000000000000004">
      <c r="A81" s="5" t="str">
        <f>HYPERLINK("https://www.infodis.net/philips/net/Shipment/Details?InfodisNumber=6865451&amp;DomainCode=PHILIPSR1", "6865451")</f>
        <v>6865451</v>
      </c>
      <c r="B81" s="5" t="s">
        <v>4749</v>
      </c>
      <c r="C81" s="5" t="s">
        <v>4627</v>
      </c>
      <c r="D81" s="5" t="s">
        <v>4628</v>
      </c>
      <c r="E81" s="5" t="s">
        <v>4629</v>
      </c>
      <c r="F81" s="5" t="s">
        <v>915</v>
      </c>
      <c r="G81" s="5" t="s">
        <v>4630</v>
      </c>
      <c r="H81" s="5" t="s">
        <v>244</v>
      </c>
      <c r="I81" s="5"/>
      <c r="J81" s="5"/>
      <c r="K81" s="5" t="s">
        <v>918</v>
      </c>
      <c r="L81" s="5" t="s">
        <v>881</v>
      </c>
      <c r="M81" s="5" t="s">
        <v>60</v>
      </c>
      <c r="N81" s="5"/>
      <c r="O81" s="5"/>
      <c r="P81" s="5" t="s">
        <v>250</v>
      </c>
      <c r="Q81" s="5"/>
      <c r="R81" s="5" t="s">
        <v>888</v>
      </c>
      <c r="S81" s="6">
        <v>44111</v>
      </c>
      <c r="T81" s="6">
        <v>44111</v>
      </c>
      <c r="U81" s="6">
        <v>44111</v>
      </c>
      <c r="V81" s="5"/>
      <c r="W81" s="5"/>
      <c r="X81" s="5"/>
      <c r="Y81" s="5" t="s">
        <v>4750</v>
      </c>
      <c r="Z81" s="5"/>
      <c r="AA81" s="5"/>
      <c r="AB81" s="5" t="s">
        <v>67</v>
      </c>
      <c r="AC81" s="5" t="s">
        <v>68</v>
      </c>
      <c r="AD81" s="5" t="s">
        <v>68</v>
      </c>
      <c r="AE81" s="5"/>
      <c r="AF81" s="5" t="s">
        <v>4574</v>
      </c>
      <c r="AG81" s="5"/>
      <c r="AH81" s="5"/>
      <c r="AI81" s="5" t="s">
        <v>252</v>
      </c>
      <c r="AJ81" s="5">
        <v>0</v>
      </c>
      <c r="AK81" s="5">
        <v>0</v>
      </c>
      <c r="AL81" s="5"/>
      <c r="AM81" s="5"/>
      <c r="AN81" s="5">
        <v>8</v>
      </c>
      <c r="AO81" s="5">
        <v>1190</v>
      </c>
      <c r="AP81" s="5">
        <v>12.054</v>
      </c>
      <c r="AQ81" s="5" t="s">
        <v>713</v>
      </c>
      <c r="AR81" s="5" t="s">
        <v>1104</v>
      </c>
      <c r="AS81" s="5"/>
      <c r="AT81" s="5"/>
      <c r="AU81" s="5"/>
      <c r="AV81" s="5">
        <v>-1</v>
      </c>
      <c r="AW81" s="5" t="s">
        <v>4751</v>
      </c>
    </row>
    <row r="82" spans="1:49" x14ac:dyDescent="0.55000000000000004">
      <c r="A82" s="5" t="str">
        <f>HYPERLINK("https://www.infodis.net/philips/net/Shipment/Details?InfodisNumber=6632687&amp;DomainCode=PHILIPSR1", "6632687")</f>
        <v>6632687</v>
      </c>
      <c r="B82" s="5" t="s">
        <v>4752</v>
      </c>
      <c r="C82" s="5" t="s">
        <v>4627</v>
      </c>
      <c r="D82" s="5" t="s">
        <v>4628</v>
      </c>
      <c r="E82" s="5" t="s">
        <v>4629</v>
      </c>
      <c r="F82" s="5" t="s">
        <v>915</v>
      </c>
      <c r="G82" s="5" t="s">
        <v>4630</v>
      </c>
      <c r="H82" s="5" t="s">
        <v>244</v>
      </c>
      <c r="I82" s="5"/>
      <c r="J82" s="5"/>
      <c r="K82" s="5" t="s">
        <v>918</v>
      </c>
      <c r="L82" s="5" t="s">
        <v>881</v>
      </c>
      <c r="M82" s="5" t="s">
        <v>60</v>
      </c>
      <c r="N82" s="5"/>
      <c r="O82" s="5"/>
      <c r="P82" s="5" t="s">
        <v>250</v>
      </c>
      <c r="Q82" s="5"/>
      <c r="R82" s="5" t="s">
        <v>888</v>
      </c>
      <c r="S82" s="6">
        <v>44026</v>
      </c>
      <c r="T82" s="6">
        <v>44026</v>
      </c>
      <c r="U82" s="6">
        <v>44026</v>
      </c>
      <c r="V82" s="5"/>
      <c r="W82" s="5"/>
      <c r="X82" s="5"/>
      <c r="Y82" s="5" t="s">
        <v>4750</v>
      </c>
      <c r="Z82" s="5"/>
      <c r="AA82" s="5"/>
      <c r="AB82" s="5" t="s">
        <v>67</v>
      </c>
      <c r="AC82" s="5" t="s">
        <v>68</v>
      </c>
      <c r="AD82" s="5" t="s">
        <v>68</v>
      </c>
      <c r="AE82" s="5"/>
      <c r="AF82" s="5" t="s">
        <v>4574</v>
      </c>
      <c r="AG82" s="5"/>
      <c r="AH82" s="5"/>
      <c r="AI82" s="5" t="s">
        <v>252</v>
      </c>
      <c r="AJ82" s="5">
        <v>0</v>
      </c>
      <c r="AK82" s="5">
        <v>0</v>
      </c>
      <c r="AL82" s="5"/>
      <c r="AM82" s="5"/>
      <c r="AN82" s="5">
        <v>13</v>
      </c>
      <c r="AO82" s="5">
        <v>1780</v>
      </c>
      <c r="AP82" s="5">
        <v>19.218</v>
      </c>
      <c r="AQ82" s="5" t="s">
        <v>713</v>
      </c>
      <c r="AR82" s="5" t="s">
        <v>1104</v>
      </c>
      <c r="AS82" s="5"/>
      <c r="AT82" s="5"/>
      <c r="AU82" s="5"/>
      <c r="AV82" s="5">
        <v>-1</v>
      </c>
      <c r="AW82" s="5" t="s">
        <v>4751</v>
      </c>
    </row>
    <row r="83" spans="1:49" x14ac:dyDescent="0.55000000000000004">
      <c r="A83" s="5" t="str">
        <f>HYPERLINK("https://www.infodis.net/philips/net/Shipment/Details?InfodisNumber=6651570&amp;DomainCode=PHILIPSR1", "6651570")</f>
        <v>6651570</v>
      </c>
      <c r="B83" s="5" t="s">
        <v>4753</v>
      </c>
      <c r="C83" s="5" t="s">
        <v>4627</v>
      </c>
      <c r="D83" s="5" t="s">
        <v>4628</v>
      </c>
      <c r="E83" s="5" t="s">
        <v>4627</v>
      </c>
      <c r="F83" s="5" t="s">
        <v>4754</v>
      </c>
      <c r="G83" s="5" t="s">
        <v>4630</v>
      </c>
      <c r="H83" s="5" t="s">
        <v>244</v>
      </c>
      <c r="I83" s="5"/>
      <c r="J83" s="5"/>
      <c r="K83" s="5" t="s">
        <v>4755</v>
      </c>
      <c r="L83" s="5" t="s">
        <v>244</v>
      </c>
      <c r="M83" s="5" t="s">
        <v>309</v>
      </c>
      <c r="N83" s="5"/>
      <c r="O83" s="5"/>
      <c r="P83" s="5" t="s">
        <v>250</v>
      </c>
      <c r="Q83" s="5"/>
      <c r="R83" s="5" t="s">
        <v>4756</v>
      </c>
      <c r="S83" s="6">
        <v>44033</v>
      </c>
      <c r="T83" s="6">
        <v>44033</v>
      </c>
      <c r="U83" s="6">
        <v>44033</v>
      </c>
      <c r="V83" s="5"/>
      <c r="W83" s="5"/>
      <c r="X83" s="5"/>
      <c r="Y83" s="5" t="s">
        <v>4750</v>
      </c>
      <c r="Z83" s="5"/>
      <c r="AA83" s="5"/>
      <c r="AB83" s="5" t="s">
        <v>67</v>
      </c>
      <c r="AC83" s="5" t="s">
        <v>68</v>
      </c>
      <c r="AD83" s="5" t="s">
        <v>68</v>
      </c>
      <c r="AE83" s="5"/>
      <c r="AF83" s="5" t="s">
        <v>70</v>
      </c>
      <c r="AG83" s="5"/>
      <c r="AH83" s="5"/>
      <c r="AI83" s="5" t="s">
        <v>252</v>
      </c>
      <c r="AJ83" s="5">
        <v>0</v>
      </c>
      <c r="AK83" s="5">
        <v>0</v>
      </c>
      <c r="AL83" s="5"/>
      <c r="AM83" s="5"/>
      <c r="AN83" s="5">
        <v>1</v>
      </c>
      <c r="AO83" s="5">
        <v>160</v>
      </c>
      <c r="AP83" s="5">
        <v>0.8640000000000001</v>
      </c>
      <c r="AQ83" s="5" t="s">
        <v>713</v>
      </c>
      <c r="AR83" s="5" t="s">
        <v>1104</v>
      </c>
      <c r="AS83" s="5"/>
      <c r="AT83" s="5"/>
      <c r="AU83" s="5"/>
      <c r="AV83" s="5">
        <v>-1</v>
      </c>
      <c r="AW83" s="5" t="s">
        <v>4751</v>
      </c>
    </row>
    <row r="84" spans="1:49" x14ac:dyDescent="0.55000000000000004">
      <c r="A84" s="5" t="str">
        <f>HYPERLINK("https://www.infodis.net/philips/net/Shipment/Details?InfodisNumber=6876928&amp;DomainCode=PHILIPSR1", "6876928")</f>
        <v>6876928</v>
      </c>
      <c r="B84" s="5" t="s">
        <v>4757</v>
      </c>
      <c r="C84" s="5" t="s">
        <v>4627</v>
      </c>
      <c r="D84" s="5" t="s">
        <v>4628</v>
      </c>
      <c r="E84" s="5" t="s">
        <v>4629</v>
      </c>
      <c r="F84" s="5"/>
      <c r="G84" s="5" t="s">
        <v>4630</v>
      </c>
      <c r="H84" s="5" t="s">
        <v>244</v>
      </c>
      <c r="I84" s="5"/>
      <c r="J84" s="5"/>
      <c r="K84" s="5" t="s">
        <v>4758</v>
      </c>
      <c r="L84" s="5" t="s">
        <v>244</v>
      </c>
      <c r="M84" s="5" t="s">
        <v>60</v>
      </c>
      <c r="N84" s="5"/>
      <c r="O84" s="5"/>
      <c r="P84" s="5" t="s">
        <v>250</v>
      </c>
      <c r="Q84" s="5"/>
      <c r="R84" s="5" t="s">
        <v>4759</v>
      </c>
      <c r="S84" s="6">
        <v>44116</v>
      </c>
      <c r="T84" s="6">
        <v>44118</v>
      </c>
      <c r="U84" s="6">
        <v>44118</v>
      </c>
      <c r="V84" s="5"/>
      <c r="W84" s="5"/>
      <c r="X84" s="5"/>
      <c r="Y84" s="5" t="s">
        <v>4750</v>
      </c>
      <c r="Z84" s="5"/>
      <c r="AA84" s="5"/>
      <c r="AB84" s="5" t="s">
        <v>67</v>
      </c>
      <c r="AC84" s="5" t="s">
        <v>68</v>
      </c>
      <c r="AD84" s="5" t="s">
        <v>68</v>
      </c>
      <c r="AE84" s="5"/>
      <c r="AF84" s="5" t="s">
        <v>4574</v>
      </c>
      <c r="AG84" s="5"/>
      <c r="AH84" s="5"/>
      <c r="AI84" s="5" t="s">
        <v>252</v>
      </c>
      <c r="AJ84" s="5">
        <v>0</v>
      </c>
      <c r="AK84" s="5">
        <v>0</v>
      </c>
      <c r="AL84" s="5"/>
      <c r="AM84" s="5"/>
      <c r="AN84" s="5">
        <v>32</v>
      </c>
      <c r="AO84" s="5">
        <v>3955</v>
      </c>
      <c r="AP84" s="5">
        <v>51.552</v>
      </c>
      <c r="AQ84" s="5" t="s">
        <v>713</v>
      </c>
      <c r="AR84" s="5" t="s">
        <v>1104</v>
      </c>
      <c r="AS84" s="5"/>
      <c r="AT84" s="5"/>
      <c r="AU84" s="5"/>
      <c r="AV84" s="5">
        <v>-1</v>
      </c>
      <c r="AW84" s="5" t="s">
        <v>4760</v>
      </c>
    </row>
    <row r="85" spans="1:49" x14ac:dyDescent="0.55000000000000004">
      <c r="A85" s="5" t="str">
        <f>HYPERLINK("https://www.infodis.net/philips/net/Shipment/Details?InfodisNumber=6877013&amp;DomainCode=PHILIPSR1", "6877013")</f>
        <v>6877013</v>
      </c>
      <c r="B85" s="5" t="s">
        <v>4761</v>
      </c>
      <c r="C85" s="5" t="s">
        <v>4627</v>
      </c>
      <c r="D85" s="5" t="s">
        <v>4628</v>
      </c>
      <c r="E85" s="5" t="s">
        <v>4629</v>
      </c>
      <c r="F85" s="5"/>
      <c r="G85" s="5" t="s">
        <v>4630</v>
      </c>
      <c r="H85" s="5" t="s">
        <v>244</v>
      </c>
      <c r="I85" s="5"/>
      <c r="J85" s="5"/>
      <c r="K85" s="5" t="s">
        <v>4758</v>
      </c>
      <c r="L85" s="5" t="s">
        <v>244</v>
      </c>
      <c r="M85" s="5" t="s">
        <v>60</v>
      </c>
      <c r="N85" s="5"/>
      <c r="O85" s="5"/>
      <c r="P85" s="5" t="s">
        <v>250</v>
      </c>
      <c r="Q85" s="5"/>
      <c r="R85" s="5" t="s">
        <v>4759</v>
      </c>
      <c r="S85" s="6">
        <v>44116</v>
      </c>
      <c r="T85" s="6">
        <v>44118</v>
      </c>
      <c r="U85" s="6">
        <v>44118</v>
      </c>
      <c r="V85" s="5"/>
      <c r="W85" s="5"/>
      <c r="X85" s="5"/>
      <c r="Y85" s="5" t="s">
        <v>4750</v>
      </c>
      <c r="Z85" s="5"/>
      <c r="AA85" s="5"/>
      <c r="AB85" s="5" t="s">
        <v>67</v>
      </c>
      <c r="AC85" s="5" t="s">
        <v>68</v>
      </c>
      <c r="AD85" s="5" t="s">
        <v>68</v>
      </c>
      <c r="AE85" s="5"/>
      <c r="AF85" s="5" t="s">
        <v>4574</v>
      </c>
      <c r="AG85" s="5"/>
      <c r="AH85" s="5"/>
      <c r="AI85" s="5" t="s">
        <v>252</v>
      </c>
      <c r="AJ85" s="5">
        <v>0</v>
      </c>
      <c r="AK85" s="5">
        <v>0</v>
      </c>
      <c r="AL85" s="5"/>
      <c r="AM85" s="5"/>
      <c r="AN85" s="5">
        <v>32</v>
      </c>
      <c r="AO85" s="5">
        <v>4160</v>
      </c>
      <c r="AP85" s="5">
        <v>39.014000000000003</v>
      </c>
      <c r="AQ85" s="5" t="s">
        <v>713</v>
      </c>
      <c r="AR85" s="5" t="s">
        <v>1104</v>
      </c>
      <c r="AS85" s="5"/>
      <c r="AT85" s="5"/>
      <c r="AU85" s="5"/>
      <c r="AV85" s="5">
        <v>-1</v>
      </c>
      <c r="AW85" s="5" t="s">
        <v>4760</v>
      </c>
    </row>
    <row r="86" spans="1:49" x14ac:dyDescent="0.55000000000000004">
      <c r="A86" s="5" t="str">
        <f>HYPERLINK("https://www.infodis.net/philips/net/Shipment/Details?InfodisNumber=6654953&amp;DomainCode=PHILIPSR1", "6654953")</f>
        <v>6654953</v>
      </c>
      <c r="B86" s="5" t="s">
        <v>4762</v>
      </c>
      <c r="C86" s="5" t="s">
        <v>4627</v>
      </c>
      <c r="D86" s="5" t="s">
        <v>4628</v>
      </c>
      <c r="E86" s="5" t="s">
        <v>4629</v>
      </c>
      <c r="F86" s="5" t="s">
        <v>915</v>
      </c>
      <c r="G86" s="5" t="s">
        <v>4630</v>
      </c>
      <c r="H86" s="5" t="s">
        <v>244</v>
      </c>
      <c r="I86" s="5"/>
      <c r="J86" s="5"/>
      <c r="K86" s="5" t="s">
        <v>918</v>
      </c>
      <c r="L86" s="5" t="s">
        <v>881</v>
      </c>
      <c r="M86" s="5" t="s">
        <v>60</v>
      </c>
      <c r="N86" s="5"/>
      <c r="O86" s="5"/>
      <c r="P86" s="5" t="s">
        <v>250</v>
      </c>
      <c r="Q86" s="5"/>
      <c r="R86" s="5" t="s">
        <v>888</v>
      </c>
      <c r="S86" s="6">
        <v>44034</v>
      </c>
      <c r="T86" s="6">
        <v>44034</v>
      </c>
      <c r="U86" s="6">
        <v>44034</v>
      </c>
      <c r="V86" s="5"/>
      <c r="W86" s="5"/>
      <c r="X86" s="5"/>
      <c r="Y86" s="5" t="s">
        <v>4750</v>
      </c>
      <c r="Z86" s="5"/>
      <c r="AA86" s="5"/>
      <c r="AB86" s="5" t="s">
        <v>67</v>
      </c>
      <c r="AC86" s="5" t="s">
        <v>68</v>
      </c>
      <c r="AD86" s="5" t="s">
        <v>68</v>
      </c>
      <c r="AE86" s="5"/>
      <c r="AF86" s="5" t="s">
        <v>4574</v>
      </c>
      <c r="AG86" s="5"/>
      <c r="AH86" s="5"/>
      <c r="AI86" s="5" t="s">
        <v>252</v>
      </c>
      <c r="AJ86" s="5">
        <v>0</v>
      </c>
      <c r="AK86" s="5">
        <v>0</v>
      </c>
      <c r="AL86" s="5"/>
      <c r="AM86" s="5"/>
      <c r="AN86" s="5">
        <v>6</v>
      </c>
      <c r="AO86" s="5">
        <v>785</v>
      </c>
      <c r="AP86" s="5">
        <v>7.7829999999999986</v>
      </c>
      <c r="AQ86" s="5" t="s">
        <v>713</v>
      </c>
      <c r="AR86" s="5" t="s">
        <v>1104</v>
      </c>
      <c r="AS86" s="5"/>
      <c r="AT86" s="5"/>
      <c r="AU86" s="5"/>
      <c r="AV86" s="5">
        <v>-1</v>
      </c>
      <c r="AW86" s="5" t="s">
        <v>4751</v>
      </c>
    </row>
    <row r="87" spans="1:49" x14ac:dyDescent="0.55000000000000004">
      <c r="A87" s="5" t="str">
        <f>HYPERLINK("https://www.infodis.net/philips/net/Shipment/Details?InfodisNumber=6685357&amp;DomainCode=PHILIPSR1", "6685357")</f>
        <v>6685357</v>
      </c>
      <c r="B87" s="5" t="s">
        <v>4763</v>
      </c>
      <c r="C87" s="5" t="s">
        <v>4627</v>
      </c>
      <c r="D87" s="5" t="s">
        <v>4628</v>
      </c>
      <c r="E87" s="5" t="s">
        <v>4629</v>
      </c>
      <c r="F87" s="5" t="s">
        <v>915</v>
      </c>
      <c r="G87" s="5" t="s">
        <v>4630</v>
      </c>
      <c r="H87" s="5" t="s">
        <v>244</v>
      </c>
      <c r="I87" s="5"/>
      <c r="J87" s="5"/>
      <c r="K87" s="5" t="s">
        <v>918</v>
      </c>
      <c r="L87" s="5" t="s">
        <v>881</v>
      </c>
      <c r="M87" s="5" t="s">
        <v>60</v>
      </c>
      <c r="N87" s="5"/>
      <c r="O87" s="5"/>
      <c r="P87" s="5" t="s">
        <v>250</v>
      </c>
      <c r="Q87" s="5"/>
      <c r="R87" s="5" t="s">
        <v>888</v>
      </c>
      <c r="S87" s="6">
        <v>44046</v>
      </c>
      <c r="T87" s="6">
        <v>44046</v>
      </c>
      <c r="U87" s="6">
        <v>44046</v>
      </c>
      <c r="V87" s="5"/>
      <c r="W87" s="5"/>
      <c r="X87" s="5"/>
      <c r="Y87" s="5" t="s">
        <v>4750</v>
      </c>
      <c r="Z87" s="5"/>
      <c r="AA87" s="5"/>
      <c r="AB87" s="5" t="s">
        <v>67</v>
      </c>
      <c r="AC87" s="5" t="s">
        <v>68</v>
      </c>
      <c r="AD87" s="5" t="s">
        <v>68</v>
      </c>
      <c r="AE87" s="5"/>
      <c r="AF87" s="5" t="s">
        <v>4574</v>
      </c>
      <c r="AG87" s="5"/>
      <c r="AH87" s="5"/>
      <c r="AI87" s="5" t="s">
        <v>252</v>
      </c>
      <c r="AJ87" s="5">
        <v>0</v>
      </c>
      <c r="AK87" s="5">
        <v>0</v>
      </c>
      <c r="AL87" s="5"/>
      <c r="AM87" s="5"/>
      <c r="AN87" s="5">
        <v>11</v>
      </c>
      <c r="AO87" s="5">
        <v>1498</v>
      </c>
      <c r="AP87" s="5">
        <v>14.807</v>
      </c>
      <c r="AQ87" s="5" t="s">
        <v>713</v>
      </c>
      <c r="AR87" s="5" t="s">
        <v>1104</v>
      </c>
      <c r="AS87" s="5"/>
      <c r="AT87" s="5"/>
      <c r="AU87" s="5"/>
      <c r="AV87" s="5">
        <v>-1</v>
      </c>
      <c r="AW87" s="5" t="s">
        <v>4751</v>
      </c>
    </row>
    <row r="88" spans="1:49" x14ac:dyDescent="0.55000000000000004">
      <c r="A88" s="5" t="str">
        <f>HYPERLINK("https://www.infodis.net/philips/net/Shipment/Details?InfodisNumber=4487763&amp;DomainCode=DAP", "4487763")</f>
        <v>4487763</v>
      </c>
      <c r="B88" s="5" t="s">
        <v>4764</v>
      </c>
      <c r="C88" s="5" t="s">
        <v>2145</v>
      </c>
      <c r="D88" s="5" t="s">
        <v>2146</v>
      </c>
      <c r="E88" s="5" t="s">
        <v>304</v>
      </c>
      <c r="F88" s="5" t="s">
        <v>4765</v>
      </c>
      <c r="G88" s="5" t="s">
        <v>404</v>
      </c>
      <c r="H88" s="5" t="s">
        <v>307</v>
      </c>
      <c r="I88" s="5"/>
      <c r="J88" s="5"/>
      <c r="K88" s="5" t="s">
        <v>306</v>
      </c>
      <c r="L88" s="5" t="s">
        <v>307</v>
      </c>
      <c r="M88" s="5" t="s">
        <v>60</v>
      </c>
      <c r="N88" s="5"/>
      <c r="O88" s="5"/>
      <c r="P88" s="5" t="s">
        <v>408</v>
      </c>
      <c r="Q88" s="5"/>
      <c r="R88" s="5" t="s">
        <v>312</v>
      </c>
      <c r="S88" s="6">
        <v>44049</v>
      </c>
      <c r="T88" s="6">
        <v>44054</v>
      </c>
      <c r="U88" s="5"/>
      <c r="V88" s="5"/>
      <c r="W88" s="5"/>
      <c r="X88" s="5"/>
      <c r="Y88" s="5" t="s">
        <v>940</v>
      </c>
      <c r="Z88" s="5"/>
      <c r="AA88" s="5"/>
      <c r="AB88" s="5" t="s">
        <v>67</v>
      </c>
      <c r="AC88" s="5" t="s">
        <v>68</v>
      </c>
      <c r="AD88" s="5" t="s">
        <v>68</v>
      </c>
      <c r="AE88" s="5"/>
      <c r="AF88" s="5" t="s">
        <v>70</v>
      </c>
      <c r="AG88" s="5"/>
      <c r="AH88" s="5"/>
      <c r="AI88" s="5" t="s">
        <v>73</v>
      </c>
      <c r="AJ88" s="5">
        <v>0</v>
      </c>
      <c r="AK88" s="5">
        <v>0</v>
      </c>
      <c r="AL88" s="5"/>
      <c r="AM88" s="5"/>
      <c r="AN88" s="5">
        <v>0</v>
      </c>
      <c r="AO88" s="5">
        <v>1</v>
      </c>
      <c r="AP88" s="5">
        <v>0</v>
      </c>
      <c r="AQ88" s="5" t="s">
        <v>713</v>
      </c>
      <c r="AR88" s="5" t="s">
        <v>1104</v>
      </c>
      <c r="AS88" s="5"/>
      <c r="AT88" s="5"/>
      <c r="AU88" s="5"/>
      <c r="AV88" s="5">
        <v>-1</v>
      </c>
      <c r="AW88" s="5" t="s">
        <v>4766</v>
      </c>
    </row>
    <row r="89" spans="1:49" x14ac:dyDescent="0.55000000000000004">
      <c r="A89" s="5" t="str">
        <f>HYPERLINK("https://www.infodis.net/philips/net/Shipment/Details?InfodisNumber=6707558&amp;DomainCode=PHILIPSR1", "6707558")</f>
        <v>6707558</v>
      </c>
      <c r="B89" s="5" t="s">
        <v>4767</v>
      </c>
      <c r="C89" s="5" t="s">
        <v>4627</v>
      </c>
      <c r="D89" s="5" t="s">
        <v>4628</v>
      </c>
      <c r="E89" s="5" t="s">
        <v>4629</v>
      </c>
      <c r="F89" s="5" t="s">
        <v>915</v>
      </c>
      <c r="G89" s="5" t="s">
        <v>4630</v>
      </c>
      <c r="H89" s="5" t="s">
        <v>244</v>
      </c>
      <c r="I89" s="5"/>
      <c r="J89" s="5"/>
      <c r="K89" s="5" t="s">
        <v>918</v>
      </c>
      <c r="L89" s="5" t="s">
        <v>881</v>
      </c>
      <c r="M89" s="5" t="s">
        <v>60</v>
      </c>
      <c r="N89" s="5"/>
      <c r="O89" s="5"/>
      <c r="P89" s="5" t="s">
        <v>250</v>
      </c>
      <c r="Q89" s="5"/>
      <c r="R89" s="5" t="s">
        <v>888</v>
      </c>
      <c r="S89" s="6">
        <v>44055</v>
      </c>
      <c r="T89" s="6">
        <v>44055</v>
      </c>
      <c r="U89" s="6">
        <v>44055</v>
      </c>
      <c r="V89" s="5"/>
      <c r="W89" s="5"/>
      <c r="X89" s="5"/>
      <c r="Y89" s="5" t="s">
        <v>4750</v>
      </c>
      <c r="Z89" s="5"/>
      <c r="AA89" s="5"/>
      <c r="AB89" s="5" t="s">
        <v>67</v>
      </c>
      <c r="AC89" s="5" t="s">
        <v>68</v>
      </c>
      <c r="AD89" s="5" t="s">
        <v>68</v>
      </c>
      <c r="AE89" s="5"/>
      <c r="AF89" s="5" t="s">
        <v>4574</v>
      </c>
      <c r="AG89" s="5"/>
      <c r="AH89" s="5"/>
      <c r="AI89" s="5" t="s">
        <v>252</v>
      </c>
      <c r="AJ89" s="5">
        <v>0</v>
      </c>
      <c r="AK89" s="5">
        <v>0</v>
      </c>
      <c r="AL89" s="5"/>
      <c r="AM89" s="5"/>
      <c r="AN89" s="5">
        <v>8</v>
      </c>
      <c r="AO89" s="5">
        <v>790</v>
      </c>
      <c r="AP89" s="5">
        <v>11.276</v>
      </c>
      <c r="AQ89" s="5" t="s">
        <v>713</v>
      </c>
      <c r="AR89" s="5" t="s">
        <v>1104</v>
      </c>
      <c r="AS89" s="5"/>
      <c r="AT89" s="5"/>
      <c r="AU89" s="5"/>
      <c r="AV89" s="5">
        <v>-1</v>
      </c>
      <c r="AW89" s="5" t="s">
        <v>4751</v>
      </c>
    </row>
    <row r="90" spans="1:49" x14ac:dyDescent="0.55000000000000004">
      <c r="A90" s="5" t="str">
        <f>HYPERLINK("https://www.infodis.net/philips/net/Shipment/Details?InfodisNumber=6601654&amp;DomainCode=PHILIPSR1", "6601654")</f>
        <v>6601654</v>
      </c>
      <c r="B90" s="5" t="s">
        <v>4768</v>
      </c>
      <c r="C90" s="5" t="s">
        <v>4627</v>
      </c>
      <c r="D90" s="5" t="s">
        <v>4628</v>
      </c>
      <c r="E90" s="5"/>
      <c r="F90" s="5" t="s">
        <v>4627</v>
      </c>
      <c r="G90" s="5" t="s">
        <v>4769</v>
      </c>
      <c r="H90" s="5" t="s">
        <v>244</v>
      </c>
      <c r="I90" s="5"/>
      <c r="J90" s="5"/>
      <c r="K90" s="5" t="s">
        <v>4630</v>
      </c>
      <c r="L90" s="5" t="s">
        <v>244</v>
      </c>
      <c r="M90" s="5" t="s">
        <v>60</v>
      </c>
      <c r="N90" s="5"/>
      <c r="O90" s="5"/>
      <c r="P90" s="5" t="s">
        <v>4770</v>
      </c>
      <c r="Q90" s="5"/>
      <c r="R90" s="5" t="s">
        <v>250</v>
      </c>
      <c r="S90" s="6">
        <v>44012</v>
      </c>
      <c r="T90" s="6">
        <v>44012</v>
      </c>
      <c r="U90" s="6">
        <v>44012</v>
      </c>
      <c r="V90" s="5"/>
      <c r="W90" s="5"/>
      <c r="X90" s="5"/>
      <c r="Y90" s="5" t="s">
        <v>4750</v>
      </c>
      <c r="Z90" s="5"/>
      <c r="AA90" s="5"/>
      <c r="AB90" s="5" t="s">
        <v>67</v>
      </c>
      <c r="AC90" s="5" t="s">
        <v>68</v>
      </c>
      <c r="AD90" s="5" t="s">
        <v>68</v>
      </c>
      <c r="AE90" s="5"/>
      <c r="AF90" s="5" t="s">
        <v>70</v>
      </c>
      <c r="AG90" s="5"/>
      <c r="AH90" s="5"/>
      <c r="AI90" s="5" t="s">
        <v>252</v>
      </c>
      <c r="AJ90" s="5">
        <v>0</v>
      </c>
      <c r="AK90" s="5">
        <v>0</v>
      </c>
      <c r="AL90" s="5"/>
      <c r="AM90" s="5"/>
      <c r="AN90" s="5">
        <v>47</v>
      </c>
      <c r="AO90" s="5">
        <v>5982</v>
      </c>
      <c r="AP90" s="5">
        <v>74.103000000000009</v>
      </c>
      <c r="AQ90" s="5" t="s">
        <v>713</v>
      </c>
      <c r="AR90" s="5" t="s">
        <v>1104</v>
      </c>
      <c r="AS90" s="5"/>
      <c r="AT90" s="5"/>
      <c r="AU90" s="5"/>
      <c r="AV90" s="5">
        <v>-1</v>
      </c>
      <c r="AW90" s="5" t="s">
        <v>4751</v>
      </c>
    </row>
    <row r="91" spans="1:49" x14ac:dyDescent="0.55000000000000004">
      <c r="A91" s="5" t="str">
        <f>HYPERLINK("https://www.infodis.net/philips/net/Shipment/Details?InfodisNumber=1578034&amp;DomainCode=PHILIPSM1", "1578034")</f>
        <v>1578034</v>
      </c>
      <c r="B91" s="5" t="s">
        <v>4771</v>
      </c>
      <c r="C91" s="5" t="s">
        <v>4745</v>
      </c>
      <c r="D91" s="5" t="s">
        <v>4746</v>
      </c>
      <c r="E91" s="5" t="s">
        <v>4745</v>
      </c>
      <c r="F91" s="5" t="s">
        <v>1428</v>
      </c>
      <c r="G91" s="5" t="s">
        <v>4747</v>
      </c>
      <c r="H91" s="5" t="s">
        <v>244</v>
      </c>
      <c r="I91" s="5"/>
      <c r="J91" s="5"/>
      <c r="K91" s="5" t="s">
        <v>4216</v>
      </c>
      <c r="L91" s="5" t="s">
        <v>244</v>
      </c>
      <c r="M91" s="5" t="s">
        <v>84</v>
      </c>
      <c r="N91" s="5"/>
      <c r="O91" s="5"/>
      <c r="P91" s="5" t="s">
        <v>4748</v>
      </c>
      <c r="Q91" s="5"/>
      <c r="R91" s="5" t="s">
        <v>4220</v>
      </c>
      <c r="S91" s="6">
        <v>44154</v>
      </c>
      <c r="T91" s="6">
        <v>44154</v>
      </c>
      <c r="U91" s="6">
        <v>44154</v>
      </c>
      <c r="V91" s="5"/>
      <c r="W91" s="5"/>
      <c r="X91" s="5"/>
      <c r="Y91" s="5" t="s">
        <v>4576</v>
      </c>
      <c r="Z91" s="5"/>
      <c r="AA91" s="5"/>
      <c r="AB91" s="5" t="s">
        <v>67</v>
      </c>
      <c r="AC91" s="5" t="s">
        <v>68</v>
      </c>
      <c r="AD91" s="5" t="s">
        <v>68</v>
      </c>
      <c r="AE91" s="5"/>
      <c r="AF91" s="5" t="s">
        <v>4574</v>
      </c>
      <c r="AG91" s="5"/>
      <c r="AH91" s="5"/>
      <c r="AI91" s="5" t="s">
        <v>605</v>
      </c>
      <c r="AJ91" s="5">
        <v>0</v>
      </c>
      <c r="AK91" s="5">
        <v>0</v>
      </c>
      <c r="AL91" s="5"/>
      <c r="AM91" s="5"/>
      <c r="AN91" s="5">
        <v>0</v>
      </c>
      <c r="AO91" s="5">
        <v>3</v>
      </c>
      <c r="AP91" s="5">
        <v>3.4000000000000002E-2</v>
      </c>
      <c r="AQ91" s="5" t="s">
        <v>713</v>
      </c>
      <c r="AR91" s="5" t="s">
        <v>1104</v>
      </c>
      <c r="AS91" s="5"/>
      <c r="AT91" s="5"/>
      <c r="AU91" s="5"/>
      <c r="AV91" s="5">
        <v>-1</v>
      </c>
      <c r="AW91" s="5" t="s">
        <v>1269</v>
      </c>
    </row>
    <row r="92" spans="1:49" x14ac:dyDescent="0.55000000000000004">
      <c r="A92" s="5" t="str">
        <f>HYPERLINK("https://www.infodis.net/philips/net/Shipment/Details?InfodisNumber=6743239&amp;DomainCode=PHILIPSR1", "6743239")</f>
        <v>6743239</v>
      </c>
      <c r="B92" s="5" t="s">
        <v>4772</v>
      </c>
      <c r="C92" s="5" t="s">
        <v>4627</v>
      </c>
      <c r="D92" s="5" t="s">
        <v>4628</v>
      </c>
      <c r="E92" s="5" t="s">
        <v>4629</v>
      </c>
      <c r="F92" s="5" t="s">
        <v>915</v>
      </c>
      <c r="G92" s="5" t="s">
        <v>4630</v>
      </c>
      <c r="H92" s="5" t="s">
        <v>244</v>
      </c>
      <c r="I92" s="5"/>
      <c r="J92" s="5"/>
      <c r="K92" s="5" t="s">
        <v>918</v>
      </c>
      <c r="L92" s="5" t="s">
        <v>881</v>
      </c>
      <c r="M92" s="5" t="s">
        <v>60</v>
      </c>
      <c r="N92" s="5"/>
      <c r="O92" s="5"/>
      <c r="P92" s="5" t="s">
        <v>250</v>
      </c>
      <c r="Q92" s="5"/>
      <c r="R92" s="5" t="s">
        <v>888</v>
      </c>
      <c r="S92" s="6">
        <v>44068</v>
      </c>
      <c r="T92" s="6">
        <v>44069</v>
      </c>
      <c r="U92" s="6">
        <v>44069</v>
      </c>
      <c r="V92" s="5"/>
      <c r="W92" s="5"/>
      <c r="X92" s="5"/>
      <c r="Y92" s="5" t="s">
        <v>4750</v>
      </c>
      <c r="Z92" s="5"/>
      <c r="AA92" s="5"/>
      <c r="AB92" s="5" t="s">
        <v>67</v>
      </c>
      <c r="AC92" s="5" t="s">
        <v>68</v>
      </c>
      <c r="AD92" s="5" t="s">
        <v>68</v>
      </c>
      <c r="AE92" s="5"/>
      <c r="AF92" s="5" t="s">
        <v>4574</v>
      </c>
      <c r="AG92" s="5"/>
      <c r="AH92" s="5"/>
      <c r="AI92" s="5" t="s">
        <v>252</v>
      </c>
      <c r="AJ92" s="5">
        <v>0</v>
      </c>
      <c r="AK92" s="5">
        <v>0</v>
      </c>
      <c r="AL92" s="5"/>
      <c r="AM92" s="5"/>
      <c r="AN92" s="5">
        <v>8</v>
      </c>
      <c r="AO92" s="5">
        <v>640</v>
      </c>
      <c r="AP92" s="5">
        <v>11.965</v>
      </c>
      <c r="AQ92" s="5" t="s">
        <v>713</v>
      </c>
      <c r="AR92" s="5" t="s">
        <v>1104</v>
      </c>
      <c r="AS92" s="5"/>
      <c r="AT92" s="5"/>
      <c r="AU92" s="5"/>
      <c r="AV92" s="5">
        <v>-1</v>
      </c>
      <c r="AW92" s="5" t="s">
        <v>4751</v>
      </c>
    </row>
    <row r="93" spans="1:49" x14ac:dyDescent="0.55000000000000004">
      <c r="A93" s="5" t="str">
        <f>HYPERLINK("https://www.infodis.net/philips/net/Shipment/Details?InfodisNumber=6855789&amp;DomainCode=PHILIPSR1", "6855789")</f>
        <v>6855789</v>
      </c>
      <c r="B93" s="5" t="s">
        <v>4773</v>
      </c>
      <c r="C93" s="5" t="s">
        <v>2580</v>
      </c>
      <c r="D93" s="5" t="s">
        <v>2581</v>
      </c>
      <c r="E93" s="5" t="s">
        <v>1187</v>
      </c>
      <c r="F93" s="5"/>
      <c r="G93" s="5" t="s">
        <v>880</v>
      </c>
      <c r="H93" s="5" t="s">
        <v>881</v>
      </c>
      <c r="I93" s="5"/>
      <c r="J93" s="5"/>
      <c r="K93" s="5" t="s">
        <v>4774</v>
      </c>
      <c r="L93" s="5" t="s">
        <v>881</v>
      </c>
      <c r="M93" s="5" t="s">
        <v>60</v>
      </c>
      <c r="N93" s="5"/>
      <c r="O93" s="5"/>
      <c r="P93" s="5" t="s">
        <v>888</v>
      </c>
      <c r="Q93" s="5"/>
      <c r="R93" s="5" t="s">
        <v>4775</v>
      </c>
      <c r="S93" s="6">
        <v>44106</v>
      </c>
      <c r="T93" s="6">
        <v>44105</v>
      </c>
      <c r="U93" s="5"/>
      <c r="V93" s="5"/>
      <c r="W93" s="5"/>
      <c r="X93" s="5"/>
      <c r="Y93" s="5" t="s">
        <v>4776</v>
      </c>
      <c r="Z93" s="5"/>
      <c r="AA93" s="5"/>
      <c r="AB93" s="5" t="s">
        <v>67</v>
      </c>
      <c r="AC93" s="5" t="s">
        <v>68</v>
      </c>
      <c r="AD93" s="5" t="s">
        <v>68</v>
      </c>
      <c r="AE93" s="5"/>
      <c r="AF93" s="5" t="s">
        <v>4574</v>
      </c>
      <c r="AG93" s="5"/>
      <c r="AH93" s="5"/>
      <c r="AI93" s="5" t="s">
        <v>252</v>
      </c>
      <c r="AJ93" s="5">
        <v>0</v>
      </c>
      <c r="AK93" s="5">
        <v>0</v>
      </c>
      <c r="AL93" s="5"/>
      <c r="AM93" s="5"/>
      <c r="AN93" s="5">
        <v>0</v>
      </c>
      <c r="AO93" s="5">
        <v>3</v>
      </c>
      <c r="AP93" s="5">
        <v>8.0000000000000002E-3</v>
      </c>
      <c r="AQ93" s="5" t="s">
        <v>713</v>
      </c>
      <c r="AR93" s="5" t="s">
        <v>1104</v>
      </c>
      <c r="AS93" s="5"/>
      <c r="AT93" s="5"/>
      <c r="AU93" s="5"/>
      <c r="AV93" s="5">
        <v>-1</v>
      </c>
      <c r="AW93" s="5" t="s">
        <v>4777</v>
      </c>
    </row>
    <row r="94" spans="1:49" x14ac:dyDescent="0.55000000000000004">
      <c r="A94" s="5" t="str">
        <f>HYPERLINK("https://www.infodis.net/philips/net/Shipment/Details?InfodisNumber=6799645&amp;DomainCode=PHILIPSR1", "6799645")</f>
        <v>6799645</v>
      </c>
      <c r="B94" s="5" t="s">
        <v>4778</v>
      </c>
      <c r="C94" s="5" t="s">
        <v>4627</v>
      </c>
      <c r="D94" s="5" t="s">
        <v>4628</v>
      </c>
      <c r="E94" s="5" t="s">
        <v>4627</v>
      </c>
      <c r="F94" s="5" t="s">
        <v>4779</v>
      </c>
      <c r="G94" s="5" t="s">
        <v>4630</v>
      </c>
      <c r="H94" s="5" t="s">
        <v>244</v>
      </c>
      <c r="I94" s="5"/>
      <c r="J94" s="5"/>
      <c r="K94" s="5" t="s">
        <v>4780</v>
      </c>
      <c r="L94" s="5" t="s">
        <v>4781</v>
      </c>
      <c r="M94" s="5" t="s">
        <v>309</v>
      </c>
      <c r="N94" s="5"/>
      <c r="O94" s="5"/>
      <c r="P94" s="5" t="s">
        <v>250</v>
      </c>
      <c r="Q94" s="5"/>
      <c r="R94" s="5" t="s">
        <v>4782</v>
      </c>
      <c r="S94" s="6">
        <v>44090</v>
      </c>
      <c r="T94" s="6">
        <v>44090</v>
      </c>
      <c r="U94" s="6">
        <v>44090</v>
      </c>
      <c r="V94" s="5"/>
      <c r="W94" s="5"/>
      <c r="X94" s="5"/>
      <c r="Y94" s="5" t="s">
        <v>4750</v>
      </c>
      <c r="Z94" s="5"/>
      <c r="AA94" s="5"/>
      <c r="AB94" s="5" t="s">
        <v>67</v>
      </c>
      <c r="AC94" s="5" t="s">
        <v>68</v>
      </c>
      <c r="AD94" s="5" t="s">
        <v>68</v>
      </c>
      <c r="AE94" s="5"/>
      <c r="AF94" s="5" t="s">
        <v>70</v>
      </c>
      <c r="AG94" s="5"/>
      <c r="AH94" s="5"/>
      <c r="AI94" s="5" t="s">
        <v>252</v>
      </c>
      <c r="AJ94" s="5">
        <v>0</v>
      </c>
      <c r="AK94" s="5">
        <v>0</v>
      </c>
      <c r="AL94" s="5"/>
      <c r="AM94" s="5"/>
      <c r="AN94" s="5">
        <v>3</v>
      </c>
      <c r="AO94" s="5">
        <v>315</v>
      </c>
      <c r="AP94" s="5">
        <v>2.5920000000000001</v>
      </c>
      <c r="AQ94" s="5" t="s">
        <v>713</v>
      </c>
      <c r="AR94" s="5" t="s">
        <v>1104</v>
      </c>
      <c r="AS94" s="5"/>
      <c r="AT94" s="5"/>
      <c r="AU94" s="5"/>
      <c r="AV94" s="5">
        <v>-1</v>
      </c>
      <c r="AW94" s="5" t="s">
        <v>4751</v>
      </c>
    </row>
    <row r="95" spans="1:49" x14ac:dyDescent="0.55000000000000004">
      <c r="A95" s="5" t="str">
        <f>HYPERLINK("https://www.infodis.net/philips/net/Shipment/Details?InfodisNumber=6746388&amp;DomainCode=PHILIPSR1", "6746388")</f>
        <v>6746388</v>
      </c>
      <c r="B95" s="5" t="s">
        <v>4783</v>
      </c>
      <c r="C95" s="5" t="s">
        <v>4627</v>
      </c>
      <c r="D95" s="5" t="s">
        <v>4628</v>
      </c>
      <c r="E95" s="5" t="s">
        <v>4629</v>
      </c>
      <c r="F95" s="5" t="s">
        <v>4627</v>
      </c>
      <c r="G95" s="5" t="s">
        <v>306</v>
      </c>
      <c r="H95" s="5" t="s">
        <v>307</v>
      </c>
      <c r="I95" s="5"/>
      <c r="J95" s="5"/>
      <c r="K95" s="5" t="s">
        <v>4630</v>
      </c>
      <c r="L95" s="5" t="s">
        <v>244</v>
      </c>
      <c r="M95" s="5" t="s">
        <v>60</v>
      </c>
      <c r="N95" s="5"/>
      <c r="O95" s="5"/>
      <c r="P95" s="5" t="s">
        <v>4784</v>
      </c>
      <c r="Q95" s="5"/>
      <c r="R95" s="5" t="s">
        <v>250</v>
      </c>
      <c r="S95" s="6">
        <v>44069</v>
      </c>
      <c r="T95" s="6">
        <v>44069</v>
      </c>
      <c r="U95" s="6">
        <v>44069</v>
      </c>
      <c r="V95" s="5"/>
      <c r="W95" s="5"/>
      <c r="X95" s="5"/>
      <c r="Y95" s="5" t="s">
        <v>4750</v>
      </c>
      <c r="Z95" s="5"/>
      <c r="AA95" s="5"/>
      <c r="AB95" s="5" t="s">
        <v>67</v>
      </c>
      <c r="AC95" s="5" t="s">
        <v>68</v>
      </c>
      <c r="AD95" s="5" t="s">
        <v>68</v>
      </c>
      <c r="AE95" s="5"/>
      <c r="AF95" s="5" t="s">
        <v>4574</v>
      </c>
      <c r="AG95" s="5"/>
      <c r="AH95" s="5"/>
      <c r="AI95" s="5" t="s">
        <v>252</v>
      </c>
      <c r="AJ95" s="5">
        <v>0</v>
      </c>
      <c r="AK95" s="5">
        <v>0</v>
      </c>
      <c r="AL95" s="5"/>
      <c r="AM95" s="5"/>
      <c r="AN95" s="5">
        <v>1</v>
      </c>
      <c r="AO95" s="5">
        <v>63</v>
      </c>
      <c r="AP95" s="5">
        <v>0.74</v>
      </c>
      <c r="AQ95" s="5" t="s">
        <v>713</v>
      </c>
      <c r="AR95" s="5" t="s">
        <v>1104</v>
      </c>
      <c r="AS95" s="5"/>
      <c r="AT95" s="5"/>
      <c r="AU95" s="5"/>
      <c r="AV95" s="5">
        <v>-1</v>
      </c>
      <c r="AW95" s="5" t="s">
        <v>4785</v>
      </c>
    </row>
    <row r="96" spans="1:49" x14ac:dyDescent="0.55000000000000004">
      <c r="A96" s="5" t="str">
        <f>HYPERLINK("https://www.infodis.net/philips/net/Shipment/Details?InfodisNumber=6749728&amp;DomainCode=PHILIPSR1", "6749728")</f>
        <v>6749728</v>
      </c>
      <c r="B96" s="5" t="s">
        <v>4786</v>
      </c>
      <c r="C96" s="5" t="s">
        <v>4627</v>
      </c>
      <c r="D96" s="5" t="s">
        <v>4628</v>
      </c>
      <c r="E96" s="5" t="s">
        <v>4629</v>
      </c>
      <c r="F96" s="5" t="s">
        <v>915</v>
      </c>
      <c r="G96" s="5" t="s">
        <v>4630</v>
      </c>
      <c r="H96" s="5" t="s">
        <v>244</v>
      </c>
      <c r="I96" s="5"/>
      <c r="J96" s="5"/>
      <c r="K96" s="5" t="s">
        <v>918</v>
      </c>
      <c r="L96" s="5" t="s">
        <v>881</v>
      </c>
      <c r="M96" s="5" t="s">
        <v>60</v>
      </c>
      <c r="N96" s="5"/>
      <c r="O96" s="5"/>
      <c r="P96" s="5" t="s">
        <v>250</v>
      </c>
      <c r="Q96" s="5"/>
      <c r="R96" s="5" t="s">
        <v>888</v>
      </c>
      <c r="S96" s="6">
        <v>44070</v>
      </c>
      <c r="T96" s="6">
        <v>44070</v>
      </c>
      <c r="U96" s="6">
        <v>44070</v>
      </c>
      <c r="V96" s="5"/>
      <c r="W96" s="5"/>
      <c r="X96" s="5"/>
      <c r="Y96" s="5" t="s">
        <v>4750</v>
      </c>
      <c r="Z96" s="5"/>
      <c r="AA96" s="5"/>
      <c r="AB96" s="5" t="s">
        <v>67</v>
      </c>
      <c r="AC96" s="5" t="s">
        <v>68</v>
      </c>
      <c r="AD96" s="5" t="s">
        <v>68</v>
      </c>
      <c r="AE96" s="5"/>
      <c r="AF96" s="5" t="s">
        <v>4574</v>
      </c>
      <c r="AG96" s="5"/>
      <c r="AH96" s="5"/>
      <c r="AI96" s="5" t="s">
        <v>252</v>
      </c>
      <c r="AJ96" s="5">
        <v>0</v>
      </c>
      <c r="AK96" s="5">
        <v>0</v>
      </c>
      <c r="AL96" s="5"/>
      <c r="AM96" s="5"/>
      <c r="AN96" s="5">
        <v>6</v>
      </c>
      <c r="AO96" s="5">
        <v>725</v>
      </c>
      <c r="AP96" s="5">
        <v>8.8570000000000011</v>
      </c>
      <c r="AQ96" s="5" t="s">
        <v>713</v>
      </c>
      <c r="AR96" s="5" t="s">
        <v>1104</v>
      </c>
      <c r="AS96" s="5"/>
      <c r="AT96" s="5"/>
      <c r="AU96" s="5"/>
      <c r="AV96" s="5">
        <v>-1</v>
      </c>
      <c r="AW96" s="5" t="s">
        <v>4751</v>
      </c>
    </row>
    <row r="97" spans="1:49" x14ac:dyDescent="0.55000000000000004">
      <c r="A97" s="5" t="str">
        <f>HYPERLINK("https://www.infodis.net/philips/net/Shipment/Details?InfodisNumber=6760689&amp;DomainCode=PHILIPSR1", "6760689")</f>
        <v>6760689</v>
      </c>
      <c r="B97" s="5" t="s">
        <v>4787</v>
      </c>
      <c r="C97" s="5" t="s">
        <v>4627</v>
      </c>
      <c r="D97" s="5" t="s">
        <v>4628</v>
      </c>
      <c r="E97" s="5" t="s">
        <v>4629</v>
      </c>
      <c r="F97" s="5" t="s">
        <v>915</v>
      </c>
      <c r="G97" s="5" t="s">
        <v>4630</v>
      </c>
      <c r="H97" s="5" t="s">
        <v>244</v>
      </c>
      <c r="I97" s="5"/>
      <c r="J97" s="5"/>
      <c r="K97" s="5" t="s">
        <v>918</v>
      </c>
      <c r="L97" s="5" t="s">
        <v>881</v>
      </c>
      <c r="M97" s="5" t="s">
        <v>60</v>
      </c>
      <c r="N97" s="5"/>
      <c r="O97" s="5"/>
      <c r="P97" s="5" t="s">
        <v>250</v>
      </c>
      <c r="Q97" s="5"/>
      <c r="R97" s="5" t="s">
        <v>888</v>
      </c>
      <c r="S97" s="6">
        <v>44075</v>
      </c>
      <c r="T97" s="6">
        <v>44076</v>
      </c>
      <c r="U97" s="6">
        <v>44076</v>
      </c>
      <c r="V97" s="5"/>
      <c r="W97" s="5"/>
      <c r="X97" s="5"/>
      <c r="Y97" s="5" t="s">
        <v>4750</v>
      </c>
      <c r="Z97" s="5"/>
      <c r="AA97" s="5"/>
      <c r="AB97" s="5" t="s">
        <v>67</v>
      </c>
      <c r="AC97" s="5" t="s">
        <v>68</v>
      </c>
      <c r="AD97" s="5" t="s">
        <v>68</v>
      </c>
      <c r="AE97" s="5"/>
      <c r="AF97" s="5" t="s">
        <v>4574</v>
      </c>
      <c r="AG97" s="5"/>
      <c r="AH97" s="5"/>
      <c r="AI97" s="5" t="s">
        <v>252</v>
      </c>
      <c r="AJ97" s="5">
        <v>0</v>
      </c>
      <c r="AK97" s="5">
        <v>0</v>
      </c>
      <c r="AL97" s="5"/>
      <c r="AM97" s="5"/>
      <c r="AN97" s="5">
        <v>14</v>
      </c>
      <c r="AO97" s="5">
        <v>1785</v>
      </c>
      <c r="AP97" s="5">
        <v>20.94</v>
      </c>
      <c r="AQ97" s="5" t="s">
        <v>713</v>
      </c>
      <c r="AR97" s="5" t="s">
        <v>1104</v>
      </c>
      <c r="AS97" s="5"/>
      <c r="AT97" s="5"/>
      <c r="AU97" s="5"/>
      <c r="AV97" s="5">
        <v>-1</v>
      </c>
      <c r="AW97" s="5" t="s">
        <v>4751</v>
      </c>
    </row>
    <row r="98" spans="1:49" x14ac:dyDescent="0.55000000000000004">
      <c r="A98" s="5" t="str">
        <f>HYPERLINK("https://www.infodis.net/philips/net/Shipment/Details?InfodisNumber=6779533&amp;DomainCode=PHILIPSR1", "6779533")</f>
        <v>6779533</v>
      </c>
      <c r="B98" s="5" t="s">
        <v>4788</v>
      </c>
      <c r="C98" s="5" t="s">
        <v>4627</v>
      </c>
      <c r="D98" s="5" t="s">
        <v>4628</v>
      </c>
      <c r="E98" s="5" t="s">
        <v>4629</v>
      </c>
      <c r="F98" s="5" t="s">
        <v>915</v>
      </c>
      <c r="G98" s="5" t="s">
        <v>4630</v>
      </c>
      <c r="H98" s="5" t="s">
        <v>244</v>
      </c>
      <c r="I98" s="5"/>
      <c r="J98" s="5"/>
      <c r="K98" s="5" t="s">
        <v>918</v>
      </c>
      <c r="L98" s="5" t="s">
        <v>881</v>
      </c>
      <c r="M98" s="5" t="s">
        <v>60</v>
      </c>
      <c r="N98" s="5"/>
      <c r="O98" s="5"/>
      <c r="P98" s="5" t="s">
        <v>250</v>
      </c>
      <c r="Q98" s="5"/>
      <c r="R98" s="5" t="s">
        <v>888</v>
      </c>
      <c r="S98" s="6">
        <v>44083</v>
      </c>
      <c r="T98" s="6">
        <v>44083</v>
      </c>
      <c r="U98" s="6">
        <v>44083</v>
      </c>
      <c r="V98" s="5"/>
      <c r="W98" s="5"/>
      <c r="X98" s="5"/>
      <c r="Y98" s="5" t="s">
        <v>4750</v>
      </c>
      <c r="Z98" s="5"/>
      <c r="AA98" s="5"/>
      <c r="AB98" s="5" t="s">
        <v>67</v>
      </c>
      <c r="AC98" s="5" t="s">
        <v>68</v>
      </c>
      <c r="AD98" s="5" t="s">
        <v>68</v>
      </c>
      <c r="AE98" s="5"/>
      <c r="AF98" s="5" t="s">
        <v>4574</v>
      </c>
      <c r="AG98" s="5"/>
      <c r="AH98" s="5"/>
      <c r="AI98" s="5" t="s">
        <v>252</v>
      </c>
      <c r="AJ98" s="5">
        <v>0</v>
      </c>
      <c r="AK98" s="5">
        <v>0</v>
      </c>
      <c r="AL98" s="5"/>
      <c r="AM98" s="5"/>
      <c r="AN98" s="5">
        <v>6</v>
      </c>
      <c r="AO98" s="5">
        <v>990</v>
      </c>
      <c r="AP98" s="5">
        <v>8.4139999999999997</v>
      </c>
      <c r="AQ98" s="5" t="s">
        <v>713</v>
      </c>
      <c r="AR98" s="5" t="s">
        <v>1104</v>
      </c>
      <c r="AS98" s="5"/>
      <c r="AT98" s="5"/>
      <c r="AU98" s="5"/>
      <c r="AV98" s="5">
        <v>-1</v>
      </c>
      <c r="AW98" s="5" t="s">
        <v>4751</v>
      </c>
    </row>
    <row r="99" spans="1:49" x14ac:dyDescent="0.55000000000000004">
      <c r="A99" s="5" t="str">
        <f>HYPERLINK("https://www.infodis.net/philips/net/Shipment/Details?InfodisNumber=6851908&amp;DomainCode=PHILIPSR1", "6851908")</f>
        <v>6851908</v>
      </c>
      <c r="B99" s="5" t="s">
        <v>4789</v>
      </c>
      <c r="C99" s="5" t="s">
        <v>4627</v>
      </c>
      <c r="D99" s="5" t="s">
        <v>4628</v>
      </c>
      <c r="E99" s="5" t="s">
        <v>4629</v>
      </c>
      <c r="F99" s="5"/>
      <c r="G99" s="5" t="s">
        <v>4630</v>
      </c>
      <c r="H99" s="5" t="s">
        <v>244</v>
      </c>
      <c r="I99" s="5"/>
      <c r="J99" s="5"/>
      <c r="K99" s="5" t="s">
        <v>4790</v>
      </c>
      <c r="L99" s="5" t="s">
        <v>4547</v>
      </c>
      <c r="M99" s="5" t="s">
        <v>60</v>
      </c>
      <c r="N99" s="5"/>
      <c r="O99" s="5"/>
      <c r="P99" s="5" t="s">
        <v>250</v>
      </c>
      <c r="Q99" s="5"/>
      <c r="R99" s="5" t="s">
        <v>4791</v>
      </c>
      <c r="S99" s="6">
        <v>44105</v>
      </c>
      <c r="T99" s="6">
        <v>44110</v>
      </c>
      <c r="U99" s="6">
        <v>44110</v>
      </c>
      <c r="V99" s="5"/>
      <c r="W99" s="5"/>
      <c r="X99" s="5"/>
      <c r="Y99" s="5" t="s">
        <v>4750</v>
      </c>
      <c r="Z99" s="5"/>
      <c r="AA99" s="5"/>
      <c r="AB99" s="5" t="s">
        <v>67</v>
      </c>
      <c r="AC99" s="5" t="s">
        <v>68</v>
      </c>
      <c r="AD99" s="5" t="s">
        <v>68</v>
      </c>
      <c r="AE99" s="5"/>
      <c r="AF99" s="5" t="s">
        <v>4574</v>
      </c>
      <c r="AG99" s="5"/>
      <c r="AH99" s="5"/>
      <c r="AI99" s="5" t="s">
        <v>252</v>
      </c>
      <c r="AJ99" s="5">
        <v>0</v>
      </c>
      <c r="AK99" s="5">
        <v>0</v>
      </c>
      <c r="AL99" s="5"/>
      <c r="AM99" s="5"/>
      <c r="AN99" s="5">
        <v>32</v>
      </c>
      <c r="AO99" s="5">
        <v>3075</v>
      </c>
      <c r="AP99" s="5">
        <v>46.691000000000003</v>
      </c>
      <c r="AQ99" s="5" t="s">
        <v>713</v>
      </c>
      <c r="AR99" s="5" t="s">
        <v>1104</v>
      </c>
      <c r="AS99" s="5"/>
      <c r="AT99" s="5"/>
      <c r="AU99" s="5"/>
      <c r="AV99" s="5">
        <v>-1</v>
      </c>
      <c r="AW99" s="5" t="s">
        <v>4751</v>
      </c>
    </row>
    <row r="100" spans="1:49" x14ac:dyDescent="0.55000000000000004">
      <c r="A100" s="5" t="str">
        <f>HYPERLINK("https://www.infodis.net/philips/net/Shipment/Details?InfodisNumber=6791208&amp;DomainCode=PHILIPSR1", "6791208")</f>
        <v>6791208</v>
      </c>
      <c r="B100" s="5" t="s">
        <v>4792</v>
      </c>
      <c r="C100" s="5" t="s">
        <v>4627</v>
      </c>
      <c r="D100" s="5" t="s">
        <v>4628</v>
      </c>
      <c r="E100" s="5" t="s">
        <v>4629</v>
      </c>
      <c r="F100" s="5" t="s">
        <v>4793</v>
      </c>
      <c r="G100" s="5" t="s">
        <v>4630</v>
      </c>
      <c r="H100" s="5" t="s">
        <v>244</v>
      </c>
      <c r="I100" s="5"/>
      <c r="J100" s="5"/>
      <c r="K100" s="5" t="s">
        <v>4794</v>
      </c>
      <c r="L100" s="5" t="s">
        <v>4781</v>
      </c>
      <c r="M100" s="5" t="s">
        <v>60</v>
      </c>
      <c r="N100" s="5"/>
      <c r="O100" s="5"/>
      <c r="P100" s="5" t="s">
        <v>250</v>
      </c>
      <c r="Q100" s="5"/>
      <c r="R100" s="5" t="s">
        <v>4795</v>
      </c>
      <c r="S100" s="6">
        <v>44088</v>
      </c>
      <c r="T100" s="6">
        <v>44088</v>
      </c>
      <c r="U100" s="6">
        <v>44088</v>
      </c>
      <c r="V100" s="5"/>
      <c r="W100" s="5"/>
      <c r="X100" s="5"/>
      <c r="Y100" s="5" t="s">
        <v>4750</v>
      </c>
      <c r="Z100" s="5"/>
      <c r="AA100" s="5"/>
      <c r="AB100" s="5" t="s">
        <v>67</v>
      </c>
      <c r="AC100" s="5" t="s">
        <v>68</v>
      </c>
      <c r="AD100" s="5" t="s">
        <v>68</v>
      </c>
      <c r="AE100" s="5"/>
      <c r="AF100" s="5" t="s">
        <v>4574</v>
      </c>
      <c r="AG100" s="5"/>
      <c r="AH100" s="5"/>
      <c r="AI100" s="5" t="s">
        <v>252</v>
      </c>
      <c r="AJ100" s="5">
        <v>0</v>
      </c>
      <c r="AK100" s="5">
        <v>0</v>
      </c>
      <c r="AL100" s="5"/>
      <c r="AM100" s="5"/>
      <c r="AN100" s="5">
        <v>1</v>
      </c>
      <c r="AO100" s="5">
        <v>30</v>
      </c>
      <c r="AP100" s="5">
        <v>0.57600000000000007</v>
      </c>
      <c r="AQ100" s="5" t="s">
        <v>713</v>
      </c>
      <c r="AR100" s="5" t="s">
        <v>1104</v>
      </c>
      <c r="AS100" s="5"/>
      <c r="AT100" s="5"/>
      <c r="AU100" s="5"/>
      <c r="AV100" s="5">
        <v>-1</v>
      </c>
      <c r="AW100" s="5" t="s">
        <v>4751</v>
      </c>
    </row>
    <row r="101" spans="1:49" x14ac:dyDescent="0.55000000000000004">
      <c r="A101" s="5" t="str">
        <f>HYPERLINK("https://www.infodis.net/philips/net/Shipment/Details?InfodisNumber=6842573&amp;DomainCode=PHILIPSR1", "6842573")</f>
        <v>6842573</v>
      </c>
      <c r="B101" s="5" t="s">
        <v>4796</v>
      </c>
      <c r="C101" s="5" t="s">
        <v>4627</v>
      </c>
      <c r="D101" s="5" t="s">
        <v>4628</v>
      </c>
      <c r="E101" s="5" t="s">
        <v>4629</v>
      </c>
      <c r="F101" s="5"/>
      <c r="G101" s="5" t="s">
        <v>4630</v>
      </c>
      <c r="H101" s="5" t="s">
        <v>244</v>
      </c>
      <c r="I101" s="5"/>
      <c r="J101" s="5"/>
      <c r="K101" s="5" t="s">
        <v>4797</v>
      </c>
      <c r="L101" s="5" t="s">
        <v>453</v>
      </c>
      <c r="M101" s="5" t="s">
        <v>60</v>
      </c>
      <c r="N101" s="5"/>
      <c r="O101" s="5"/>
      <c r="P101" s="5" t="s">
        <v>250</v>
      </c>
      <c r="Q101" s="5"/>
      <c r="R101" s="5" t="s">
        <v>4798</v>
      </c>
      <c r="S101" s="6">
        <v>44103</v>
      </c>
      <c r="T101" s="6">
        <v>44103</v>
      </c>
      <c r="U101" s="6">
        <v>44103</v>
      </c>
      <c r="V101" s="5"/>
      <c r="W101" s="5"/>
      <c r="X101" s="5"/>
      <c r="Y101" s="5" t="s">
        <v>4750</v>
      </c>
      <c r="Z101" s="5"/>
      <c r="AA101" s="5"/>
      <c r="AB101" s="5" t="s">
        <v>67</v>
      </c>
      <c r="AC101" s="5" t="s">
        <v>68</v>
      </c>
      <c r="AD101" s="5" t="s">
        <v>68</v>
      </c>
      <c r="AE101" s="5"/>
      <c r="AF101" s="5" t="s">
        <v>4574</v>
      </c>
      <c r="AG101" s="5"/>
      <c r="AH101" s="5"/>
      <c r="AI101" s="5" t="s">
        <v>252</v>
      </c>
      <c r="AJ101" s="5">
        <v>0</v>
      </c>
      <c r="AK101" s="5">
        <v>0</v>
      </c>
      <c r="AL101" s="5"/>
      <c r="AM101" s="5"/>
      <c r="AN101" s="5">
        <v>1</v>
      </c>
      <c r="AO101" s="5">
        <v>90</v>
      </c>
      <c r="AP101" s="5">
        <v>1.476</v>
      </c>
      <c r="AQ101" s="5" t="s">
        <v>713</v>
      </c>
      <c r="AR101" s="5" t="s">
        <v>1104</v>
      </c>
      <c r="AS101" s="5"/>
      <c r="AT101" s="5"/>
      <c r="AU101" s="5"/>
      <c r="AV101" s="5">
        <v>-1</v>
      </c>
      <c r="AW101" s="5" t="s">
        <v>4751</v>
      </c>
    </row>
    <row r="102" spans="1:49" x14ac:dyDescent="0.55000000000000004">
      <c r="A102" s="5" t="str">
        <f>HYPERLINK("https://www.infodis.net/philips/net/Shipment/Details?InfodisNumber=4512664&amp;DomainCode=DAP", "4512664")</f>
        <v>4512664</v>
      </c>
      <c r="B102" s="5" t="s">
        <v>4799</v>
      </c>
      <c r="C102" s="5" t="s">
        <v>2207</v>
      </c>
      <c r="D102" s="5" t="s">
        <v>2208</v>
      </c>
      <c r="E102" s="5" t="s">
        <v>304</v>
      </c>
      <c r="F102" s="5" t="s">
        <v>2099</v>
      </c>
      <c r="G102" s="5" t="s">
        <v>259</v>
      </c>
      <c r="H102" s="5" t="s">
        <v>260</v>
      </c>
      <c r="I102" s="5"/>
      <c r="J102" s="5"/>
      <c r="K102" s="5" t="s">
        <v>306</v>
      </c>
      <c r="L102" s="5" t="s">
        <v>307</v>
      </c>
      <c r="M102" s="5" t="s">
        <v>133</v>
      </c>
      <c r="N102" s="5"/>
      <c r="O102" s="5"/>
      <c r="P102" s="5" t="s">
        <v>2211</v>
      </c>
      <c r="Q102" s="5"/>
      <c r="R102" s="5" t="s">
        <v>312</v>
      </c>
      <c r="S102" s="6">
        <v>44088</v>
      </c>
      <c r="T102" s="6">
        <v>44088</v>
      </c>
      <c r="U102" s="5"/>
      <c r="V102" s="5"/>
      <c r="W102" s="5"/>
      <c r="X102" s="5"/>
      <c r="Y102" s="5" t="s">
        <v>940</v>
      </c>
      <c r="Z102" s="5"/>
      <c r="AA102" s="5"/>
      <c r="AB102" s="5" t="s">
        <v>67</v>
      </c>
      <c r="AC102" s="5" t="s">
        <v>68</v>
      </c>
      <c r="AD102" s="5" t="s">
        <v>68</v>
      </c>
      <c r="AE102" s="5"/>
      <c r="AF102" s="5" t="s">
        <v>70</v>
      </c>
      <c r="AG102" s="5"/>
      <c r="AH102" s="5"/>
      <c r="AI102" s="5" t="s">
        <v>73</v>
      </c>
      <c r="AJ102" s="5">
        <v>0</v>
      </c>
      <c r="AK102" s="5">
        <v>0</v>
      </c>
      <c r="AL102" s="5"/>
      <c r="AM102" s="5"/>
      <c r="AN102" s="5">
        <v>0</v>
      </c>
      <c r="AO102" s="5">
        <v>1</v>
      </c>
      <c r="AP102" s="5">
        <v>0</v>
      </c>
      <c r="AQ102" s="5" t="s">
        <v>713</v>
      </c>
      <c r="AR102" s="5" t="s">
        <v>1104</v>
      </c>
      <c r="AS102" s="5"/>
      <c r="AT102" s="5"/>
      <c r="AU102" s="5"/>
      <c r="AV102" s="5">
        <v>-1</v>
      </c>
      <c r="AW102" s="5" t="s">
        <v>4766</v>
      </c>
    </row>
    <row r="103" spans="1:49" x14ac:dyDescent="0.55000000000000004">
      <c r="A103" s="5" t="str">
        <f>HYPERLINK("https://www.infodis.net/philips/net/Shipment/Details?InfodisNumber=6795251&amp;DomainCode=PHILIPSR1", "6795251")</f>
        <v>6795251</v>
      </c>
      <c r="B103" s="5" t="s">
        <v>4800</v>
      </c>
      <c r="C103" s="5" t="s">
        <v>4627</v>
      </c>
      <c r="D103" s="5" t="s">
        <v>4628</v>
      </c>
      <c r="E103" s="5" t="s">
        <v>4629</v>
      </c>
      <c r="F103" s="5" t="s">
        <v>915</v>
      </c>
      <c r="G103" s="5" t="s">
        <v>4630</v>
      </c>
      <c r="H103" s="5" t="s">
        <v>244</v>
      </c>
      <c r="I103" s="5"/>
      <c r="J103" s="5"/>
      <c r="K103" s="5" t="s">
        <v>918</v>
      </c>
      <c r="L103" s="5" t="s">
        <v>881</v>
      </c>
      <c r="M103" s="5" t="s">
        <v>60</v>
      </c>
      <c r="N103" s="5"/>
      <c r="O103" s="5"/>
      <c r="P103" s="5" t="s">
        <v>250</v>
      </c>
      <c r="Q103" s="5"/>
      <c r="R103" s="5" t="s">
        <v>888</v>
      </c>
      <c r="S103" s="6">
        <v>44089</v>
      </c>
      <c r="T103" s="6">
        <v>44090</v>
      </c>
      <c r="U103" s="6">
        <v>44090</v>
      </c>
      <c r="V103" s="5"/>
      <c r="W103" s="5"/>
      <c r="X103" s="5"/>
      <c r="Y103" s="5" t="s">
        <v>4750</v>
      </c>
      <c r="Z103" s="5"/>
      <c r="AA103" s="5"/>
      <c r="AB103" s="5" t="s">
        <v>67</v>
      </c>
      <c r="AC103" s="5" t="s">
        <v>68</v>
      </c>
      <c r="AD103" s="5" t="s">
        <v>68</v>
      </c>
      <c r="AE103" s="5"/>
      <c r="AF103" s="5" t="s">
        <v>4574</v>
      </c>
      <c r="AG103" s="5"/>
      <c r="AH103" s="5"/>
      <c r="AI103" s="5" t="s">
        <v>252</v>
      </c>
      <c r="AJ103" s="5">
        <v>0</v>
      </c>
      <c r="AK103" s="5">
        <v>0</v>
      </c>
      <c r="AL103" s="5"/>
      <c r="AM103" s="5"/>
      <c r="AN103" s="5">
        <v>23</v>
      </c>
      <c r="AO103" s="5">
        <v>3740</v>
      </c>
      <c r="AP103" s="5">
        <v>34.43</v>
      </c>
      <c r="AQ103" s="5" t="s">
        <v>713</v>
      </c>
      <c r="AR103" s="5" t="s">
        <v>1104</v>
      </c>
      <c r="AS103" s="5"/>
      <c r="AT103" s="5"/>
      <c r="AU103" s="5"/>
      <c r="AV103" s="5">
        <v>-1</v>
      </c>
      <c r="AW103" s="5" t="s">
        <v>4751</v>
      </c>
    </row>
    <row r="104" spans="1:49" x14ac:dyDescent="0.55000000000000004">
      <c r="A104" s="5" t="str">
        <f>HYPERLINK("https://www.infodis.net/philips/net/Shipment/Details?InfodisNumber=6702090&amp;DomainCode=PHILIPSR1", "6702090")</f>
        <v>6702090</v>
      </c>
      <c r="B104" s="5" t="s">
        <v>4801</v>
      </c>
      <c r="C104" s="5" t="s">
        <v>4627</v>
      </c>
      <c r="D104" s="5" t="s">
        <v>4628</v>
      </c>
      <c r="E104" s="5" t="s">
        <v>4629</v>
      </c>
      <c r="F104" s="5" t="s">
        <v>915</v>
      </c>
      <c r="G104" s="5" t="s">
        <v>4630</v>
      </c>
      <c r="H104" s="5" t="s">
        <v>244</v>
      </c>
      <c r="I104" s="5"/>
      <c r="J104" s="5"/>
      <c r="K104" s="5" t="s">
        <v>918</v>
      </c>
      <c r="L104" s="5" t="s">
        <v>881</v>
      </c>
      <c r="M104" s="5" t="s">
        <v>60</v>
      </c>
      <c r="N104" s="5"/>
      <c r="O104" s="5"/>
      <c r="P104" s="5" t="s">
        <v>250</v>
      </c>
      <c r="Q104" s="5"/>
      <c r="R104" s="5" t="s">
        <v>888</v>
      </c>
      <c r="S104" s="6">
        <v>44053</v>
      </c>
      <c r="T104" s="6">
        <v>44054</v>
      </c>
      <c r="U104" s="6">
        <v>44054</v>
      </c>
      <c r="V104" s="5"/>
      <c r="W104" s="5"/>
      <c r="X104" s="5"/>
      <c r="Y104" s="5" t="s">
        <v>4750</v>
      </c>
      <c r="Z104" s="5"/>
      <c r="AA104" s="5"/>
      <c r="AB104" s="5" t="s">
        <v>67</v>
      </c>
      <c r="AC104" s="5" t="s">
        <v>68</v>
      </c>
      <c r="AD104" s="5" t="s">
        <v>68</v>
      </c>
      <c r="AE104" s="5"/>
      <c r="AF104" s="5" t="s">
        <v>4574</v>
      </c>
      <c r="AG104" s="5"/>
      <c r="AH104" s="5"/>
      <c r="AI104" s="5" t="s">
        <v>252</v>
      </c>
      <c r="AJ104" s="5">
        <v>0</v>
      </c>
      <c r="AK104" s="5">
        <v>0</v>
      </c>
      <c r="AL104" s="5"/>
      <c r="AM104" s="5"/>
      <c r="AN104" s="5">
        <v>10</v>
      </c>
      <c r="AO104" s="5">
        <v>1330</v>
      </c>
      <c r="AP104" s="5">
        <v>14.762</v>
      </c>
      <c r="AQ104" s="5" t="s">
        <v>713</v>
      </c>
      <c r="AR104" s="5" t="s">
        <v>1104</v>
      </c>
      <c r="AS104" s="5"/>
      <c r="AT104" s="5"/>
      <c r="AU104" s="5"/>
      <c r="AV104" s="5">
        <v>-1</v>
      </c>
      <c r="AW104" s="5" t="s">
        <v>4751</v>
      </c>
    </row>
    <row r="105" spans="1:49" x14ac:dyDescent="0.55000000000000004">
      <c r="A105" s="5" t="str">
        <f>HYPERLINK("https://www.infodis.net/philips/net/Shipment/Details?InfodisNumber=4460000&amp;DomainCode=DAP", "4460000")</f>
        <v>4460000</v>
      </c>
      <c r="B105" s="5" t="s">
        <v>4802</v>
      </c>
      <c r="C105" s="5" t="s">
        <v>933</v>
      </c>
      <c r="D105" s="5" t="s">
        <v>934</v>
      </c>
      <c r="E105" s="5" t="s">
        <v>304</v>
      </c>
      <c r="F105" s="5" t="s">
        <v>4803</v>
      </c>
      <c r="G105" s="5" t="s">
        <v>295</v>
      </c>
      <c r="H105" s="5" t="s">
        <v>296</v>
      </c>
      <c r="I105" s="5"/>
      <c r="J105" s="5"/>
      <c r="K105" s="5" t="s">
        <v>356</v>
      </c>
      <c r="L105" s="5" t="s">
        <v>357</v>
      </c>
      <c r="M105" s="5" t="s">
        <v>309</v>
      </c>
      <c r="N105" s="5"/>
      <c r="O105" s="5"/>
      <c r="P105" s="5" t="s">
        <v>300</v>
      </c>
      <c r="Q105" s="5"/>
      <c r="R105" s="5" t="s">
        <v>361</v>
      </c>
      <c r="S105" s="6">
        <v>44004</v>
      </c>
      <c r="T105" s="6">
        <v>44005</v>
      </c>
      <c r="U105" s="6">
        <v>44005</v>
      </c>
      <c r="V105" s="6">
        <v>44013</v>
      </c>
      <c r="W105" s="6">
        <v>44013</v>
      </c>
      <c r="X105" s="5"/>
      <c r="Y105" s="5" t="s">
        <v>4804</v>
      </c>
      <c r="Z105" s="5" t="s">
        <v>4804</v>
      </c>
      <c r="AA105" s="5"/>
      <c r="AB105" s="5" t="s">
        <v>68</v>
      </c>
      <c r="AC105" s="5" t="s">
        <v>68</v>
      </c>
      <c r="AD105" s="5" t="s">
        <v>68</v>
      </c>
      <c r="AE105" s="5"/>
      <c r="AF105" s="5" t="s">
        <v>4805</v>
      </c>
      <c r="AG105" s="5" t="s">
        <v>4806</v>
      </c>
      <c r="AH105" s="5"/>
      <c r="AI105" s="5" t="s">
        <v>73</v>
      </c>
      <c r="AJ105" s="5">
        <v>0</v>
      </c>
      <c r="AK105" s="5">
        <v>0</v>
      </c>
      <c r="AL105" s="5">
        <v>0</v>
      </c>
      <c r="AM105" s="5"/>
      <c r="AN105" s="5">
        <v>4</v>
      </c>
      <c r="AO105" s="5">
        <v>1</v>
      </c>
      <c r="AP105" s="5">
        <v>0</v>
      </c>
      <c r="AQ105" s="5" t="s">
        <v>713</v>
      </c>
      <c r="AR105" s="5" t="s">
        <v>1104</v>
      </c>
      <c r="AS105" s="5"/>
      <c r="AT105" s="5"/>
      <c r="AU105" s="5"/>
      <c r="AV105" s="5">
        <v>-1</v>
      </c>
      <c r="AW105" s="5" t="s">
        <v>4807</v>
      </c>
    </row>
    <row r="106" spans="1:49" x14ac:dyDescent="0.55000000000000004">
      <c r="A106" s="5" t="str">
        <f>HYPERLINK("https://www.infodis.net/philips/net/Shipment/Details?InfodisNumber=4361345&amp;DomainCode=DAP", "4361345")</f>
        <v>4361345</v>
      </c>
      <c r="B106" s="5" t="s">
        <v>4808</v>
      </c>
      <c r="C106" s="5" t="s">
        <v>4739</v>
      </c>
      <c r="D106" s="5" t="s">
        <v>4740</v>
      </c>
      <c r="E106" s="5" t="s">
        <v>2048</v>
      </c>
      <c r="F106" s="5" t="s">
        <v>4739</v>
      </c>
      <c r="G106" s="5" t="s">
        <v>1262</v>
      </c>
      <c r="H106" s="5" t="s">
        <v>1263</v>
      </c>
      <c r="I106" s="5"/>
      <c r="J106" s="5"/>
      <c r="K106" s="5" t="s">
        <v>4742</v>
      </c>
      <c r="L106" s="5" t="s">
        <v>1263</v>
      </c>
      <c r="M106" s="5" t="s">
        <v>84</v>
      </c>
      <c r="N106" s="5"/>
      <c r="O106" s="5"/>
      <c r="P106" s="5" t="s">
        <v>1264</v>
      </c>
      <c r="Q106" s="5"/>
      <c r="R106" s="5" t="s">
        <v>4743</v>
      </c>
      <c r="S106" s="6">
        <v>43812</v>
      </c>
      <c r="T106" s="6">
        <v>43817</v>
      </c>
      <c r="U106" s="6">
        <v>43812</v>
      </c>
      <c r="V106" s="5"/>
      <c r="W106" s="5"/>
      <c r="X106" s="5"/>
      <c r="Y106" s="5" t="s">
        <v>4643</v>
      </c>
      <c r="Z106" s="5"/>
      <c r="AA106" s="5"/>
      <c r="AB106" s="5" t="s">
        <v>67</v>
      </c>
      <c r="AC106" s="5" t="s">
        <v>68</v>
      </c>
      <c r="AD106" s="5" t="s">
        <v>68</v>
      </c>
      <c r="AE106" s="5"/>
      <c r="AF106" s="5" t="s">
        <v>4574</v>
      </c>
      <c r="AG106" s="5"/>
      <c r="AH106" s="5"/>
      <c r="AI106" s="5" t="s">
        <v>73</v>
      </c>
      <c r="AJ106" s="5">
        <v>0</v>
      </c>
      <c r="AK106" s="5">
        <v>0</v>
      </c>
      <c r="AL106" s="5"/>
      <c r="AM106" s="5"/>
      <c r="AN106" s="5">
        <v>26</v>
      </c>
      <c r="AO106" s="5">
        <v>4500</v>
      </c>
      <c r="AP106" s="5">
        <v>44.927999999999997</v>
      </c>
      <c r="AQ106" s="5" t="s">
        <v>713</v>
      </c>
      <c r="AR106" s="5" t="s">
        <v>1104</v>
      </c>
      <c r="AS106" s="5" t="s">
        <v>713</v>
      </c>
      <c r="AT106" s="6">
        <v>43858</v>
      </c>
      <c r="AU106" s="5" t="s">
        <v>4809</v>
      </c>
      <c r="AV106" s="5">
        <v>304</v>
      </c>
      <c r="AW106" s="5" t="s">
        <v>4810</v>
      </c>
    </row>
    <row r="107" spans="1:49" x14ac:dyDescent="0.55000000000000004">
      <c r="A107" s="5" t="str">
        <f>HYPERLINK("https://www.infodis.net/philips/net/Shipment/Details?InfodisNumber=6593584&amp;DomainCode=PHILIPSR1", "6593584")</f>
        <v>6593584</v>
      </c>
      <c r="B107" s="5" t="s">
        <v>4811</v>
      </c>
      <c r="C107" s="5" t="s">
        <v>4627</v>
      </c>
      <c r="D107" s="5" t="s">
        <v>4628</v>
      </c>
      <c r="E107" s="5"/>
      <c r="F107" s="5" t="s">
        <v>4627</v>
      </c>
      <c r="G107" s="5" t="s">
        <v>4769</v>
      </c>
      <c r="H107" s="5" t="s">
        <v>244</v>
      </c>
      <c r="I107" s="5"/>
      <c r="J107" s="5"/>
      <c r="K107" s="5" t="s">
        <v>4630</v>
      </c>
      <c r="L107" s="5" t="s">
        <v>244</v>
      </c>
      <c r="M107" s="5" t="s">
        <v>60</v>
      </c>
      <c r="N107" s="5"/>
      <c r="O107" s="5"/>
      <c r="P107" s="5" t="s">
        <v>4770</v>
      </c>
      <c r="Q107" s="5"/>
      <c r="R107" s="5" t="s">
        <v>250</v>
      </c>
      <c r="S107" s="6">
        <v>44008</v>
      </c>
      <c r="T107" s="6">
        <v>44008</v>
      </c>
      <c r="U107" s="6">
        <v>44008</v>
      </c>
      <c r="V107" s="5"/>
      <c r="W107" s="5"/>
      <c r="X107" s="5"/>
      <c r="Y107" s="5" t="s">
        <v>4750</v>
      </c>
      <c r="Z107" s="5"/>
      <c r="AA107" s="5"/>
      <c r="AB107" s="5" t="s">
        <v>67</v>
      </c>
      <c r="AC107" s="5" t="s">
        <v>68</v>
      </c>
      <c r="AD107" s="5" t="s">
        <v>68</v>
      </c>
      <c r="AE107" s="5"/>
      <c r="AF107" s="5" t="s">
        <v>70</v>
      </c>
      <c r="AG107" s="5"/>
      <c r="AH107" s="5"/>
      <c r="AI107" s="5" t="s">
        <v>252</v>
      </c>
      <c r="AJ107" s="5">
        <v>0</v>
      </c>
      <c r="AK107" s="5">
        <v>0</v>
      </c>
      <c r="AL107" s="5"/>
      <c r="AM107" s="5"/>
      <c r="AN107" s="5">
        <v>63</v>
      </c>
      <c r="AO107" s="5">
        <v>4742</v>
      </c>
      <c r="AP107" s="5">
        <v>93.685000000000002</v>
      </c>
      <c r="AQ107" s="5" t="s">
        <v>713</v>
      </c>
      <c r="AR107" s="5" t="s">
        <v>1104</v>
      </c>
      <c r="AS107" s="5"/>
      <c r="AT107" s="5"/>
      <c r="AU107" s="5"/>
      <c r="AV107" s="5">
        <v>-1</v>
      </c>
      <c r="AW107" s="5" t="s">
        <v>4751</v>
      </c>
    </row>
    <row r="108" spans="1:49" x14ac:dyDescent="0.55000000000000004">
      <c r="A108" s="5" t="str">
        <f>HYPERLINK("https://www.infodis.net/philips/net/Shipment/Details?InfodisNumber=6535769&amp;DomainCode=PHILIPSR1", "6535769")</f>
        <v>6535769</v>
      </c>
      <c r="B108" s="5" t="s">
        <v>4812</v>
      </c>
      <c r="C108" s="5" t="s">
        <v>4627</v>
      </c>
      <c r="D108" s="5" t="s">
        <v>4628</v>
      </c>
      <c r="E108" s="5" t="s">
        <v>4629</v>
      </c>
      <c r="F108" s="5" t="s">
        <v>915</v>
      </c>
      <c r="G108" s="5" t="s">
        <v>4630</v>
      </c>
      <c r="H108" s="5" t="s">
        <v>244</v>
      </c>
      <c r="I108" s="5"/>
      <c r="J108" s="5"/>
      <c r="K108" s="5" t="s">
        <v>918</v>
      </c>
      <c r="L108" s="5" t="s">
        <v>881</v>
      </c>
      <c r="M108" s="5" t="s">
        <v>60</v>
      </c>
      <c r="N108" s="5"/>
      <c r="O108" s="5"/>
      <c r="P108" s="5" t="s">
        <v>250</v>
      </c>
      <c r="Q108" s="5"/>
      <c r="R108" s="5" t="s">
        <v>888</v>
      </c>
      <c r="S108" s="6">
        <v>43986</v>
      </c>
      <c r="T108" s="6">
        <v>43987</v>
      </c>
      <c r="U108" s="6">
        <v>43987</v>
      </c>
      <c r="V108" s="5"/>
      <c r="W108" s="5"/>
      <c r="X108" s="5"/>
      <c r="Y108" s="5" t="s">
        <v>4750</v>
      </c>
      <c r="Z108" s="5"/>
      <c r="AA108" s="5"/>
      <c r="AB108" s="5" t="s">
        <v>67</v>
      </c>
      <c r="AC108" s="5" t="s">
        <v>68</v>
      </c>
      <c r="AD108" s="5" t="s">
        <v>68</v>
      </c>
      <c r="AE108" s="5"/>
      <c r="AF108" s="5" t="s">
        <v>4574</v>
      </c>
      <c r="AG108" s="5"/>
      <c r="AH108" s="5"/>
      <c r="AI108" s="5" t="s">
        <v>252</v>
      </c>
      <c r="AJ108" s="5">
        <v>0</v>
      </c>
      <c r="AK108" s="5">
        <v>0</v>
      </c>
      <c r="AL108" s="5"/>
      <c r="AM108" s="5"/>
      <c r="AN108" s="5">
        <v>9</v>
      </c>
      <c r="AO108" s="5">
        <v>645</v>
      </c>
      <c r="AP108" s="5">
        <v>14.21</v>
      </c>
      <c r="AQ108" s="5" t="s">
        <v>713</v>
      </c>
      <c r="AR108" s="5" t="s">
        <v>1104</v>
      </c>
      <c r="AS108" s="5"/>
      <c r="AT108" s="5"/>
      <c r="AU108" s="5"/>
      <c r="AV108" s="5">
        <v>-1</v>
      </c>
      <c r="AW108" s="5" t="s">
        <v>4751</v>
      </c>
    </row>
    <row r="109" spans="1:49" x14ac:dyDescent="0.55000000000000004">
      <c r="A109" s="5" t="str">
        <f>HYPERLINK("https://www.infodis.net/philips/net/Shipment/Details?InfodisNumber=6498939&amp;DomainCode=PHILIPSR1", "6498939")</f>
        <v>6498939</v>
      </c>
      <c r="B109" s="5" t="s">
        <v>4813</v>
      </c>
      <c r="C109" s="5" t="s">
        <v>4627</v>
      </c>
      <c r="D109" s="5" t="s">
        <v>4628</v>
      </c>
      <c r="E109" s="5" t="s">
        <v>4629</v>
      </c>
      <c r="F109" s="5" t="s">
        <v>915</v>
      </c>
      <c r="G109" s="5" t="s">
        <v>4630</v>
      </c>
      <c r="H109" s="5" t="s">
        <v>244</v>
      </c>
      <c r="I109" s="5"/>
      <c r="J109" s="5"/>
      <c r="K109" s="5" t="s">
        <v>918</v>
      </c>
      <c r="L109" s="5" t="s">
        <v>881</v>
      </c>
      <c r="M109" s="5" t="s">
        <v>60</v>
      </c>
      <c r="N109" s="5"/>
      <c r="O109" s="5"/>
      <c r="P109" s="5" t="s">
        <v>250</v>
      </c>
      <c r="Q109" s="5"/>
      <c r="R109" s="5" t="s">
        <v>888</v>
      </c>
      <c r="S109" s="6">
        <v>43971</v>
      </c>
      <c r="T109" s="6">
        <v>43973</v>
      </c>
      <c r="U109" s="6">
        <v>43973</v>
      </c>
      <c r="V109" s="5"/>
      <c r="W109" s="5"/>
      <c r="X109" s="5"/>
      <c r="Y109" s="5" t="s">
        <v>4750</v>
      </c>
      <c r="Z109" s="5"/>
      <c r="AA109" s="5"/>
      <c r="AB109" s="5" t="s">
        <v>67</v>
      </c>
      <c r="AC109" s="5" t="s">
        <v>68</v>
      </c>
      <c r="AD109" s="5" t="s">
        <v>68</v>
      </c>
      <c r="AE109" s="5"/>
      <c r="AF109" s="5" t="s">
        <v>4574</v>
      </c>
      <c r="AG109" s="5"/>
      <c r="AH109" s="5"/>
      <c r="AI109" s="5" t="s">
        <v>252</v>
      </c>
      <c r="AJ109" s="5">
        <v>0</v>
      </c>
      <c r="AK109" s="5">
        <v>0</v>
      </c>
      <c r="AL109" s="5"/>
      <c r="AM109" s="5"/>
      <c r="AN109" s="5">
        <v>24</v>
      </c>
      <c r="AO109" s="5">
        <v>3755</v>
      </c>
      <c r="AP109" s="5">
        <v>34.716000000000001</v>
      </c>
      <c r="AQ109" s="5" t="s">
        <v>713</v>
      </c>
      <c r="AR109" s="5" t="s">
        <v>1104</v>
      </c>
      <c r="AS109" s="5" t="s">
        <v>713</v>
      </c>
      <c r="AT109" s="6">
        <v>43979</v>
      </c>
      <c r="AU109" s="5" t="s">
        <v>4814</v>
      </c>
      <c r="AV109" s="5">
        <v>183</v>
      </c>
      <c r="AW109" s="5" t="s">
        <v>4751</v>
      </c>
    </row>
    <row r="110" spans="1:49" x14ac:dyDescent="0.55000000000000004">
      <c r="A110" s="5" t="str">
        <f>HYPERLINK("https://www.infodis.net/philips/net/Shipment/Details?InfodisNumber=6546197&amp;DomainCode=PHILIPSR1", "6546197")</f>
        <v>6546197</v>
      </c>
      <c r="B110" s="5" t="s">
        <v>4815</v>
      </c>
      <c r="C110" s="5" t="s">
        <v>4627</v>
      </c>
      <c r="D110" s="5" t="s">
        <v>4628</v>
      </c>
      <c r="E110" s="5" t="s">
        <v>4629</v>
      </c>
      <c r="F110" s="5"/>
      <c r="G110" s="5" t="s">
        <v>4630</v>
      </c>
      <c r="H110" s="5" t="s">
        <v>244</v>
      </c>
      <c r="I110" s="5"/>
      <c r="J110" s="5"/>
      <c r="K110" s="5" t="s">
        <v>4816</v>
      </c>
      <c r="L110" s="5" t="s">
        <v>244</v>
      </c>
      <c r="M110" s="5" t="s">
        <v>60</v>
      </c>
      <c r="N110" s="5"/>
      <c r="O110" s="5"/>
      <c r="P110" s="5" t="s">
        <v>250</v>
      </c>
      <c r="Q110" s="5"/>
      <c r="R110" s="5" t="s">
        <v>4817</v>
      </c>
      <c r="S110" s="6">
        <v>43991</v>
      </c>
      <c r="T110" s="6">
        <v>43992</v>
      </c>
      <c r="U110" s="6">
        <v>43992</v>
      </c>
      <c r="V110" s="5"/>
      <c r="W110" s="5"/>
      <c r="X110" s="5"/>
      <c r="Y110" s="5" t="s">
        <v>4750</v>
      </c>
      <c r="Z110" s="5"/>
      <c r="AA110" s="5"/>
      <c r="AB110" s="5" t="s">
        <v>67</v>
      </c>
      <c r="AC110" s="5" t="s">
        <v>68</v>
      </c>
      <c r="AD110" s="5" t="s">
        <v>68</v>
      </c>
      <c r="AE110" s="5"/>
      <c r="AF110" s="5" t="s">
        <v>4574</v>
      </c>
      <c r="AG110" s="5"/>
      <c r="AH110" s="5"/>
      <c r="AI110" s="5" t="s">
        <v>252</v>
      </c>
      <c r="AJ110" s="5">
        <v>0</v>
      </c>
      <c r="AK110" s="5">
        <v>0</v>
      </c>
      <c r="AL110" s="5"/>
      <c r="AM110" s="5"/>
      <c r="AN110" s="5">
        <v>35</v>
      </c>
      <c r="AO110" s="5">
        <v>3370</v>
      </c>
      <c r="AP110" s="5">
        <v>47.377000000000002</v>
      </c>
      <c r="AQ110" s="5" t="s">
        <v>713</v>
      </c>
      <c r="AR110" s="5" t="s">
        <v>1104</v>
      </c>
      <c r="AS110" s="5"/>
      <c r="AT110" s="5"/>
      <c r="AU110" s="5"/>
      <c r="AV110" s="5">
        <v>-1</v>
      </c>
      <c r="AW110" s="5" t="s">
        <v>4751</v>
      </c>
    </row>
    <row r="111" spans="1:49" x14ac:dyDescent="0.55000000000000004">
      <c r="A111" s="5" t="str">
        <f>HYPERLINK("https://www.infodis.net/philips/net/Shipment/Details?InfodisNumber=4409611&amp;DomainCode=DAP", "4409611")</f>
        <v>4409611</v>
      </c>
      <c r="B111" s="5" t="s">
        <v>4818</v>
      </c>
      <c r="C111" s="5" t="s">
        <v>3267</v>
      </c>
      <c r="D111" s="5" t="s">
        <v>3268</v>
      </c>
      <c r="E111" s="5" t="s">
        <v>191</v>
      </c>
      <c r="F111" s="5" t="s">
        <v>191</v>
      </c>
      <c r="G111" s="5" t="s">
        <v>3269</v>
      </c>
      <c r="H111" s="5" t="s">
        <v>55</v>
      </c>
      <c r="I111" s="5"/>
      <c r="J111" s="5"/>
      <c r="K111" s="5" t="s">
        <v>308</v>
      </c>
      <c r="L111" s="5" t="s">
        <v>180</v>
      </c>
      <c r="M111" s="5" t="s">
        <v>84</v>
      </c>
      <c r="N111" s="5"/>
      <c r="O111" s="5"/>
      <c r="P111" s="5" t="s">
        <v>3271</v>
      </c>
      <c r="Q111" s="5"/>
      <c r="R111" s="5" t="s">
        <v>313</v>
      </c>
      <c r="S111" s="6">
        <v>43901</v>
      </c>
      <c r="T111" s="6">
        <v>43903</v>
      </c>
      <c r="U111" s="6">
        <v>43903</v>
      </c>
      <c r="V111" s="5"/>
      <c r="W111" s="5"/>
      <c r="X111" s="5"/>
      <c r="Y111" s="5" t="s">
        <v>940</v>
      </c>
      <c r="Z111" s="5"/>
      <c r="AA111" s="5"/>
      <c r="AB111" s="5" t="s">
        <v>67</v>
      </c>
      <c r="AC111" s="5" t="s">
        <v>68</v>
      </c>
      <c r="AD111" s="5" t="s">
        <v>68</v>
      </c>
      <c r="AE111" s="5"/>
      <c r="AF111" s="5" t="s">
        <v>70</v>
      </c>
      <c r="AG111" s="5"/>
      <c r="AH111" s="5"/>
      <c r="AI111" s="5" t="s">
        <v>73</v>
      </c>
      <c r="AJ111" s="5">
        <v>0</v>
      </c>
      <c r="AK111" s="5">
        <v>0</v>
      </c>
      <c r="AL111" s="5"/>
      <c r="AM111" s="5"/>
      <c r="AN111" s="5">
        <v>1</v>
      </c>
      <c r="AO111" s="5">
        <v>463</v>
      </c>
      <c r="AP111" s="5">
        <v>1.296</v>
      </c>
      <c r="AQ111" s="5" t="s">
        <v>713</v>
      </c>
      <c r="AR111" s="5" t="s">
        <v>1104</v>
      </c>
      <c r="AS111" s="5" t="s">
        <v>713</v>
      </c>
      <c r="AT111" s="6">
        <v>43991</v>
      </c>
      <c r="AU111" s="5" t="s">
        <v>4819</v>
      </c>
      <c r="AV111" s="5">
        <v>171</v>
      </c>
      <c r="AW111" s="5" t="s">
        <v>4820</v>
      </c>
    </row>
    <row r="112" spans="1:49" x14ac:dyDescent="0.55000000000000004">
      <c r="A112" s="5" t="str">
        <f>HYPERLINK("https://www.infodis.net/philips/net/Shipment/Details?InfodisNumber=4308116&amp;DomainCode=DAP", "4308116")</f>
        <v>4308116</v>
      </c>
      <c r="B112" s="5" t="s">
        <v>4821</v>
      </c>
      <c r="C112" s="5" t="s">
        <v>4822</v>
      </c>
      <c r="D112" s="5" t="s">
        <v>4823</v>
      </c>
      <c r="E112" s="5" t="s">
        <v>242</v>
      </c>
      <c r="F112" s="5" t="s">
        <v>4824</v>
      </c>
      <c r="G112" s="5" t="s">
        <v>611</v>
      </c>
      <c r="H112" s="5" t="s">
        <v>55</v>
      </c>
      <c r="I112" s="5"/>
      <c r="J112" s="5"/>
      <c r="K112" s="5" t="s">
        <v>4825</v>
      </c>
      <c r="L112" s="5" t="s">
        <v>4781</v>
      </c>
      <c r="M112" s="5" t="s">
        <v>60</v>
      </c>
      <c r="N112" s="5"/>
      <c r="O112" s="5"/>
      <c r="P112" s="5" t="s">
        <v>615</v>
      </c>
      <c r="Q112" s="5"/>
      <c r="R112" s="5" t="s">
        <v>4826</v>
      </c>
      <c r="S112" s="6">
        <v>43741</v>
      </c>
      <c r="T112" s="6">
        <v>43741</v>
      </c>
      <c r="U112" s="6">
        <v>43741</v>
      </c>
      <c r="V112" s="5"/>
      <c r="W112" s="5"/>
      <c r="X112" s="5"/>
      <c r="Y112" s="5" t="s">
        <v>4827</v>
      </c>
      <c r="Z112" s="5"/>
      <c r="AA112" s="5"/>
      <c r="AB112" s="5" t="s">
        <v>67</v>
      </c>
      <c r="AC112" s="5" t="s">
        <v>68</v>
      </c>
      <c r="AD112" s="5" t="s">
        <v>68</v>
      </c>
      <c r="AE112" s="5"/>
      <c r="AF112" s="5" t="s">
        <v>4574</v>
      </c>
      <c r="AG112" s="5"/>
      <c r="AH112" s="5"/>
      <c r="AI112" s="5" t="s">
        <v>73</v>
      </c>
      <c r="AJ112" s="5">
        <v>0</v>
      </c>
      <c r="AK112" s="5">
        <v>0</v>
      </c>
      <c r="AL112" s="5"/>
      <c r="AM112" s="5"/>
      <c r="AN112" s="5">
        <v>1</v>
      </c>
      <c r="AO112" s="5">
        <v>30</v>
      </c>
      <c r="AP112" s="5">
        <v>0.60499999999999998</v>
      </c>
      <c r="AQ112" s="5" t="s">
        <v>713</v>
      </c>
      <c r="AR112" s="5" t="s">
        <v>1104</v>
      </c>
      <c r="AS112" s="5"/>
      <c r="AT112" s="5"/>
      <c r="AU112" s="5"/>
      <c r="AV112" s="5">
        <v>-1</v>
      </c>
      <c r="AW112" s="5" t="s">
        <v>4828</v>
      </c>
    </row>
    <row r="113" spans="1:49" x14ac:dyDescent="0.55000000000000004">
      <c r="A113" s="5" t="str">
        <f>HYPERLINK("https://www.infodis.net/philips/net/Shipment/Details?InfodisNumber=4418175&amp;DomainCode=DAP", "4418175")</f>
        <v>4418175</v>
      </c>
      <c r="B113" s="5" t="s">
        <v>4829</v>
      </c>
      <c r="C113" s="5" t="s">
        <v>4830</v>
      </c>
      <c r="D113" s="5" t="s">
        <v>4831</v>
      </c>
      <c r="E113" s="5" t="s">
        <v>304</v>
      </c>
      <c r="F113" s="5" t="s">
        <v>2327</v>
      </c>
      <c r="G113" s="5" t="s">
        <v>4832</v>
      </c>
      <c r="H113" s="5" t="s">
        <v>260</v>
      </c>
      <c r="I113" s="5"/>
      <c r="J113" s="5"/>
      <c r="K113" s="5" t="s">
        <v>306</v>
      </c>
      <c r="L113" s="5" t="s">
        <v>307</v>
      </c>
      <c r="M113" s="5" t="s">
        <v>133</v>
      </c>
      <c r="N113" s="5"/>
      <c r="O113" s="5"/>
      <c r="P113" s="5" t="s">
        <v>4833</v>
      </c>
      <c r="Q113" s="5"/>
      <c r="R113" s="5" t="s">
        <v>312</v>
      </c>
      <c r="S113" s="6">
        <v>43915</v>
      </c>
      <c r="T113" s="6">
        <v>43921</v>
      </c>
      <c r="U113" s="5"/>
      <c r="V113" s="5"/>
      <c r="W113" s="5"/>
      <c r="X113" s="5"/>
      <c r="Y113" s="5" t="s">
        <v>940</v>
      </c>
      <c r="Z113" s="5"/>
      <c r="AA113" s="5"/>
      <c r="AB113" s="5" t="s">
        <v>67</v>
      </c>
      <c r="AC113" s="5" t="s">
        <v>68</v>
      </c>
      <c r="AD113" s="5" t="s">
        <v>68</v>
      </c>
      <c r="AE113" s="5"/>
      <c r="AF113" s="5" t="s">
        <v>70</v>
      </c>
      <c r="AG113" s="5"/>
      <c r="AH113" s="5"/>
      <c r="AI113" s="5" t="s">
        <v>73</v>
      </c>
      <c r="AJ113" s="5">
        <v>0</v>
      </c>
      <c r="AK113" s="5">
        <v>0</v>
      </c>
      <c r="AL113" s="5"/>
      <c r="AM113" s="5"/>
      <c r="AN113" s="5">
        <v>0</v>
      </c>
      <c r="AO113" s="5">
        <v>1</v>
      </c>
      <c r="AP113" s="5">
        <v>0</v>
      </c>
      <c r="AQ113" s="5" t="s">
        <v>713</v>
      </c>
      <c r="AR113" s="5" t="s">
        <v>1104</v>
      </c>
      <c r="AS113" s="5"/>
      <c r="AT113" s="5"/>
      <c r="AU113" s="5"/>
      <c r="AV113" s="5">
        <v>-1</v>
      </c>
      <c r="AW113" s="5" t="s">
        <v>4205</v>
      </c>
    </row>
    <row r="114" spans="1:49" x14ac:dyDescent="0.55000000000000004">
      <c r="A114" s="5" t="str">
        <f>HYPERLINK("https://www.infodis.net/philips/net/Shipment/Details?InfodisNumber=1321988&amp;DomainCode=PHILIPSM1", "1321988")</f>
        <v>1321988</v>
      </c>
      <c r="B114" s="5" t="s">
        <v>4834</v>
      </c>
      <c r="C114" s="5" t="s">
        <v>4570</v>
      </c>
      <c r="D114" s="5" t="s">
        <v>4571</v>
      </c>
      <c r="E114" s="5" t="s">
        <v>4570</v>
      </c>
      <c r="F114" s="5"/>
      <c r="G114" s="5" t="s">
        <v>1430</v>
      </c>
      <c r="H114" s="5" t="s">
        <v>244</v>
      </c>
      <c r="I114" s="5"/>
      <c r="J114" s="5"/>
      <c r="K114" s="5" t="s">
        <v>4835</v>
      </c>
      <c r="L114" s="5" t="s">
        <v>4836</v>
      </c>
      <c r="M114" s="5" t="s">
        <v>60</v>
      </c>
      <c r="N114" s="5"/>
      <c r="O114" s="5"/>
      <c r="P114" s="5" t="s">
        <v>1432</v>
      </c>
      <c r="Q114" s="5"/>
      <c r="R114" s="5" t="s">
        <v>4837</v>
      </c>
      <c r="S114" s="6">
        <v>43913</v>
      </c>
      <c r="T114" s="6">
        <v>43913</v>
      </c>
      <c r="U114" s="6">
        <v>43913</v>
      </c>
      <c r="V114" s="5"/>
      <c r="W114" s="5"/>
      <c r="X114" s="5"/>
      <c r="Y114" s="5" t="s">
        <v>4736</v>
      </c>
      <c r="Z114" s="5"/>
      <c r="AA114" s="5"/>
      <c r="AB114" s="5" t="s">
        <v>67</v>
      </c>
      <c r="AC114" s="5" t="s">
        <v>68</v>
      </c>
      <c r="AD114" s="5" t="s">
        <v>68</v>
      </c>
      <c r="AE114" s="5"/>
      <c r="AF114" s="5" t="s">
        <v>70</v>
      </c>
      <c r="AG114" s="5"/>
      <c r="AH114" s="5"/>
      <c r="AI114" s="5" t="s">
        <v>605</v>
      </c>
      <c r="AJ114" s="5">
        <v>0</v>
      </c>
      <c r="AK114" s="5">
        <v>0</v>
      </c>
      <c r="AL114" s="5"/>
      <c r="AM114" s="5"/>
      <c r="AN114" s="5">
        <v>0</v>
      </c>
      <c r="AO114" s="5">
        <v>544.29999999999995</v>
      </c>
      <c r="AP114" s="5">
        <v>0</v>
      </c>
      <c r="AQ114" s="5" t="s">
        <v>713</v>
      </c>
      <c r="AR114" s="5" t="s">
        <v>1104</v>
      </c>
      <c r="AS114" s="5"/>
      <c r="AT114" s="5"/>
      <c r="AU114" s="5"/>
      <c r="AV114" s="5">
        <v>-1</v>
      </c>
      <c r="AW114" s="5" t="s">
        <v>4737</v>
      </c>
    </row>
    <row r="115" spans="1:49" x14ac:dyDescent="0.55000000000000004">
      <c r="A115" s="5" t="str">
        <f>HYPERLINK("https://www.infodis.net/philips/net/Shipment/Details?InfodisNumber=1346497&amp;DomainCode=PHILIPSM1", "1346497")</f>
        <v>1346497</v>
      </c>
      <c r="B115" s="5" t="s">
        <v>4838</v>
      </c>
      <c r="C115" s="5" t="s">
        <v>4570</v>
      </c>
      <c r="D115" s="5" t="s">
        <v>4571</v>
      </c>
      <c r="E115" s="5" t="s">
        <v>4570</v>
      </c>
      <c r="F115" s="5" t="s">
        <v>4839</v>
      </c>
      <c r="G115" s="5" t="s">
        <v>1430</v>
      </c>
      <c r="H115" s="5" t="s">
        <v>244</v>
      </c>
      <c r="I115" s="5"/>
      <c r="J115" s="5"/>
      <c r="K115" s="5" t="s">
        <v>4840</v>
      </c>
      <c r="L115" s="5" t="s">
        <v>260</v>
      </c>
      <c r="M115" s="5" t="s">
        <v>60</v>
      </c>
      <c r="N115" s="5"/>
      <c r="O115" s="5"/>
      <c r="P115" s="5" t="s">
        <v>1432</v>
      </c>
      <c r="Q115" s="5"/>
      <c r="R115" s="5" t="s">
        <v>4841</v>
      </c>
      <c r="S115" s="6">
        <v>43938</v>
      </c>
      <c r="T115" s="6">
        <v>43938</v>
      </c>
      <c r="U115" s="6">
        <v>43938</v>
      </c>
      <c r="V115" s="5"/>
      <c r="W115" s="5"/>
      <c r="X115" s="5"/>
      <c r="Y115" s="5" t="s">
        <v>4736</v>
      </c>
      <c r="Z115" s="5"/>
      <c r="AA115" s="5"/>
      <c r="AB115" s="5" t="s">
        <v>67</v>
      </c>
      <c r="AC115" s="5" t="s">
        <v>68</v>
      </c>
      <c r="AD115" s="5" t="s">
        <v>68</v>
      </c>
      <c r="AE115" s="5"/>
      <c r="AF115" s="5" t="s">
        <v>70</v>
      </c>
      <c r="AG115" s="5"/>
      <c r="AH115" s="5"/>
      <c r="AI115" s="5" t="s">
        <v>605</v>
      </c>
      <c r="AJ115" s="5">
        <v>0</v>
      </c>
      <c r="AK115" s="5">
        <v>0</v>
      </c>
      <c r="AL115" s="5"/>
      <c r="AM115" s="5"/>
      <c r="AN115" s="5">
        <v>0</v>
      </c>
      <c r="AO115" s="5">
        <v>712.2</v>
      </c>
      <c r="AP115" s="5">
        <v>0</v>
      </c>
      <c r="AQ115" s="5" t="s">
        <v>713</v>
      </c>
      <c r="AR115" s="5" t="s">
        <v>1104</v>
      </c>
      <c r="AS115" s="5"/>
      <c r="AT115" s="5"/>
      <c r="AU115" s="5"/>
      <c r="AV115" s="5">
        <v>-1</v>
      </c>
      <c r="AW115" s="5" t="s">
        <v>4737</v>
      </c>
    </row>
    <row r="116" spans="1:49" x14ac:dyDescent="0.55000000000000004">
      <c r="A116" s="5" t="str">
        <f>HYPERLINK("https://www.infodis.net/philips/net/Shipment/Details?InfodisNumber=4414231&amp;DomainCode=DAP", "4414231")</f>
        <v>4414231</v>
      </c>
      <c r="B116" s="5" t="s">
        <v>4842</v>
      </c>
      <c r="C116" s="5" t="s">
        <v>4843</v>
      </c>
      <c r="D116" s="5" t="s">
        <v>4844</v>
      </c>
      <c r="E116" s="5" t="s">
        <v>4845</v>
      </c>
      <c r="F116" s="5" t="s">
        <v>2048</v>
      </c>
      <c r="G116" s="5" t="s">
        <v>4846</v>
      </c>
      <c r="H116" s="5" t="s">
        <v>453</v>
      </c>
      <c r="I116" s="5"/>
      <c r="J116" s="5"/>
      <c r="K116" s="5" t="s">
        <v>1262</v>
      </c>
      <c r="L116" s="5" t="s">
        <v>1263</v>
      </c>
      <c r="M116" s="5" t="s">
        <v>1489</v>
      </c>
      <c r="N116" s="5"/>
      <c r="O116" s="5"/>
      <c r="P116" s="5" t="s">
        <v>4847</v>
      </c>
      <c r="Q116" s="5"/>
      <c r="R116" s="5" t="s">
        <v>1264</v>
      </c>
      <c r="S116" s="6">
        <v>43908</v>
      </c>
      <c r="T116" s="6">
        <v>43913</v>
      </c>
      <c r="U116" s="6">
        <v>43913</v>
      </c>
      <c r="V116" s="5"/>
      <c r="W116" s="5"/>
      <c r="X116" s="5"/>
      <c r="Y116" s="5" t="s">
        <v>4576</v>
      </c>
      <c r="Z116" s="5"/>
      <c r="AA116" s="5"/>
      <c r="AB116" s="5" t="s">
        <v>67</v>
      </c>
      <c r="AC116" s="5" t="s">
        <v>68</v>
      </c>
      <c r="AD116" s="5" t="s">
        <v>68</v>
      </c>
      <c r="AE116" s="5"/>
      <c r="AF116" s="5" t="s">
        <v>4574</v>
      </c>
      <c r="AG116" s="5"/>
      <c r="AH116" s="5"/>
      <c r="AI116" s="5" t="s">
        <v>73</v>
      </c>
      <c r="AJ116" s="5">
        <v>0</v>
      </c>
      <c r="AK116" s="5">
        <v>0</v>
      </c>
      <c r="AL116" s="5"/>
      <c r="AM116" s="5"/>
      <c r="AN116" s="5">
        <v>2</v>
      </c>
      <c r="AO116" s="5">
        <v>244</v>
      </c>
      <c r="AP116" s="5">
        <v>0.8640000000000001</v>
      </c>
      <c r="AQ116" s="5" t="s">
        <v>713</v>
      </c>
      <c r="AR116" s="5" t="s">
        <v>1104</v>
      </c>
      <c r="AS116" s="5" t="s">
        <v>713</v>
      </c>
      <c r="AT116" s="6">
        <v>43928</v>
      </c>
      <c r="AU116" s="5" t="s">
        <v>4848</v>
      </c>
      <c r="AV116" s="5">
        <v>234</v>
      </c>
      <c r="AW116" s="5" t="s">
        <v>4849</v>
      </c>
    </row>
    <row r="117" spans="1:49" x14ac:dyDescent="0.55000000000000004">
      <c r="A117" s="5" t="str">
        <f>HYPERLINK("https://www.infodis.net/philips/net/Shipment/Details?InfodisNumber=4510614&amp;DomainCode=DAP", "4510614")</f>
        <v>4510614</v>
      </c>
      <c r="B117" s="5" t="s">
        <v>4850</v>
      </c>
      <c r="C117" s="5" t="s">
        <v>2207</v>
      </c>
      <c r="D117" s="5" t="s">
        <v>2208</v>
      </c>
      <c r="E117" s="5" t="s">
        <v>2269</v>
      </c>
      <c r="F117" s="5" t="s">
        <v>4851</v>
      </c>
      <c r="G117" s="5" t="s">
        <v>259</v>
      </c>
      <c r="H117" s="5" t="s">
        <v>260</v>
      </c>
      <c r="I117" s="5"/>
      <c r="J117" s="5"/>
      <c r="K117" s="5" t="s">
        <v>4852</v>
      </c>
      <c r="L117" s="5" t="s">
        <v>244</v>
      </c>
      <c r="M117" s="5" t="s">
        <v>60</v>
      </c>
      <c r="N117" s="5"/>
      <c r="O117" s="5"/>
      <c r="P117" s="5" t="s">
        <v>2211</v>
      </c>
      <c r="Q117" s="5"/>
      <c r="R117" s="5" t="s">
        <v>4853</v>
      </c>
      <c r="S117" s="6">
        <v>44084</v>
      </c>
      <c r="T117" s="6">
        <v>44089</v>
      </c>
      <c r="U117" s="6">
        <v>44089</v>
      </c>
      <c r="V117" s="5"/>
      <c r="W117" s="5"/>
      <c r="X117" s="5"/>
      <c r="Y117" s="5" t="s">
        <v>4576</v>
      </c>
      <c r="Z117" s="5"/>
      <c r="AA117" s="5"/>
      <c r="AB117" s="5" t="s">
        <v>67</v>
      </c>
      <c r="AC117" s="5" t="s">
        <v>68</v>
      </c>
      <c r="AD117" s="5" t="s">
        <v>68</v>
      </c>
      <c r="AE117" s="5"/>
      <c r="AF117" s="5" t="s">
        <v>4574</v>
      </c>
      <c r="AG117" s="5"/>
      <c r="AH117" s="5"/>
      <c r="AI117" s="5" t="s">
        <v>73</v>
      </c>
      <c r="AJ117" s="5">
        <v>0</v>
      </c>
      <c r="AK117" s="5">
        <v>0</v>
      </c>
      <c r="AL117" s="5"/>
      <c r="AM117" s="5"/>
      <c r="AN117" s="5">
        <v>1</v>
      </c>
      <c r="AO117" s="5">
        <v>298</v>
      </c>
      <c r="AP117" s="5">
        <v>1.2</v>
      </c>
      <c r="AQ117" s="5" t="s">
        <v>713</v>
      </c>
      <c r="AR117" s="5" t="s">
        <v>1104</v>
      </c>
      <c r="AS117" s="5"/>
      <c r="AT117" s="5"/>
      <c r="AU117" s="5"/>
      <c r="AV117" s="5">
        <v>-1</v>
      </c>
      <c r="AW117" s="5" t="s">
        <v>1269</v>
      </c>
    </row>
    <row r="118" spans="1:49" x14ac:dyDescent="0.55000000000000004">
      <c r="A118" s="5" t="str">
        <f>HYPERLINK("https://www.infodis.net/philips/net/Shipment/Details?InfodisNumber=6317724&amp;DomainCode=PHILIPSR1", "6317724")</f>
        <v>6317724</v>
      </c>
      <c r="B118" s="5" t="s">
        <v>4854</v>
      </c>
      <c r="C118" s="5" t="s">
        <v>2580</v>
      </c>
      <c r="D118" s="5" t="s">
        <v>2581</v>
      </c>
      <c r="E118" s="5" t="s">
        <v>1187</v>
      </c>
      <c r="F118" s="5"/>
      <c r="G118" s="5" t="s">
        <v>880</v>
      </c>
      <c r="H118" s="5" t="s">
        <v>881</v>
      </c>
      <c r="I118" s="5"/>
      <c r="J118" s="5"/>
      <c r="K118" s="5" t="s">
        <v>3241</v>
      </c>
      <c r="L118" s="5" t="s">
        <v>881</v>
      </c>
      <c r="M118" s="5" t="s">
        <v>60</v>
      </c>
      <c r="N118" s="5"/>
      <c r="O118" s="5"/>
      <c r="P118" s="5" t="s">
        <v>888</v>
      </c>
      <c r="Q118" s="5"/>
      <c r="R118" s="5" t="s">
        <v>4855</v>
      </c>
      <c r="S118" s="6">
        <v>43903</v>
      </c>
      <c r="T118" s="6">
        <v>43903</v>
      </c>
      <c r="U118" s="5"/>
      <c r="V118" s="5"/>
      <c r="W118" s="5"/>
      <c r="X118" s="5"/>
      <c r="Y118" s="5" t="s">
        <v>4776</v>
      </c>
      <c r="Z118" s="5"/>
      <c r="AA118" s="5"/>
      <c r="AB118" s="5" t="s">
        <v>67</v>
      </c>
      <c r="AC118" s="5" t="s">
        <v>68</v>
      </c>
      <c r="AD118" s="5" t="s">
        <v>68</v>
      </c>
      <c r="AE118" s="5"/>
      <c r="AF118" s="5" t="s">
        <v>4574</v>
      </c>
      <c r="AG118" s="5"/>
      <c r="AH118" s="5"/>
      <c r="AI118" s="5" t="s">
        <v>252</v>
      </c>
      <c r="AJ118" s="5">
        <v>0</v>
      </c>
      <c r="AK118" s="5">
        <v>0</v>
      </c>
      <c r="AL118" s="5"/>
      <c r="AM118" s="5"/>
      <c r="AN118" s="5">
        <v>0</v>
      </c>
      <c r="AO118" s="5">
        <v>48</v>
      </c>
      <c r="AP118" s="5">
        <v>1.8440000000000001</v>
      </c>
      <c r="AQ118" s="5" t="s">
        <v>713</v>
      </c>
      <c r="AR118" s="5" t="s">
        <v>1104</v>
      </c>
      <c r="AS118" s="5"/>
      <c r="AT118" s="5"/>
      <c r="AU118" s="5"/>
      <c r="AV118" s="5">
        <v>-1</v>
      </c>
      <c r="AW118" s="5" t="s">
        <v>4856</v>
      </c>
    </row>
    <row r="119" spans="1:49" x14ac:dyDescent="0.55000000000000004">
      <c r="A119" s="5" t="str">
        <f>HYPERLINK("https://www.infodis.net/philips/net/Shipment/Details?InfodisNumber=4353109&amp;DomainCode=DAP", "4353109")</f>
        <v>4353109</v>
      </c>
      <c r="B119" s="5" t="s">
        <v>4857</v>
      </c>
      <c r="C119" s="5" t="s">
        <v>4858</v>
      </c>
      <c r="D119" s="5" t="s">
        <v>4859</v>
      </c>
      <c r="E119" s="5" t="s">
        <v>4858</v>
      </c>
      <c r="F119" s="5" t="s">
        <v>1222</v>
      </c>
      <c r="G119" s="5" t="s">
        <v>4860</v>
      </c>
      <c r="H119" s="5" t="s">
        <v>4861</v>
      </c>
      <c r="I119" s="5"/>
      <c r="J119" s="5"/>
      <c r="K119" s="5" t="s">
        <v>1224</v>
      </c>
      <c r="L119" s="5" t="s">
        <v>55</v>
      </c>
      <c r="M119" s="5" t="s">
        <v>84</v>
      </c>
      <c r="N119" s="5"/>
      <c r="O119" s="5"/>
      <c r="P119" s="5" t="s">
        <v>4862</v>
      </c>
      <c r="Q119" s="5"/>
      <c r="R119" s="5" t="s">
        <v>1227</v>
      </c>
      <c r="S119" s="6">
        <v>43802</v>
      </c>
      <c r="T119" s="6">
        <v>43804</v>
      </c>
      <c r="U119" s="5"/>
      <c r="V119" s="5"/>
      <c r="W119" s="5"/>
      <c r="X119" s="5"/>
      <c r="Y119" s="5" t="s">
        <v>4863</v>
      </c>
      <c r="Z119" s="5"/>
      <c r="AA119" s="5"/>
      <c r="AB119" s="5" t="s">
        <v>67</v>
      </c>
      <c r="AC119" s="5" t="s">
        <v>68</v>
      </c>
      <c r="AD119" s="5" t="s">
        <v>68</v>
      </c>
      <c r="AE119" s="5"/>
      <c r="AF119" s="5" t="s">
        <v>4574</v>
      </c>
      <c r="AG119" s="5"/>
      <c r="AH119" s="5"/>
      <c r="AI119" s="5" t="s">
        <v>73</v>
      </c>
      <c r="AJ119" s="5">
        <v>0</v>
      </c>
      <c r="AK119" s="5">
        <v>0</v>
      </c>
      <c r="AL119" s="5"/>
      <c r="AM119" s="5"/>
      <c r="AN119" s="5">
        <v>1</v>
      </c>
      <c r="AO119" s="5">
        <v>100</v>
      </c>
      <c r="AP119" s="5">
        <v>0.96</v>
      </c>
      <c r="AQ119" s="5" t="s">
        <v>713</v>
      </c>
      <c r="AR119" s="5" t="s">
        <v>1104</v>
      </c>
      <c r="AS119" s="5"/>
      <c r="AT119" s="5"/>
      <c r="AU119" s="5"/>
      <c r="AV119" s="5">
        <v>-1</v>
      </c>
      <c r="AW119" s="5" t="s">
        <v>3934</v>
      </c>
    </row>
    <row r="120" spans="1:49" x14ac:dyDescent="0.55000000000000004">
      <c r="A120" s="5" t="str">
        <f>HYPERLINK("https://www.infodis.net/philips/net/Shipment/Details?InfodisNumber=6538416&amp;DomainCode=PHILIPSR1", "6538416")</f>
        <v>6538416</v>
      </c>
      <c r="B120" s="5" t="s">
        <v>4864</v>
      </c>
      <c r="C120" s="5" t="s">
        <v>4627</v>
      </c>
      <c r="D120" s="5" t="s">
        <v>4628</v>
      </c>
      <c r="E120" s="5" t="s">
        <v>4629</v>
      </c>
      <c r="F120" s="5" t="s">
        <v>4865</v>
      </c>
      <c r="G120" s="5" t="s">
        <v>4866</v>
      </c>
      <c r="H120" s="5" t="s">
        <v>244</v>
      </c>
      <c r="I120" s="5"/>
      <c r="J120" s="5"/>
      <c r="K120" s="5" t="s">
        <v>4867</v>
      </c>
      <c r="L120" s="5" t="s">
        <v>244</v>
      </c>
      <c r="M120" s="5" t="s">
        <v>60</v>
      </c>
      <c r="N120" s="5"/>
      <c r="O120" s="5"/>
      <c r="P120" s="5" t="s">
        <v>4868</v>
      </c>
      <c r="Q120" s="5"/>
      <c r="R120" s="5" t="s">
        <v>4869</v>
      </c>
      <c r="S120" s="6">
        <v>43987</v>
      </c>
      <c r="T120" s="6">
        <v>43989</v>
      </c>
      <c r="U120" s="6">
        <v>43989</v>
      </c>
      <c r="V120" s="5"/>
      <c r="W120" s="5"/>
      <c r="X120" s="5"/>
      <c r="Y120" s="5" t="s">
        <v>4750</v>
      </c>
      <c r="Z120" s="5"/>
      <c r="AA120" s="5"/>
      <c r="AB120" s="5" t="s">
        <v>67</v>
      </c>
      <c r="AC120" s="5" t="s">
        <v>68</v>
      </c>
      <c r="AD120" s="5" t="s">
        <v>68</v>
      </c>
      <c r="AE120" s="5"/>
      <c r="AF120" s="5" t="s">
        <v>4574</v>
      </c>
      <c r="AG120" s="5"/>
      <c r="AH120" s="5"/>
      <c r="AI120" s="5" t="s">
        <v>252</v>
      </c>
      <c r="AJ120" s="5">
        <v>0</v>
      </c>
      <c r="AK120" s="5">
        <v>0</v>
      </c>
      <c r="AL120" s="5"/>
      <c r="AM120" s="5"/>
      <c r="AN120" s="5">
        <v>0</v>
      </c>
      <c r="AO120" s="5">
        <v>16</v>
      </c>
      <c r="AP120" s="5">
        <v>0.13400000000000001</v>
      </c>
      <c r="AQ120" s="5" t="s">
        <v>713</v>
      </c>
      <c r="AR120" s="5" t="s">
        <v>1104</v>
      </c>
      <c r="AS120" s="5"/>
      <c r="AT120" s="5"/>
      <c r="AU120" s="5"/>
      <c r="AV120" s="5">
        <v>-1</v>
      </c>
      <c r="AW120" s="5" t="s">
        <v>4751</v>
      </c>
    </row>
    <row r="121" spans="1:49" x14ac:dyDescent="0.55000000000000004">
      <c r="A121" s="5" t="str">
        <f>HYPERLINK("https://www.infodis.net/philips/net/Shipment/Details?InfodisNumber=4273299&amp;DomainCode=DAP", "4273299")</f>
        <v>4273299</v>
      </c>
      <c r="B121" s="5" t="s">
        <v>4870</v>
      </c>
      <c r="C121" s="5" t="s">
        <v>4225</v>
      </c>
      <c r="D121" s="5" t="s">
        <v>4226</v>
      </c>
      <c r="E121" s="5" t="s">
        <v>1187</v>
      </c>
      <c r="F121" s="5"/>
      <c r="G121" s="5" t="s">
        <v>880</v>
      </c>
      <c r="H121" s="5" t="s">
        <v>881</v>
      </c>
      <c r="I121" s="5"/>
      <c r="J121" s="5"/>
      <c r="K121" s="5" t="s">
        <v>4871</v>
      </c>
      <c r="L121" s="5" t="s">
        <v>881</v>
      </c>
      <c r="M121" s="5" t="s">
        <v>60</v>
      </c>
      <c r="N121" s="5"/>
      <c r="O121" s="5"/>
      <c r="P121" s="5" t="s">
        <v>888</v>
      </c>
      <c r="Q121" s="5"/>
      <c r="R121" s="5" t="s">
        <v>4872</v>
      </c>
      <c r="S121" s="6">
        <v>43699</v>
      </c>
      <c r="T121" s="6">
        <v>43699</v>
      </c>
      <c r="U121" s="5"/>
      <c r="V121" s="5"/>
      <c r="W121" s="5"/>
      <c r="X121" s="5"/>
      <c r="Y121" s="5" t="s">
        <v>4776</v>
      </c>
      <c r="Z121" s="5"/>
      <c r="AA121" s="5"/>
      <c r="AB121" s="5" t="s">
        <v>67</v>
      </c>
      <c r="AC121" s="5" t="s">
        <v>68</v>
      </c>
      <c r="AD121" s="5" t="s">
        <v>68</v>
      </c>
      <c r="AE121" s="5"/>
      <c r="AF121" s="5" t="s">
        <v>4574</v>
      </c>
      <c r="AG121" s="5"/>
      <c r="AH121" s="5"/>
      <c r="AI121" s="5" t="s">
        <v>73</v>
      </c>
      <c r="AJ121" s="5">
        <v>0</v>
      </c>
      <c r="AK121" s="5">
        <v>0</v>
      </c>
      <c r="AL121" s="5"/>
      <c r="AM121" s="5"/>
      <c r="AN121" s="5">
        <v>0</v>
      </c>
      <c r="AO121" s="5">
        <v>1</v>
      </c>
      <c r="AP121" s="5">
        <v>5.0000000000000001E-3</v>
      </c>
      <c r="AQ121" s="5" t="s">
        <v>713</v>
      </c>
      <c r="AR121" s="5" t="s">
        <v>1104</v>
      </c>
      <c r="AS121" s="5" t="s">
        <v>713</v>
      </c>
      <c r="AT121" s="6">
        <v>43832</v>
      </c>
      <c r="AU121" s="5" t="s">
        <v>4873</v>
      </c>
      <c r="AV121" s="5">
        <v>330</v>
      </c>
      <c r="AW121" s="5" t="s">
        <v>4874</v>
      </c>
    </row>
    <row r="122" spans="1:49" x14ac:dyDescent="0.55000000000000004">
      <c r="A122" s="5" t="str">
        <f>HYPERLINK("https://www.infodis.net/philips/net/Shipment/Details?InfodisNumber=6344545&amp;DomainCode=PHILIPSR1", "6344545")</f>
        <v>6344545</v>
      </c>
      <c r="B122" s="5" t="s">
        <v>4875</v>
      </c>
      <c r="C122" s="5" t="s">
        <v>4627</v>
      </c>
      <c r="D122" s="5" t="s">
        <v>4628</v>
      </c>
      <c r="E122" s="5" t="s">
        <v>4629</v>
      </c>
      <c r="F122" s="5" t="s">
        <v>4876</v>
      </c>
      <c r="G122" s="5" t="s">
        <v>4630</v>
      </c>
      <c r="H122" s="5" t="s">
        <v>244</v>
      </c>
      <c r="I122" s="5"/>
      <c r="J122" s="5"/>
      <c r="K122" s="5" t="s">
        <v>4877</v>
      </c>
      <c r="L122" s="5" t="s">
        <v>55</v>
      </c>
      <c r="M122" s="5" t="s">
        <v>60</v>
      </c>
      <c r="N122" s="5"/>
      <c r="O122" s="5"/>
      <c r="P122" s="5" t="s">
        <v>250</v>
      </c>
      <c r="Q122" s="5"/>
      <c r="R122" s="5" t="s">
        <v>4878</v>
      </c>
      <c r="S122" s="6">
        <v>43913</v>
      </c>
      <c r="T122" s="6">
        <v>43913</v>
      </c>
      <c r="U122" s="5"/>
      <c r="V122" s="5"/>
      <c r="W122" s="5"/>
      <c r="X122" s="5"/>
      <c r="Y122" s="5" t="s">
        <v>4879</v>
      </c>
      <c r="Z122" s="5"/>
      <c r="AA122" s="5"/>
      <c r="AB122" s="5" t="s">
        <v>67</v>
      </c>
      <c r="AC122" s="5" t="s">
        <v>68</v>
      </c>
      <c r="AD122" s="5" t="s">
        <v>68</v>
      </c>
      <c r="AE122" s="5"/>
      <c r="AF122" s="5" t="s">
        <v>4574</v>
      </c>
      <c r="AG122" s="5"/>
      <c r="AH122" s="5"/>
      <c r="AI122" s="5" t="s">
        <v>252</v>
      </c>
      <c r="AJ122" s="5">
        <v>0</v>
      </c>
      <c r="AK122" s="5">
        <v>0</v>
      </c>
      <c r="AL122" s="5"/>
      <c r="AM122" s="5"/>
      <c r="AN122" s="5">
        <v>1</v>
      </c>
      <c r="AO122" s="5">
        <v>215</v>
      </c>
      <c r="AP122" s="5">
        <v>1.496</v>
      </c>
      <c r="AQ122" s="5" t="s">
        <v>713</v>
      </c>
      <c r="AR122" s="5" t="s">
        <v>1104</v>
      </c>
      <c r="AS122" s="5"/>
      <c r="AT122" s="5"/>
      <c r="AU122" s="5"/>
      <c r="AV122" s="5">
        <v>-1</v>
      </c>
      <c r="AW122" s="5" t="s">
        <v>4751</v>
      </c>
    </row>
    <row r="123" spans="1:49" x14ac:dyDescent="0.55000000000000004">
      <c r="A123" s="5" t="str">
        <f>HYPERLINK("https://www.infodis.net/philips/net/Shipment/Details?InfodisNumber=6339164&amp;DomainCode=PHILIPSR1", "6339164")</f>
        <v>6339164</v>
      </c>
      <c r="B123" s="5" t="s">
        <v>4880</v>
      </c>
      <c r="C123" s="5" t="s">
        <v>4627</v>
      </c>
      <c r="D123" s="5" t="s">
        <v>4628</v>
      </c>
      <c r="E123" s="5" t="s">
        <v>4629</v>
      </c>
      <c r="F123" s="5" t="s">
        <v>915</v>
      </c>
      <c r="G123" s="5" t="s">
        <v>4630</v>
      </c>
      <c r="H123" s="5" t="s">
        <v>244</v>
      </c>
      <c r="I123" s="5"/>
      <c r="J123" s="5"/>
      <c r="K123" s="5" t="s">
        <v>918</v>
      </c>
      <c r="L123" s="5" t="s">
        <v>881</v>
      </c>
      <c r="M123" s="5" t="s">
        <v>60</v>
      </c>
      <c r="N123" s="5"/>
      <c r="O123" s="5"/>
      <c r="P123" s="5" t="s">
        <v>250</v>
      </c>
      <c r="Q123" s="5"/>
      <c r="R123" s="5" t="s">
        <v>888</v>
      </c>
      <c r="S123" s="6">
        <v>43910</v>
      </c>
      <c r="T123" s="6">
        <v>43910</v>
      </c>
      <c r="U123" s="6">
        <v>43910</v>
      </c>
      <c r="V123" s="5"/>
      <c r="W123" s="5"/>
      <c r="X123" s="5"/>
      <c r="Y123" s="5" t="s">
        <v>4750</v>
      </c>
      <c r="Z123" s="5"/>
      <c r="AA123" s="5"/>
      <c r="AB123" s="5" t="s">
        <v>67</v>
      </c>
      <c r="AC123" s="5" t="s">
        <v>68</v>
      </c>
      <c r="AD123" s="5" t="s">
        <v>68</v>
      </c>
      <c r="AE123" s="5"/>
      <c r="AF123" s="5" t="s">
        <v>4574</v>
      </c>
      <c r="AG123" s="5"/>
      <c r="AH123" s="5"/>
      <c r="AI123" s="5" t="s">
        <v>252</v>
      </c>
      <c r="AJ123" s="5">
        <v>0</v>
      </c>
      <c r="AK123" s="5">
        <v>0</v>
      </c>
      <c r="AL123" s="5"/>
      <c r="AM123" s="5"/>
      <c r="AN123" s="5">
        <v>22</v>
      </c>
      <c r="AO123" s="5">
        <v>1940</v>
      </c>
      <c r="AP123" s="5">
        <v>32.146999999999998</v>
      </c>
      <c r="AQ123" s="5" t="s">
        <v>713</v>
      </c>
      <c r="AR123" s="5" t="s">
        <v>1104</v>
      </c>
      <c r="AS123" s="5" t="s">
        <v>713</v>
      </c>
      <c r="AT123" s="6">
        <v>43917</v>
      </c>
      <c r="AU123" s="5" t="s">
        <v>4881</v>
      </c>
      <c r="AV123" s="5">
        <v>245</v>
      </c>
      <c r="AW123" s="5" t="s">
        <v>4882</v>
      </c>
    </row>
    <row r="124" spans="1:49" x14ac:dyDescent="0.55000000000000004">
      <c r="A124" s="5" t="str">
        <f>HYPERLINK("https://www.infodis.net/philips/net/Shipment/Details?InfodisNumber=6625749&amp;DomainCode=PHILIPSR1", "6625749")</f>
        <v>6625749</v>
      </c>
      <c r="B124" s="5" t="s">
        <v>4883</v>
      </c>
      <c r="C124" s="5" t="s">
        <v>4627</v>
      </c>
      <c r="D124" s="5" t="s">
        <v>4628</v>
      </c>
      <c r="E124" s="5" t="s">
        <v>4629</v>
      </c>
      <c r="F124" s="5"/>
      <c r="G124" s="5" t="s">
        <v>4630</v>
      </c>
      <c r="H124" s="5" t="s">
        <v>244</v>
      </c>
      <c r="I124" s="5"/>
      <c r="J124" s="5"/>
      <c r="K124" s="5" t="s">
        <v>4884</v>
      </c>
      <c r="L124" s="5" t="s">
        <v>4547</v>
      </c>
      <c r="M124" s="5" t="s">
        <v>60</v>
      </c>
      <c r="N124" s="5"/>
      <c r="O124" s="5"/>
      <c r="P124" s="5" t="s">
        <v>250</v>
      </c>
      <c r="Q124" s="5"/>
      <c r="R124" s="5" t="s">
        <v>4885</v>
      </c>
      <c r="S124" s="6">
        <v>44022</v>
      </c>
      <c r="T124" s="6">
        <v>44025</v>
      </c>
      <c r="U124" s="6">
        <v>44025</v>
      </c>
      <c r="V124" s="5"/>
      <c r="W124" s="5"/>
      <c r="X124" s="5"/>
      <c r="Y124" s="5" t="s">
        <v>4750</v>
      </c>
      <c r="Z124" s="5"/>
      <c r="AA124" s="5"/>
      <c r="AB124" s="5" t="s">
        <v>67</v>
      </c>
      <c r="AC124" s="5" t="s">
        <v>68</v>
      </c>
      <c r="AD124" s="5" t="s">
        <v>68</v>
      </c>
      <c r="AE124" s="5"/>
      <c r="AF124" s="5" t="s">
        <v>4574</v>
      </c>
      <c r="AG124" s="5"/>
      <c r="AH124" s="5"/>
      <c r="AI124" s="5" t="s">
        <v>252</v>
      </c>
      <c r="AJ124" s="5">
        <v>0</v>
      </c>
      <c r="AK124" s="5">
        <v>0</v>
      </c>
      <c r="AL124" s="5"/>
      <c r="AM124" s="5"/>
      <c r="AN124" s="5">
        <v>24</v>
      </c>
      <c r="AO124" s="5">
        <v>4780</v>
      </c>
      <c r="AP124" s="5">
        <v>39.167999999999999</v>
      </c>
      <c r="AQ124" s="5" t="s">
        <v>713</v>
      </c>
      <c r="AR124" s="5" t="s">
        <v>1104</v>
      </c>
      <c r="AS124" s="5"/>
      <c r="AT124" s="5"/>
      <c r="AU124" s="5"/>
      <c r="AV124" s="5">
        <v>-1</v>
      </c>
      <c r="AW124" s="5" t="s">
        <v>4751</v>
      </c>
    </row>
    <row r="125" spans="1:49" x14ac:dyDescent="0.55000000000000004">
      <c r="A125" s="5" t="str">
        <f>HYPERLINK("https://www.infodis.net/philips/net/Shipment/Details?InfodisNumber=4451801&amp;DomainCode=DAP", "4451801")</f>
        <v>4451801</v>
      </c>
      <c r="B125" s="5" t="s">
        <v>4886</v>
      </c>
      <c r="C125" s="5" t="s">
        <v>2145</v>
      </c>
      <c r="D125" s="5" t="s">
        <v>2146</v>
      </c>
      <c r="E125" s="5" t="s">
        <v>304</v>
      </c>
      <c r="F125" s="5" t="s">
        <v>1142</v>
      </c>
      <c r="G125" s="5" t="s">
        <v>404</v>
      </c>
      <c r="H125" s="5" t="s">
        <v>307</v>
      </c>
      <c r="I125" s="5"/>
      <c r="J125" s="5"/>
      <c r="K125" s="5" t="s">
        <v>306</v>
      </c>
      <c r="L125" s="5" t="s">
        <v>307</v>
      </c>
      <c r="M125" s="5" t="s">
        <v>133</v>
      </c>
      <c r="N125" s="5"/>
      <c r="O125" s="5"/>
      <c r="P125" s="5" t="s">
        <v>408</v>
      </c>
      <c r="Q125" s="5"/>
      <c r="R125" s="5" t="s">
        <v>312</v>
      </c>
      <c r="S125" s="6">
        <v>43990</v>
      </c>
      <c r="T125" s="6">
        <v>43991</v>
      </c>
      <c r="U125" s="5"/>
      <c r="V125" s="5"/>
      <c r="W125" s="5"/>
      <c r="X125" s="5"/>
      <c r="Y125" s="5" t="s">
        <v>940</v>
      </c>
      <c r="Z125" s="5"/>
      <c r="AA125" s="5"/>
      <c r="AB125" s="5" t="s">
        <v>67</v>
      </c>
      <c r="AC125" s="5" t="s">
        <v>68</v>
      </c>
      <c r="AD125" s="5" t="s">
        <v>68</v>
      </c>
      <c r="AE125" s="5"/>
      <c r="AF125" s="5" t="s">
        <v>70</v>
      </c>
      <c r="AG125" s="5"/>
      <c r="AH125" s="5"/>
      <c r="AI125" s="5" t="s">
        <v>73</v>
      </c>
      <c r="AJ125" s="5">
        <v>0</v>
      </c>
      <c r="AK125" s="5">
        <v>0</v>
      </c>
      <c r="AL125" s="5"/>
      <c r="AM125" s="5"/>
      <c r="AN125" s="5">
        <v>0</v>
      </c>
      <c r="AO125" s="5">
        <v>1</v>
      </c>
      <c r="AP125" s="5">
        <v>0</v>
      </c>
      <c r="AQ125" s="5" t="s">
        <v>713</v>
      </c>
      <c r="AR125" s="5" t="s">
        <v>1104</v>
      </c>
      <c r="AS125" s="5"/>
      <c r="AT125" s="5"/>
      <c r="AU125" s="5"/>
      <c r="AV125" s="5">
        <v>-1</v>
      </c>
      <c r="AW125" s="5" t="s">
        <v>4205</v>
      </c>
    </row>
    <row r="126" spans="1:49" x14ac:dyDescent="0.55000000000000004">
      <c r="A126" s="5" t="str">
        <f>HYPERLINK("https://www.infodis.net/philips/net/Shipment/Details?InfodisNumber=5781900&amp;DomainCode=PHILIPSR1", "5781900")</f>
        <v>5781900</v>
      </c>
      <c r="B126" s="5" t="s">
        <v>4887</v>
      </c>
      <c r="C126" s="5" t="s">
        <v>2580</v>
      </c>
      <c r="D126" s="5" t="s">
        <v>2581</v>
      </c>
      <c r="E126" s="5" t="s">
        <v>1187</v>
      </c>
      <c r="F126" s="5"/>
      <c r="G126" s="5" t="s">
        <v>880</v>
      </c>
      <c r="H126" s="5" t="s">
        <v>881</v>
      </c>
      <c r="I126" s="5"/>
      <c r="J126" s="5"/>
      <c r="K126" s="5" t="s">
        <v>4888</v>
      </c>
      <c r="L126" s="5" t="s">
        <v>881</v>
      </c>
      <c r="M126" s="5" t="s">
        <v>60</v>
      </c>
      <c r="N126" s="5"/>
      <c r="O126" s="5"/>
      <c r="P126" s="5" t="s">
        <v>888</v>
      </c>
      <c r="Q126" s="5"/>
      <c r="R126" s="5" t="s">
        <v>4889</v>
      </c>
      <c r="S126" s="6">
        <v>43719</v>
      </c>
      <c r="T126" s="6">
        <v>43719</v>
      </c>
      <c r="U126" s="5"/>
      <c r="V126" s="5"/>
      <c r="W126" s="5"/>
      <c r="X126" s="5"/>
      <c r="Y126" s="5" t="s">
        <v>4776</v>
      </c>
      <c r="Z126" s="5"/>
      <c r="AA126" s="5"/>
      <c r="AB126" s="5" t="s">
        <v>67</v>
      </c>
      <c r="AC126" s="5" t="s">
        <v>68</v>
      </c>
      <c r="AD126" s="5" t="s">
        <v>68</v>
      </c>
      <c r="AE126" s="5"/>
      <c r="AF126" s="5" t="s">
        <v>4574</v>
      </c>
      <c r="AG126" s="5"/>
      <c r="AH126" s="5"/>
      <c r="AI126" s="5" t="s">
        <v>252</v>
      </c>
      <c r="AJ126" s="5">
        <v>0</v>
      </c>
      <c r="AK126" s="5">
        <v>0</v>
      </c>
      <c r="AL126" s="5"/>
      <c r="AM126" s="5"/>
      <c r="AN126" s="5">
        <v>0</v>
      </c>
      <c r="AO126" s="5">
        <v>6</v>
      </c>
      <c r="AP126" s="5">
        <v>0.08</v>
      </c>
      <c r="AQ126" s="5" t="s">
        <v>713</v>
      </c>
      <c r="AR126" s="5" t="s">
        <v>1104</v>
      </c>
      <c r="AS126" s="5" t="s">
        <v>713</v>
      </c>
      <c r="AT126" s="6">
        <v>43832</v>
      </c>
      <c r="AU126" s="5" t="s">
        <v>4873</v>
      </c>
      <c r="AV126" s="5">
        <v>330</v>
      </c>
      <c r="AW126" s="5" t="s">
        <v>4874</v>
      </c>
    </row>
    <row r="127" spans="1:49" x14ac:dyDescent="0.55000000000000004">
      <c r="A127" s="5" t="str">
        <f>HYPERLINK("https://www.infodis.net/philips/net/Shipment/Details?InfodisNumber=6520138&amp;DomainCode=PHILIPSR1", "6520138")</f>
        <v>6520138</v>
      </c>
      <c r="B127" s="5" t="s">
        <v>4890</v>
      </c>
      <c r="C127" s="5" t="s">
        <v>4627</v>
      </c>
      <c r="D127" s="5" t="s">
        <v>4628</v>
      </c>
      <c r="E127" s="5" t="s">
        <v>4629</v>
      </c>
      <c r="F127" s="5" t="s">
        <v>915</v>
      </c>
      <c r="G127" s="5" t="s">
        <v>4630</v>
      </c>
      <c r="H127" s="5" t="s">
        <v>244</v>
      </c>
      <c r="I127" s="5"/>
      <c r="J127" s="5"/>
      <c r="K127" s="5" t="s">
        <v>918</v>
      </c>
      <c r="L127" s="5" t="s">
        <v>881</v>
      </c>
      <c r="M127" s="5" t="s">
        <v>60</v>
      </c>
      <c r="N127" s="5"/>
      <c r="O127" s="5"/>
      <c r="P127" s="5" t="s">
        <v>250</v>
      </c>
      <c r="Q127" s="5"/>
      <c r="R127" s="5" t="s">
        <v>888</v>
      </c>
      <c r="S127" s="6">
        <v>43980</v>
      </c>
      <c r="T127" s="6">
        <v>43984</v>
      </c>
      <c r="U127" s="6">
        <v>43984</v>
      </c>
      <c r="V127" s="5"/>
      <c r="W127" s="5"/>
      <c r="X127" s="5"/>
      <c r="Y127" s="5" t="s">
        <v>4750</v>
      </c>
      <c r="Z127" s="5"/>
      <c r="AA127" s="5"/>
      <c r="AB127" s="5" t="s">
        <v>67</v>
      </c>
      <c r="AC127" s="5" t="s">
        <v>68</v>
      </c>
      <c r="AD127" s="5" t="s">
        <v>68</v>
      </c>
      <c r="AE127" s="5"/>
      <c r="AF127" s="5" t="s">
        <v>4574</v>
      </c>
      <c r="AG127" s="5"/>
      <c r="AH127" s="5"/>
      <c r="AI127" s="5" t="s">
        <v>252</v>
      </c>
      <c r="AJ127" s="5">
        <v>0</v>
      </c>
      <c r="AK127" s="5">
        <v>0</v>
      </c>
      <c r="AL127" s="5"/>
      <c r="AM127" s="5"/>
      <c r="AN127" s="5">
        <v>18</v>
      </c>
      <c r="AO127" s="5">
        <v>1800</v>
      </c>
      <c r="AP127" s="5">
        <v>26.341000000000001</v>
      </c>
      <c r="AQ127" s="5" t="s">
        <v>713</v>
      </c>
      <c r="AR127" s="5" t="s">
        <v>1104</v>
      </c>
      <c r="AS127" s="5"/>
      <c r="AT127" s="5"/>
      <c r="AU127" s="5"/>
      <c r="AV127" s="5">
        <v>-1</v>
      </c>
      <c r="AW127" s="5" t="s">
        <v>4751</v>
      </c>
    </row>
    <row r="128" spans="1:49" x14ac:dyDescent="0.55000000000000004">
      <c r="A128" s="5" t="str">
        <f>HYPERLINK("https://www.infodis.net/philips/net/Shipment/Details?InfodisNumber=6356409&amp;DomainCode=PHILIPSR1", "6356409")</f>
        <v>6356409</v>
      </c>
      <c r="B128" s="5" t="s">
        <v>4891</v>
      </c>
      <c r="C128" s="5" t="s">
        <v>2580</v>
      </c>
      <c r="D128" s="5" t="s">
        <v>2581</v>
      </c>
      <c r="E128" s="5" t="s">
        <v>1187</v>
      </c>
      <c r="F128" s="5"/>
      <c r="G128" s="5" t="s">
        <v>880</v>
      </c>
      <c r="H128" s="5" t="s">
        <v>881</v>
      </c>
      <c r="I128" s="5"/>
      <c r="J128" s="5"/>
      <c r="K128" s="5" t="s">
        <v>4892</v>
      </c>
      <c r="L128" s="5" t="s">
        <v>1263</v>
      </c>
      <c r="M128" s="5" t="s">
        <v>60</v>
      </c>
      <c r="N128" s="5"/>
      <c r="O128" s="5"/>
      <c r="P128" s="5" t="s">
        <v>888</v>
      </c>
      <c r="Q128" s="5"/>
      <c r="R128" s="5" t="s">
        <v>4893</v>
      </c>
      <c r="S128" s="6">
        <v>43916</v>
      </c>
      <c r="T128" s="6">
        <v>43916</v>
      </c>
      <c r="U128" s="5"/>
      <c r="V128" s="5"/>
      <c r="W128" s="5"/>
      <c r="X128" s="5"/>
      <c r="Y128" s="5" t="s">
        <v>1735</v>
      </c>
      <c r="Z128" s="5"/>
      <c r="AA128" s="5"/>
      <c r="AB128" s="5" t="s">
        <v>67</v>
      </c>
      <c r="AC128" s="5" t="s">
        <v>68</v>
      </c>
      <c r="AD128" s="5" t="s">
        <v>68</v>
      </c>
      <c r="AE128" s="5"/>
      <c r="AF128" s="5" t="s">
        <v>4574</v>
      </c>
      <c r="AG128" s="5"/>
      <c r="AH128" s="5"/>
      <c r="AI128" s="5" t="s">
        <v>252</v>
      </c>
      <c r="AJ128" s="5">
        <v>0</v>
      </c>
      <c r="AK128" s="5">
        <v>0</v>
      </c>
      <c r="AL128" s="5"/>
      <c r="AM128" s="5"/>
      <c r="AN128" s="5">
        <v>2</v>
      </c>
      <c r="AO128" s="5">
        <v>1380</v>
      </c>
      <c r="AP128" s="5">
        <v>4.8</v>
      </c>
      <c r="AQ128" s="5" t="s">
        <v>713</v>
      </c>
      <c r="AR128" s="5" t="s">
        <v>1104</v>
      </c>
      <c r="AS128" s="5" t="s">
        <v>713</v>
      </c>
      <c r="AT128" s="6">
        <v>43962</v>
      </c>
      <c r="AU128" s="5" t="s">
        <v>4894</v>
      </c>
      <c r="AV128" s="5">
        <v>200</v>
      </c>
      <c r="AW128" s="5" t="s">
        <v>4895</v>
      </c>
    </row>
    <row r="129" spans="1:49" x14ac:dyDescent="0.55000000000000004">
      <c r="A129" s="5" t="str">
        <f>HYPERLINK("https://www.infodis.net/philips/net/Shipment/Details?InfodisNumber=4418694&amp;DomainCode=DAP", "4418694")</f>
        <v>4418694</v>
      </c>
      <c r="B129" s="5" t="s">
        <v>4896</v>
      </c>
      <c r="C129" s="5" t="s">
        <v>3267</v>
      </c>
      <c r="D129" s="5" t="s">
        <v>3268</v>
      </c>
      <c r="E129" s="5" t="s">
        <v>191</v>
      </c>
      <c r="F129" s="5" t="s">
        <v>191</v>
      </c>
      <c r="G129" s="5" t="s">
        <v>3269</v>
      </c>
      <c r="H129" s="5" t="s">
        <v>55</v>
      </c>
      <c r="I129" s="5"/>
      <c r="J129" s="5"/>
      <c r="K129" s="5" t="s">
        <v>308</v>
      </c>
      <c r="L129" s="5" t="s">
        <v>180</v>
      </c>
      <c r="M129" s="5" t="s">
        <v>84</v>
      </c>
      <c r="N129" s="5"/>
      <c r="O129" s="5"/>
      <c r="P129" s="5" t="s">
        <v>3271</v>
      </c>
      <c r="Q129" s="5"/>
      <c r="R129" s="5" t="s">
        <v>313</v>
      </c>
      <c r="S129" s="6">
        <v>43916</v>
      </c>
      <c r="T129" s="6">
        <v>43920</v>
      </c>
      <c r="U129" s="6">
        <v>43920</v>
      </c>
      <c r="V129" s="5"/>
      <c r="W129" s="5"/>
      <c r="X129" s="5"/>
      <c r="Y129" s="5" t="s">
        <v>940</v>
      </c>
      <c r="Z129" s="5"/>
      <c r="AA129" s="5"/>
      <c r="AB129" s="5" t="s">
        <v>67</v>
      </c>
      <c r="AC129" s="5" t="s">
        <v>68</v>
      </c>
      <c r="AD129" s="5" t="s">
        <v>68</v>
      </c>
      <c r="AE129" s="5"/>
      <c r="AF129" s="5" t="s">
        <v>70</v>
      </c>
      <c r="AG129" s="5"/>
      <c r="AH129" s="5"/>
      <c r="AI129" s="5" t="s">
        <v>73</v>
      </c>
      <c r="AJ129" s="5">
        <v>0</v>
      </c>
      <c r="AK129" s="5">
        <v>0</v>
      </c>
      <c r="AL129" s="5"/>
      <c r="AM129" s="5"/>
      <c r="AN129" s="5">
        <v>2</v>
      </c>
      <c r="AO129" s="5">
        <v>926</v>
      </c>
      <c r="AP129" s="5">
        <v>2.5920000000000001</v>
      </c>
      <c r="AQ129" s="5" t="s">
        <v>713</v>
      </c>
      <c r="AR129" s="5" t="s">
        <v>1104</v>
      </c>
      <c r="AS129" s="5" t="s">
        <v>713</v>
      </c>
      <c r="AT129" s="6">
        <v>43991</v>
      </c>
      <c r="AU129" s="5" t="s">
        <v>4819</v>
      </c>
      <c r="AV129" s="5">
        <v>171</v>
      </c>
      <c r="AW129" s="5" t="s">
        <v>4820</v>
      </c>
    </row>
    <row r="130" spans="1:49" x14ac:dyDescent="0.55000000000000004">
      <c r="A130" s="5" t="str">
        <f>HYPERLINK("https://www.infodis.net/philips/net/Shipment/Details?InfodisNumber=4275602&amp;DomainCode=DAP", "4275602")</f>
        <v>4275602</v>
      </c>
      <c r="B130" s="5" t="s">
        <v>4897</v>
      </c>
      <c r="C130" s="5" t="s">
        <v>2145</v>
      </c>
      <c r="D130" s="5" t="s">
        <v>2146</v>
      </c>
      <c r="E130" s="5" t="s">
        <v>2145</v>
      </c>
      <c r="F130" s="5" t="s">
        <v>256</v>
      </c>
      <c r="G130" s="5" t="s">
        <v>404</v>
      </c>
      <c r="H130" s="5" t="s">
        <v>307</v>
      </c>
      <c r="I130" s="5"/>
      <c r="J130" s="5"/>
      <c r="K130" s="5" t="s">
        <v>259</v>
      </c>
      <c r="L130" s="5" t="s">
        <v>260</v>
      </c>
      <c r="M130" s="5" t="s">
        <v>1489</v>
      </c>
      <c r="N130" s="5"/>
      <c r="O130" s="5"/>
      <c r="P130" s="5" t="s">
        <v>408</v>
      </c>
      <c r="Q130" s="5"/>
      <c r="R130" s="5" t="s">
        <v>262</v>
      </c>
      <c r="S130" s="6">
        <v>43703</v>
      </c>
      <c r="T130" s="6">
        <v>43704</v>
      </c>
      <c r="U130" s="5"/>
      <c r="V130" s="5"/>
      <c r="W130" s="5"/>
      <c r="X130" s="5"/>
      <c r="Y130" s="5" t="s">
        <v>4898</v>
      </c>
      <c r="Z130" s="5"/>
      <c r="AA130" s="5"/>
      <c r="AB130" s="5" t="s">
        <v>67</v>
      </c>
      <c r="AC130" s="5" t="s">
        <v>68</v>
      </c>
      <c r="AD130" s="5" t="s">
        <v>68</v>
      </c>
      <c r="AE130" s="5"/>
      <c r="AF130" s="5" t="s">
        <v>4574</v>
      </c>
      <c r="AG130" s="5"/>
      <c r="AH130" s="5"/>
      <c r="AI130" s="5" t="s">
        <v>73</v>
      </c>
      <c r="AJ130" s="5">
        <v>0</v>
      </c>
      <c r="AK130" s="5">
        <v>0</v>
      </c>
      <c r="AL130" s="5"/>
      <c r="AM130" s="5"/>
      <c r="AN130" s="5">
        <v>17</v>
      </c>
      <c r="AO130" s="5">
        <v>1972</v>
      </c>
      <c r="AP130" s="5">
        <v>28.07</v>
      </c>
      <c r="AQ130" s="5" t="s">
        <v>713</v>
      </c>
      <c r="AR130" s="5" t="s">
        <v>1104</v>
      </c>
      <c r="AS130" s="5"/>
      <c r="AT130" s="5"/>
      <c r="AU130" s="5"/>
      <c r="AV130" s="5">
        <v>-1</v>
      </c>
      <c r="AW130" s="5" t="s">
        <v>3974</v>
      </c>
    </row>
    <row r="131" spans="1:49" x14ac:dyDescent="0.55000000000000004">
      <c r="A131" s="5" t="str">
        <f>HYPERLINK("https://www.infodis.net/philips/net/Shipment/Details?InfodisNumber=6586369&amp;DomainCode=PHILIPSR1", "6586369")</f>
        <v>6586369</v>
      </c>
      <c r="B131" s="5" t="s">
        <v>4899</v>
      </c>
      <c r="C131" s="5" t="s">
        <v>4627</v>
      </c>
      <c r="D131" s="5" t="s">
        <v>4628</v>
      </c>
      <c r="E131" s="5" t="s">
        <v>4629</v>
      </c>
      <c r="F131" s="5"/>
      <c r="G131" s="5" t="s">
        <v>4630</v>
      </c>
      <c r="H131" s="5" t="s">
        <v>244</v>
      </c>
      <c r="I131" s="5"/>
      <c r="J131" s="5"/>
      <c r="K131" s="5" t="s">
        <v>4900</v>
      </c>
      <c r="L131" s="5" t="s">
        <v>244</v>
      </c>
      <c r="M131" s="5" t="s">
        <v>60</v>
      </c>
      <c r="N131" s="5"/>
      <c r="O131" s="5"/>
      <c r="P131" s="5" t="s">
        <v>250</v>
      </c>
      <c r="Q131" s="5"/>
      <c r="R131" s="5" t="s">
        <v>4817</v>
      </c>
      <c r="S131" s="6">
        <v>44006</v>
      </c>
      <c r="T131" s="6">
        <v>44006</v>
      </c>
      <c r="U131" s="6">
        <v>44006</v>
      </c>
      <c r="V131" s="5"/>
      <c r="W131" s="5"/>
      <c r="X131" s="5"/>
      <c r="Y131" s="5" t="s">
        <v>4750</v>
      </c>
      <c r="Z131" s="5"/>
      <c r="AA131" s="5"/>
      <c r="AB131" s="5" t="s">
        <v>67</v>
      </c>
      <c r="AC131" s="5" t="s">
        <v>68</v>
      </c>
      <c r="AD131" s="5" t="s">
        <v>68</v>
      </c>
      <c r="AE131" s="5"/>
      <c r="AF131" s="5" t="s">
        <v>4574</v>
      </c>
      <c r="AG131" s="5"/>
      <c r="AH131" s="5"/>
      <c r="AI131" s="5" t="s">
        <v>252</v>
      </c>
      <c r="AJ131" s="5">
        <v>0</v>
      </c>
      <c r="AK131" s="5">
        <v>0</v>
      </c>
      <c r="AL131" s="5"/>
      <c r="AM131" s="5"/>
      <c r="AN131" s="5">
        <v>33</v>
      </c>
      <c r="AO131" s="5">
        <v>3675</v>
      </c>
      <c r="AP131" s="5">
        <v>55.585000000000001</v>
      </c>
      <c r="AQ131" s="5" t="s">
        <v>713</v>
      </c>
      <c r="AR131" s="5" t="s">
        <v>1104</v>
      </c>
      <c r="AS131" s="5"/>
      <c r="AT131" s="5"/>
      <c r="AU131" s="5"/>
      <c r="AV131" s="5">
        <v>-1</v>
      </c>
      <c r="AW131" s="5" t="s">
        <v>4751</v>
      </c>
    </row>
    <row r="132" spans="1:49" x14ac:dyDescent="0.55000000000000004">
      <c r="A132" s="5" t="str">
        <f>HYPERLINK("https://www.infodis.net/philips/net/Shipment/Details?InfodisNumber=6582860&amp;DomainCode=PHILIPSR1", "6582860")</f>
        <v>6582860</v>
      </c>
      <c r="B132" s="5" t="s">
        <v>4901</v>
      </c>
      <c r="C132" s="5" t="s">
        <v>4627</v>
      </c>
      <c r="D132" s="5" t="s">
        <v>4628</v>
      </c>
      <c r="E132" s="5" t="s">
        <v>242</v>
      </c>
      <c r="F132" s="5"/>
      <c r="G132" s="5" t="s">
        <v>4630</v>
      </c>
      <c r="H132" s="5" t="s">
        <v>244</v>
      </c>
      <c r="I132" s="5"/>
      <c r="J132" s="5"/>
      <c r="K132" s="5" t="s">
        <v>4902</v>
      </c>
      <c r="L132" s="5" t="s">
        <v>296</v>
      </c>
      <c r="M132" s="5" t="s">
        <v>309</v>
      </c>
      <c r="N132" s="5"/>
      <c r="O132" s="5"/>
      <c r="P132" s="5" t="s">
        <v>250</v>
      </c>
      <c r="Q132" s="5"/>
      <c r="R132" s="5" t="s">
        <v>4903</v>
      </c>
      <c r="S132" s="6">
        <v>44005</v>
      </c>
      <c r="T132" s="6">
        <v>44005</v>
      </c>
      <c r="U132" s="6">
        <v>44005</v>
      </c>
      <c r="V132" s="5"/>
      <c r="W132" s="5"/>
      <c r="X132" s="5"/>
      <c r="Y132" s="5" t="s">
        <v>4750</v>
      </c>
      <c r="Z132" s="5"/>
      <c r="AA132" s="5"/>
      <c r="AB132" s="5" t="s">
        <v>67</v>
      </c>
      <c r="AC132" s="5" t="s">
        <v>68</v>
      </c>
      <c r="AD132" s="5" t="s">
        <v>68</v>
      </c>
      <c r="AE132" s="5"/>
      <c r="AF132" s="5" t="s">
        <v>70</v>
      </c>
      <c r="AG132" s="5"/>
      <c r="AH132" s="5"/>
      <c r="AI132" s="5" t="s">
        <v>252</v>
      </c>
      <c r="AJ132" s="5">
        <v>0</v>
      </c>
      <c r="AK132" s="5">
        <v>0</v>
      </c>
      <c r="AL132" s="5"/>
      <c r="AM132" s="5"/>
      <c r="AN132" s="5">
        <v>5</v>
      </c>
      <c r="AO132" s="5">
        <v>835</v>
      </c>
      <c r="AP132" s="5">
        <v>7.35</v>
      </c>
      <c r="AQ132" s="5" t="s">
        <v>713</v>
      </c>
      <c r="AR132" s="5" t="s">
        <v>1104</v>
      </c>
      <c r="AS132" s="5"/>
      <c r="AT132" s="5"/>
      <c r="AU132" s="5"/>
      <c r="AV132" s="5">
        <v>-1</v>
      </c>
      <c r="AW132" s="5" t="s">
        <v>4751</v>
      </c>
    </row>
    <row r="133" spans="1:49" x14ac:dyDescent="0.55000000000000004">
      <c r="A133" s="5" t="str">
        <f>HYPERLINK("https://www.infodis.net/philips/net/Shipment/Details?InfodisNumber=4451071&amp;DomainCode=DAP", "4451071")</f>
        <v>4451071</v>
      </c>
      <c r="B133" s="5" t="s">
        <v>4904</v>
      </c>
      <c r="C133" s="5" t="s">
        <v>2145</v>
      </c>
      <c r="D133" s="5" t="s">
        <v>2146</v>
      </c>
      <c r="E133" s="5" t="s">
        <v>304</v>
      </c>
      <c r="F133" s="5" t="s">
        <v>2639</v>
      </c>
      <c r="G133" s="5" t="s">
        <v>404</v>
      </c>
      <c r="H133" s="5" t="s">
        <v>307</v>
      </c>
      <c r="I133" s="5"/>
      <c r="J133" s="5"/>
      <c r="K133" s="5" t="s">
        <v>306</v>
      </c>
      <c r="L133" s="5" t="s">
        <v>307</v>
      </c>
      <c r="M133" s="5" t="s">
        <v>60</v>
      </c>
      <c r="N133" s="5"/>
      <c r="O133" s="5"/>
      <c r="P133" s="5" t="s">
        <v>408</v>
      </c>
      <c r="Q133" s="5"/>
      <c r="R133" s="5" t="s">
        <v>312</v>
      </c>
      <c r="S133" s="6">
        <v>43987</v>
      </c>
      <c r="T133" s="6">
        <v>43991</v>
      </c>
      <c r="U133" s="5"/>
      <c r="V133" s="5"/>
      <c r="W133" s="5"/>
      <c r="X133" s="5"/>
      <c r="Y133" s="5" t="s">
        <v>940</v>
      </c>
      <c r="Z133" s="5"/>
      <c r="AA133" s="5"/>
      <c r="AB133" s="5" t="s">
        <v>67</v>
      </c>
      <c r="AC133" s="5" t="s">
        <v>68</v>
      </c>
      <c r="AD133" s="5" t="s">
        <v>68</v>
      </c>
      <c r="AE133" s="5"/>
      <c r="AF133" s="5" t="s">
        <v>70</v>
      </c>
      <c r="AG133" s="5"/>
      <c r="AH133" s="5"/>
      <c r="AI133" s="5" t="s">
        <v>73</v>
      </c>
      <c r="AJ133" s="5">
        <v>0</v>
      </c>
      <c r="AK133" s="5">
        <v>0</v>
      </c>
      <c r="AL133" s="5"/>
      <c r="AM133" s="5"/>
      <c r="AN133" s="5">
        <v>0</v>
      </c>
      <c r="AO133" s="5">
        <v>1</v>
      </c>
      <c r="AP133" s="5">
        <v>0</v>
      </c>
      <c r="AQ133" s="5" t="s">
        <v>713</v>
      </c>
      <c r="AR133" s="5" t="s">
        <v>1104</v>
      </c>
      <c r="AS133" s="5"/>
      <c r="AT133" s="5"/>
      <c r="AU133" s="5"/>
      <c r="AV133" s="5">
        <v>-1</v>
      </c>
      <c r="AW133" s="5" t="s">
        <v>4205</v>
      </c>
    </row>
    <row r="134" spans="1:49" x14ac:dyDescent="0.55000000000000004">
      <c r="A134" s="5" t="str">
        <f>HYPERLINK("https://www.infodis.net/philips/net/Shipment/Details?InfodisNumber=6431044&amp;DomainCode=PHILIPSR1", "6431044")</f>
        <v>6431044</v>
      </c>
      <c r="B134" s="5" t="s">
        <v>4905</v>
      </c>
      <c r="C134" s="5" t="s">
        <v>2580</v>
      </c>
      <c r="D134" s="5" t="s">
        <v>2581</v>
      </c>
      <c r="E134" s="5" t="s">
        <v>1187</v>
      </c>
      <c r="F134" s="5"/>
      <c r="G134" s="5" t="s">
        <v>880</v>
      </c>
      <c r="H134" s="5" t="s">
        <v>881</v>
      </c>
      <c r="I134" s="5"/>
      <c r="J134" s="5"/>
      <c r="K134" s="5" t="s">
        <v>2696</v>
      </c>
      <c r="L134" s="5" t="s">
        <v>881</v>
      </c>
      <c r="M134" s="5" t="s">
        <v>60</v>
      </c>
      <c r="N134" s="5"/>
      <c r="O134" s="5"/>
      <c r="P134" s="5" t="s">
        <v>888</v>
      </c>
      <c r="Q134" s="5"/>
      <c r="R134" s="5" t="s">
        <v>4906</v>
      </c>
      <c r="S134" s="6">
        <v>43944</v>
      </c>
      <c r="T134" s="6">
        <v>43944</v>
      </c>
      <c r="U134" s="5"/>
      <c r="V134" s="5"/>
      <c r="W134" s="5"/>
      <c r="X134" s="5"/>
      <c r="Y134" s="5" t="s">
        <v>4776</v>
      </c>
      <c r="Z134" s="5"/>
      <c r="AA134" s="5"/>
      <c r="AB134" s="5" t="s">
        <v>67</v>
      </c>
      <c r="AC134" s="5" t="s">
        <v>68</v>
      </c>
      <c r="AD134" s="5" t="s">
        <v>68</v>
      </c>
      <c r="AE134" s="5"/>
      <c r="AF134" s="5" t="s">
        <v>4574</v>
      </c>
      <c r="AG134" s="5"/>
      <c r="AH134" s="5"/>
      <c r="AI134" s="5" t="s">
        <v>252</v>
      </c>
      <c r="AJ134" s="5">
        <v>0</v>
      </c>
      <c r="AK134" s="5">
        <v>0</v>
      </c>
      <c r="AL134" s="5"/>
      <c r="AM134" s="5"/>
      <c r="AN134" s="5">
        <v>0</v>
      </c>
      <c r="AO134" s="5">
        <v>0.59</v>
      </c>
      <c r="AP134" s="5">
        <v>6.0000000000000001E-3</v>
      </c>
      <c r="AQ134" s="5" t="s">
        <v>713</v>
      </c>
      <c r="AR134" s="5" t="s">
        <v>1104</v>
      </c>
      <c r="AS134" s="5"/>
      <c r="AT134" s="5"/>
      <c r="AU134" s="5"/>
      <c r="AV134" s="5">
        <v>-1</v>
      </c>
      <c r="AW134" s="5" t="s">
        <v>4777</v>
      </c>
    </row>
    <row r="135" spans="1:49" x14ac:dyDescent="0.55000000000000004">
      <c r="A135" s="5" t="str">
        <f>HYPERLINK("https://www.infodis.net/philips/net/Shipment/Details?InfodisNumber=6542072&amp;DomainCode=PHILIPSR1", "6542072")</f>
        <v>6542072</v>
      </c>
      <c r="B135" s="5" t="s">
        <v>4907</v>
      </c>
      <c r="C135" s="5" t="s">
        <v>4627</v>
      </c>
      <c r="D135" s="5" t="s">
        <v>4628</v>
      </c>
      <c r="E135" s="5" t="s">
        <v>4629</v>
      </c>
      <c r="F135" s="5" t="s">
        <v>4627</v>
      </c>
      <c r="G135" s="5" t="s">
        <v>4769</v>
      </c>
      <c r="H135" s="5" t="s">
        <v>244</v>
      </c>
      <c r="I135" s="5"/>
      <c r="J135" s="5"/>
      <c r="K135" s="5" t="s">
        <v>4630</v>
      </c>
      <c r="L135" s="5" t="s">
        <v>244</v>
      </c>
      <c r="M135" s="5" t="s">
        <v>60</v>
      </c>
      <c r="N135" s="5"/>
      <c r="O135" s="5"/>
      <c r="P135" s="5" t="s">
        <v>4770</v>
      </c>
      <c r="Q135" s="5"/>
      <c r="R135" s="5" t="s">
        <v>250</v>
      </c>
      <c r="S135" s="6">
        <v>43990</v>
      </c>
      <c r="T135" s="6">
        <v>43990</v>
      </c>
      <c r="U135" s="6">
        <v>43990</v>
      </c>
      <c r="V135" s="5"/>
      <c r="W135" s="5"/>
      <c r="X135" s="5"/>
      <c r="Y135" s="5" t="s">
        <v>4750</v>
      </c>
      <c r="Z135" s="5"/>
      <c r="AA135" s="5"/>
      <c r="AB135" s="5" t="s">
        <v>67</v>
      </c>
      <c r="AC135" s="5" t="s">
        <v>68</v>
      </c>
      <c r="AD135" s="5" t="s">
        <v>68</v>
      </c>
      <c r="AE135" s="5"/>
      <c r="AF135" s="5" t="s">
        <v>70</v>
      </c>
      <c r="AG135" s="5"/>
      <c r="AH135" s="5"/>
      <c r="AI135" s="5" t="s">
        <v>252</v>
      </c>
      <c r="AJ135" s="5">
        <v>0</v>
      </c>
      <c r="AK135" s="5">
        <v>0</v>
      </c>
      <c r="AL135" s="5"/>
      <c r="AM135" s="5"/>
      <c r="AN135" s="5">
        <v>28</v>
      </c>
      <c r="AO135" s="5">
        <v>3728</v>
      </c>
      <c r="AP135" s="5">
        <v>52.415999999999997</v>
      </c>
      <c r="AQ135" s="5" t="s">
        <v>713</v>
      </c>
      <c r="AR135" s="5" t="s">
        <v>1104</v>
      </c>
      <c r="AS135" s="5"/>
      <c r="AT135" s="5"/>
      <c r="AU135" s="5"/>
      <c r="AV135" s="5">
        <v>-1</v>
      </c>
      <c r="AW135" s="5" t="s">
        <v>4751</v>
      </c>
    </row>
    <row r="136" spans="1:49" x14ac:dyDescent="0.55000000000000004">
      <c r="A136" s="5" t="str">
        <f>HYPERLINK("https://www.infodis.net/philips/net/Shipment/Details?InfodisNumber=3971550&amp;DomainCode=DAP", "3971550")</f>
        <v>3971550</v>
      </c>
      <c r="B136" s="5" t="s">
        <v>4908</v>
      </c>
      <c r="C136" s="5" t="s">
        <v>4909</v>
      </c>
      <c r="D136" s="5" t="s">
        <v>4910</v>
      </c>
      <c r="E136" s="5" t="s">
        <v>4629</v>
      </c>
      <c r="F136" s="5" t="s">
        <v>4911</v>
      </c>
      <c r="G136" s="5" t="s">
        <v>4630</v>
      </c>
      <c r="H136" s="5" t="s">
        <v>244</v>
      </c>
      <c r="I136" s="5"/>
      <c r="J136" s="5"/>
      <c r="K136" s="5" t="s">
        <v>4912</v>
      </c>
      <c r="L136" s="5" t="s">
        <v>4913</v>
      </c>
      <c r="M136" s="5" t="s">
        <v>60</v>
      </c>
      <c r="N136" s="5"/>
      <c r="O136" s="5"/>
      <c r="P136" s="5" t="s">
        <v>250</v>
      </c>
      <c r="Q136" s="5"/>
      <c r="R136" s="5" t="s">
        <v>908</v>
      </c>
      <c r="S136" s="6">
        <v>43472</v>
      </c>
      <c r="T136" s="6">
        <v>43472</v>
      </c>
      <c r="U136" s="6">
        <v>43472</v>
      </c>
      <c r="V136" s="5"/>
      <c r="W136" s="5"/>
      <c r="X136" s="5"/>
      <c r="Y136" s="5" t="s">
        <v>4914</v>
      </c>
      <c r="Z136" s="5"/>
      <c r="AA136" s="5"/>
      <c r="AB136" s="5" t="s">
        <v>67</v>
      </c>
      <c r="AC136" s="5" t="s">
        <v>68</v>
      </c>
      <c r="AD136" s="5" t="s">
        <v>68</v>
      </c>
      <c r="AE136" s="5"/>
      <c r="AF136" s="5" t="s">
        <v>4574</v>
      </c>
      <c r="AG136" s="5"/>
      <c r="AH136" s="5"/>
      <c r="AI136" s="5" t="s">
        <v>73</v>
      </c>
      <c r="AJ136" s="5">
        <v>0</v>
      </c>
      <c r="AK136" s="5">
        <v>0</v>
      </c>
      <c r="AL136" s="5"/>
      <c r="AM136" s="5"/>
      <c r="AN136" s="5">
        <v>1</v>
      </c>
      <c r="AO136" s="5">
        <v>180</v>
      </c>
      <c r="AP136" s="5">
        <v>1.476</v>
      </c>
      <c r="AQ136" s="5" t="s">
        <v>713</v>
      </c>
      <c r="AR136" s="5" t="s">
        <v>1104</v>
      </c>
      <c r="AS136" s="5"/>
      <c r="AT136" s="5"/>
      <c r="AU136" s="5"/>
      <c r="AV136" s="5">
        <v>-1</v>
      </c>
      <c r="AW136" s="5" t="s">
        <v>2301</v>
      </c>
    </row>
    <row r="137" spans="1:49" x14ac:dyDescent="0.55000000000000004">
      <c r="A137" s="5" t="str">
        <f>HYPERLINK("https://www.infodis.net/philips/net/Shipment/Details?InfodisNumber=6508218&amp;DomainCode=PHILIPSR1", "6508218")</f>
        <v>6508218</v>
      </c>
      <c r="B137" s="5" t="s">
        <v>4915</v>
      </c>
      <c r="C137" s="5" t="s">
        <v>4627</v>
      </c>
      <c r="D137" s="5" t="s">
        <v>4628</v>
      </c>
      <c r="E137" s="5" t="s">
        <v>4629</v>
      </c>
      <c r="F137" s="5" t="s">
        <v>915</v>
      </c>
      <c r="G137" s="5" t="s">
        <v>4630</v>
      </c>
      <c r="H137" s="5" t="s">
        <v>244</v>
      </c>
      <c r="I137" s="5"/>
      <c r="J137" s="5"/>
      <c r="K137" s="5" t="s">
        <v>918</v>
      </c>
      <c r="L137" s="5" t="s">
        <v>881</v>
      </c>
      <c r="M137" s="5" t="s">
        <v>60</v>
      </c>
      <c r="N137" s="5"/>
      <c r="O137" s="5"/>
      <c r="P137" s="5" t="s">
        <v>250</v>
      </c>
      <c r="Q137" s="5"/>
      <c r="R137" s="5" t="s">
        <v>888</v>
      </c>
      <c r="S137" s="6">
        <v>43976</v>
      </c>
      <c r="T137" s="6">
        <v>43977</v>
      </c>
      <c r="U137" s="6">
        <v>43977</v>
      </c>
      <c r="V137" s="5"/>
      <c r="W137" s="5"/>
      <c r="X137" s="5"/>
      <c r="Y137" s="5" t="s">
        <v>4750</v>
      </c>
      <c r="Z137" s="5"/>
      <c r="AA137" s="5"/>
      <c r="AB137" s="5" t="s">
        <v>67</v>
      </c>
      <c r="AC137" s="5" t="s">
        <v>68</v>
      </c>
      <c r="AD137" s="5" t="s">
        <v>68</v>
      </c>
      <c r="AE137" s="5"/>
      <c r="AF137" s="5" t="s">
        <v>4574</v>
      </c>
      <c r="AG137" s="5"/>
      <c r="AH137" s="5"/>
      <c r="AI137" s="5" t="s">
        <v>252</v>
      </c>
      <c r="AJ137" s="5">
        <v>0</v>
      </c>
      <c r="AK137" s="5">
        <v>0</v>
      </c>
      <c r="AL137" s="5"/>
      <c r="AM137" s="5"/>
      <c r="AN137" s="5">
        <v>6</v>
      </c>
      <c r="AO137" s="5">
        <v>1125</v>
      </c>
      <c r="AP137" s="5">
        <v>9.1509999999999998</v>
      </c>
      <c r="AQ137" s="5" t="s">
        <v>713</v>
      </c>
      <c r="AR137" s="5" t="s">
        <v>1104</v>
      </c>
      <c r="AS137" s="5" t="s">
        <v>713</v>
      </c>
      <c r="AT137" s="6">
        <v>43979</v>
      </c>
      <c r="AU137" s="5" t="s">
        <v>4814</v>
      </c>
      <c r="AV137" s="5">
        <v>183</v>
      </c>
      <c r="AW137" s="5" t="s">
        <v>4751</v>
      </c>
    </row>
    <row r="138" spans="1:49" x14ac:dyDescent="0.55000000000000004">
      <c r="A138" s="5" t="str">
        <f>HYPERLINK("https://www.infodis.net/philips/net/Shipment/Details?InfodisNumber=4247390&amp;DomainCode=DAP", "4247390")</f>
        <v>4247390</v>
      </c>
      <c r="B138" s="5" t="s">
        <v>4916</v>
      </c>
      <c r="C138" s="5" t="s">
        <v>4225</v>
      </c>
      <c r="D138" s="5" t="s">
        <v>4226</v>
      </c>
      <c r="E138" s="5" t="s">
        <v>1187</v>
      </c>
      <c r="F138" s="5"/>
      <c r="G138" s="5" t="s">
        <v>880</v>
      </c>
      <c r="H138" s="5" t="s">
        <v>881</v>
      </c>
      <c r="I138" s="5"/>
      <c r="J138" s="5"/>
      <c r="K138" s="5" t="s">
        <v>4917</v>
      </c>
      <c r="L138" s="5" t="s">
        <v>881</v>
      </c>
      <c r="M138" s="5" t="s">
        <v>60</v>
      </c>
      <c r="N138" s="5"/>
      <c r="O138" s="5"/>
      <c r="P138" s="5" t="s">
        <v>888</v>
      </c>
      <c r="Q138" s="5"/>
      <c r="R138" s="5" t="s">
        <v>4918</v>
      </c>
      <c r="S138" s="6">
        <v>43668</v>
      </c>
      <c r="T138" s="6">
        <v>43669</v>
      </c>
      <c r="U138" s="5"/>
      <c r="V138" s="5"/>
      <c r="W138" s="5"/>
      <c r="X138" s="5"/>
      <c r="Y138" s="5" t="s">
        <v>4776</v>
      </c>
      <c r="Z138" s="5"/>
      <c r="AA138" s="5"/>
      <c r="AB138" s="5" t="s">
        <v>67</v>
      </c>
      <c r="AC138" s="5" t="s">
        <v>68</v>
      </c>
      <c r="AD138" s="5" t="s">
        <v>68</v>
      </c>
      <c r="AE138" s="5"/>
      <c r="AF138" s="5" t="s">
        <v>4574</v>
      </c>
      <c r="AG138" s="5"/>
      <c r="AH138" s="5"/>
      <c r="AI138" s="5" t="s">
        <v>73</v>
      </c>
      <c r="AJ138" s="5">
        <v>0</v>
      </c>
      <c r="AK138" s="5">
        <v>0</v>
      </c>
      <c r="AL138" s="5"/>
      <c r="AM138" s="5"/>
      <c r="AN138" s="5">
        <v>1</v>
      </c>
      <c r="AO138" s="5">
        <v>27</v>
      </c>
      <c r="AP138" s="5">
        <v>0.20300000000000001</v>
      </c>
      <c r="AQ138" s="5" t="s">
        <v>713</v>
      </c>
      <c r="AR138" s="5" t="s">
        <v>1104</v>
      </c>
      <c r="AS138" s="5" t="s">
        <v>713</v>
      </c>
      <c r="AT138" s="6">
        <v>43832</v>
      </c>
      <c r="AU138" s="5" t="s">
        <v>4873</v>
      </c>
      <c r="AV138" s="5">
        <v>330</v>
      </c>
      <c r="AW138" s="5" t="s">
        <v>4874</v>
      </c>
    </row>
    <row r="139" spans="1:49" x14ac:dyDescent="0.55000000000000004">
      <c r="A139" s="5" t="str">
        <f>HYPERLINK("https://www.infodis.net/philips/net/Shipment/Details?InfodisNumber=4247387&amp;DomainCode=DAP", "4247387")</f>
        <v>4247387</v>
      </c>
      <c r="B139" s="5" t="s">
        <v>4919</v>
      </c>
      <c r="C139" s="5" t="s">
        <v>4225</v>
      </c>
      <c r="D139" s="5" t="s">
        <v>4226</v>
      </c>
      <c r="E139" s="5" t="s">
        <v>1187</v>
      </c>
      <c r="F139" s="5"/>
      <c r="G139" s="5" t="s">
        <v>880</v>
      </c>
      <c r="H139" s="5" t="s">
        <v>881</v>
      </c>
      <c r="I139" s="5"/>
      <c r="J139" s="5"/>
      <c r="K139" s="5" t="s">
        <v>4920</v>
      </c>
      <c r="L139" s="5" t="s">
        <v>881</v>
      </c>
      <c r="M139" s="5" t="s">
        <v>60</v>
      </c>
      <c r="N139" s="5"/>
      <c r="O139" s="5"/>
      <c r="P139" s="5" t="s">
        <v>888</v>
      </c>
      <c r="Q139" s="5"/>
      <c r="R139" s="5" t="s">
        <v>4921</v>
      </c>
      <c r="S139" s="6">
        <v>43668</v>
      </c>
      <c r="T139" s="6">
        <v>43668</v>
      </c>
      <c r="U139" s="5"/>
      <c r="V139" s="5"/>
      <c r="W139" s="5"/>
      <c r="X139" s="5"/>
      <c r="Y139" s="5" t="s">
        <v>4776</v>
      </c>
      <c r="Z139" s="5"/>
      <c r="AA139" s="5"/>
      <c r="AB139" s="5" t="s">
        <v>67</v>
      </c>
      <c r="AC139" s="5" t="s">
        <v>68</v>
      </c>
      <c r="AD139" s="5" t="s">
        <v>68</v>
      </c>
      <c r="AE139" s="5"/>
      <c r="AF139" s="5" t="s">
        <v>4574</v>
      </c>
      <c r="AG139" s="5"/>
      <c r="AH139" s="5"/>
      <c r="AI139" s="5" t="s">
        <v>73</v>
      </c>
      <c r="AJ139" s="5">
        <v>0</v>
      </c>
      <c r="AK139" s="5">
        <v>0</v>
      </c>
      <c r="AL139" s="5"/>
      <c r="AM139" s="5"/>
      <c r="AN139" s="5">
        <v>4</v>
      </c>
      <c r="AO139" s="5">
        <v>112</v>
      </c>
      <c r="AP139" s="5">
        <v>0.81099999999999994</v>
      </c>
      <c r="AQ139" s="5" t="s">
        <v>713</v>
      </c>
      <c r="AR139" s="5" t="s">
        <v>1104</v>
      </c>
      <c r="AS139" s="5" t="s">
        <v>713</v>
      </c>
      <c r="AT139" s="6">
        <v>43832</v>
      </c>
      <c r="AU139" s="5" t="s">
        <v>4873</v>
      </c>
      <c r="AV139" s="5">
        <v>330</v>
      </c>
      <c r="AW139" s="5" t="s">
        <v>4874</v>
      </c>
    </row>
    <row r="140" spans="1:49" x14ac:dyDescent="0.55000000000000004">
      <c r="A140" s="5" t="str">
        <f>HYPERLINK("https://www.infodis.net/philips/net/Shipment/Details?InfodisNumber=4244623&amp;DomainCode=DAP", "4244623")</f>
        <v>4244623</v>
      </c>
      <c r="B140" s="5" t="s">
        <v>4922</v>
      </c>
      <c r="C140" s="5" t="s">
        <v>2305</v>
      </c>
      <c r="D140" s="5" t="s">
        <v>2306</v>
      </c>
      <c r="E140" s="5" t="s">
        <v>304</v>
      </c>
      <c r="F140" s="5" t="s">
        <v>2826</v>
      </c>
      <c r="G140" s="5" t="s">
        <v>379</v>
      </c>
      <c r="H140" s="5" t="s">
        <v>380</v>
      </c>
      <c r="I140" s="5"/>
      <c r="J140" s="5"/>
      <c r="K140" s="5" t="s">
        <v>356</v>
      </c>
      <c r="L140" s="5" t="s">
        <v>357</v>
      </c>
      <c r="M140" s="5" t="s">
        <v>358</v>
      </c>
      <c r="N140" s="5"/>
      <c r="O140" s="5"/>
      <c r="P140" s="5" t="s">
        <v>388</v>
      </c>
      <c r="Q140" s="5"/>
      <c r="R140" s="5" t="s">
        <v>361</v>
      </c>
      <c r="S140" s="6">
        <v>43664</v>
      </c>
      <c r="T140" s="6">
        <v>43668</v>
      </c>
      <c r="U140" s="6">
        <v>43664</v>
      </c>
      <c r="V140" s="5"/>
      <c r="W140" s="5"/>
      <c r="X140" s="5"/>
      <c r="Y140" s="5" t="s">
        <v>4804</v>
      </c>
      <c r="Z140" s="5"/>
      <c r="AA140" s="5"/>
      <c r="AB140" s="5" t="s">
        <v>67</v>
      </c>
      <c r="AC140" s="5" t="s">
        <v>68</v>
      </c>
      <c r="AD140" s="5" t="s">
        <v>68</v>
      </c>
      <c r="AE140" s="5"/>
      <c r="AF140" s="5" t="s">
        <v>70</v>
      </c>
      <c r="AG140" s="5"/>
      <c r="AH140" s="5"/>
      <c r="AI140" s="5" t="s">
        <v>73</v>
      </c>
      <c r="AJ140" s="5">
        <v>0</v>
      </c>
      <c r="AK140" s="5">
        <v>0</v>
      </c>
      <c r="AL140" s="5"/>
      <c r="AM140" s="5"/>
      <c r="AN140" s="5">
        <v>4</v>
      </c>
      <c r="AO140" s="5">
        <v>925</v>
      </c>
      <c r="AP140" s="5">
        <v>7.6420000000000003</v>
      </c>
      <c r="AQ140" s="5" t="s">
        <v>713</v>
      </c>
      <c r="AR140" s="5" t="s">
        <v>1104</v>
      </c>
      <c r="AS140" s="5" t="s">
        <v>713</v>
      </c>
      <c r="AT140" s="6">
        <v>43794</v>
      </c>
      <c r="AU140" s="5" t="s">
        <v>4923</v>
      </c>
      <c r="AV140" s="5">
        <v>368</v>
      </c>
      <c r="AW140" s="5" t="s">
        <v>4924</v>
      </c>
    </row>
    <row r="141" spans="1:49" x14ac:dyDescent="0.55000000000000004">
      <c r="A141" s="5" t="str">
        <f>HYPERLINK("https://www.infodis.net/philips/net/Shipment/Details?InfodisNumber=4241523&amp;DomainCode=DAP", "4241523")</f>
        <v>4241523</v>
      </c>
      <c r="B141" s="5" t="s">
        <v>4925</v>
      </c>
      <c r="C141" s="5" t="s">
        <v>4739</v>
      </c>
      <c r="D141" s="5" t="s">
        <v>4740</v>
      </c>
      <c r="E141" s="5" t="s">
        <v>2048</v>
      </c>
      <c r="F141" s="5" t="s">
        <v>4739</v>
      </c>
      <c r="G141" s="5" t="s">
        <v>1262</v>
      </c>
      <c r="H141" s="5" t="s">
        <v>1263</v>
      </c>
      <c r="I141" s="5"/>
      <c r="J141" s="5"/>
      <c r="K141" s="5" t="s">
        <v>4742</v>
      </c>
      <c r="L141" s="5" t="s">
        <v>1263</v>
      </c>
      <c r="M141" s="5" t="s">
        <v>84</v>
      </c>
      <c r="N141" s="5"/>
      <c r="O141" s="5"/>
      <c r="P141" s="5" t="s">
        <v>1264</v>
      </c>
      <c r="Q141" s="5"/>
      <c r="R141" s="5" t="s">
        <v>4743</v>
      </c>
      <c r="S141" s="6">
        <v>43661</v>
      </c>
      <c r="T141" s="6">
        <v>43665</v>
      </c>
      <c r="U141" s="6">
        <v>43717</v>
      </c>
      <c r="V141" s="5"/>
      <c r="W141" s="5"/>
      <c r="X141" s="5"/>
      <c r="Y141" s="5" t="s">
        <v>4643</v>
      </c>
      <c r="Z141" s="5"/>
      <c r="AA141" s="5"/>
      <c r="AB141" s="5" t="s">
        <v>67</v>
      </c>
      <c r="AC141" s="5" t="s">
        <v>68</v>
      </c>
      <c r="AD141" s="5" t="s">
        <v>68</v>
      </c>
      <c r="AE141" s="5"/>
      <c r="AF141" s="5" t="s">
        <v>70</v>
      </c>
      <c r="AG141" s="5"/>
      <c r="AH141" s="5"/>
      <c r="AI141" s="5" t="s">
        <v>73</v>
      </c>
      <c r="AJ141" s="5">
        <v>0</v>
      </c>
      <c r="AK141" s="5">
        <v>0</v>
      </c>
      <c r="AL141" s="5"/>
      <c r="AM141" s="5"/>
      <c r="AN141" s="5">
        <v>32</v>
      </c>
      <c r="AO141" s="5">
        <v>4800</v>
      </c>
      <c r="AP141" s="5">
        <v>55.296000000000006</v>
      </c>
      <c r="AQ141" s="5" t="s">
        <v>713</v>
      </c>
      <c r="AR141" s="5" t="s">
        <v>1104</v>
      </c>
      <c r="AS141" s="5"/>
      <c r="AT141" s="5"/>
      <c r="AU141" s="5"/>
      <c r="AV141" s="5">
        <v>-1</v>
      </c>
      <c r="AW141" s="5" t="s">
        <v>4926</v>
      </c>
    </row>
    <row r="142" spans="1:49" x14ac:dyDescent="0.55000000000000004">
      <c r="A142" s="5" t="str">
        <f>HYPERLINK("https://www.infodis.net/philips/net/Shipment/Details?InfodisNumber=6877344&amp;DomainCode=PHILIPSR1", "6877344")</f>
        <v>6877344</v>
      </c>
      <c r="B142" s="5" t="s">
        <v>4927</v>
      </c>
      <c r="C142" s="5" t="s">
        <v>4627</v>
      </c>
      <c r="D142" s="5" t="s">
        <v>4628</v>
      </c>
      <c r="E142" s="5" t="s">
        <v>4629</v>
      </c>
      <c r="F142" s="5"/>
      <c r="G142" s="5" t="s">
        <v>4630</v>
      </c>
      <c r="H142" s="5" t="s">
        <v>244</v>
      </c>
      <c r="I142" s="5"/>
      <c r="J142" s="5"/>
      <c r="K142" s="5" t="s">
        <v>4758</v>
      </c>
      <c r="L142" s="5" t="s">
        <v>244</v>
      </c>
      <c r="M142" s="5" t="s">
        <v>60</v>
      </c>
      <c r="N142" s="5"/>
      <c r="O142" s="5"/>
      <c r="P142" s="5" t="s">
        <v>250</v>
      </c>
      <c r="Q142" s="5"/>
      <c r="R142" s="5" t="s">
        <v>4759</v>
      </c>
      <c r="S142" s="6">
        <v>44116</v>
      </c>
      <c r="T142" s="6">
        <v>44118</v>
      </c>
      <c r="U142" s="6">
        <v>44118</v>
      </c>
      <c r="V142" s="5"/>
      <c r="W142" s="5"/>
      <c r="X142" s="5"/>
      <c r="Y142" s="5" t="s">
        <v>4750</v>
      </c>
      <c r="Z142" s="5"/>
      <c r="AA142" s="5"/>
      <c r="AB142" s="5" t="s">
        <v>67</v>
      </c>
      <c r="AC142" s="5" t="s">
        <v>68</v>
      </c>
      <c r="AD142" s="5" t="s">
        <v>68</v>
      </c>
      <c r="AE142" s="5"/>
      <c r="AF142" s="5" t="s">
        <v>4574</v>
      </c>
      <c r="AG142" s="5"/>
      <c r="AH142" s="5"/>
      <c r="AI142" s="5" t="s">
        <v>252</v>
      </c>
      <c r="AJ142" s="5">
        <v>0</v>
      </c>
      <c r="AK142" s="5">
        <v>0</v>
      </c>
      <c r="AL142" s="5"/>
      <c r="AM142" s="5"/>
      <c r="AN142" s="5">
        <v>29</v>
      </c>
      <c r="AO142" s="5">
        <v>3855</v>
      </c>
      <c r="AP142" s="5">
        <v>39.762</v>
      </c>
      <c r="AQ142" s="5" t="s">
        <v>713</v>
      </c>
      <c r="AR142" s="5" t="s">
        <v>1104</v>
      </c>
      <c r="AS142" s="5"/>
      <c r="AT142" s="5"/>
      <c r="AU142" s="5"/>
      <c r="AV142" s="5">
        <v>-1</v>
      </c>
      <c r="AW142" s="5" t="s">
        <v>4760</v>
      </c>
    </row>
    <row r="143" spans="1:49" x14ac:dyDescent="0.55000000000000004">
      <c r="A143" s="5" t="str">
        <f>HYPERLINK("https://www.infodis.net/philips/net/Shipment/Details?InfodisNumber=4235631&amp;DomainCode=DAP", "4235631")</f>
        <v>4235631</v>
      </c>
      <c r="B143" s="5" t="s">
        <v>4928</v>
      </c>
      <c r="C143" s="5" t="s">
        <v>4929</v>
      </c>
      <c r="D143" s="5" t="s">
        <v>4930</v>
      </c>
      <c r="E143" s="5" t="s">
        <v>4931</v>
      </c>
      <c r="F143" s="5" t="s">
        <v>4932</v>
      </c>
      <c r="G143" s="5" t="s">
        <v>4933</v>
      </c>
      <c r="H143" s="5" t="s">
        <v>453</v>
      </c>
      <c r="I143" s="5"/>
      <c r="J143" s="5"/>
      <c r="K143" s="5" t="s">
        <v>4934</v>
      </c>
      <c r="L143" s="5" t="s">
        <v>453</v>
      </c>
      <c r="M143" s="5" t="s">
        <v>60</v>
      </c>
      <c r="N143" s="5"/>
      <c r="O143" s="5"/>
      <c r="P143" s="5" t="s">
        <v>4935</v>
      </c>
      <c r="Q143" s="5"/>
      <c r="R143" s="5" t="s">
        <v>4936</v>
      </c>
      <c r="S143" s="6">
        <v>43655</v>
      </c>
      <c r="T143" s="6">
        <v>43656</v>
      </c>
      <c r="U143" s="6">
        <v>43656</v>
      </c>
      <c r="V143" s="5"/>
      <c r="W143" s="5"/>
      <c r="X143" s="5"/>
      <c r="Y143" s="5" t="s">
        <v>4937</v>
      </c>
      <c r="Z143" s="5"/>
      <c r="AA143" s="5"/>
      <c r="AB143" s="5" t="s">
        <v>67</v>
      </c>
      <c r="AC143" s="5" t="s">
        <v>68</v>
      </c>
      <c r="AD143" s="5" t="s">
        <v>68</v>
      </c>
      <c r="AE143" s="5"/>
      <c r="AF143" s="5" t="s">
        <v>4574</v>
      </c>
      <c r="AG143" s="5"/>
      <c r="AH143" s="5"/>
      <c r="AI143" s="5" t="s">
        <v>73</v>
      </c>
      <c r="AJ143" s="5">
        <v>0</v>
      </c>
      <c r="AK143" s="5">
        <v>0</v>
      </c>
      <c r="AL143" s="5"/>
      <c r="AM143" s="5"/>
      <c r="AN143" s="5">
        <v>5</v>
      </c>
      <c r="AO143" s="5">
        <v>845</v>
      </c>
      <c r="AP143" s="5">
        <v>8.64</v>
      </c>
      <c r="AQ143" s="5" t="s">
        <v>713</v>
      </c>
      <c r="AR143" s="5" t="s">
        <v>1104</v>
      </c>
      <c r="AS143" s="5"/>
      <c r="AT143" s="6">
        <v>43794</v>
      </c>
      <c r="AU143" s="5"/>
      <c r="AV143" s="5">
        <v>368</v>
      </c>
      <c r="AW143" s="5" t="s">
        <v>4938</v>
      </c>
    </row>
    <row r="144" spans="1:49" x14ac:dyDescent="0.55000000000000004">
      <c r="A144" s="5" t="str">
        <f>HYPERLINK("https://www.infodis.net/philips/net/Shipment/Details?InfodisNumber=4225103&amp;DomainCode=DAP", "4225103")</f>
        <v>4225103</v>
      </c>
      <c r="B144" s="5" t="s">
        <v>4939</v>
      </c>
      <c r="C144" s="5" t="s">
        <v>2145</v>
      </c>
      <c r="D144" s="5" t="s">
        <v>2146</v>
      </c>
      <c r="E144" s="5" t="s">
        <v>2145</v>
      </c>
      <c r="F144" s="5" t="s">
        <v>256</v>
      </c>
      <c r="G144" s="5" t="s">
        <v>404</v>
      </c>
      <c r="H144" s="5" t="s">
        <v>307</v>
      </c>
      <c r="I144" s="5"/>
      <c r="J144" s="5"/>
      <c r="K144" s="5" t="s">
        <v>259</v>
      </c>
      <c r="L144" s="5" t="s">
        <v>260</v>
      </c>
      <c r="M144" s="5" t="s">
        <v>1489</v>
      </c>
      <c r="N144" s="5"/>
      <c r="O144" s="5"/>
      <c r="P144" s="5" t="s">
        <v>408</v>
      </c>
      <c r="Q144" s="5"/>
      <c r="R144" s="5" t="s">
        <v>262</v>
      </c>
      <c r="S144" s="6">
        <v>43644</v>
      </c>
      <c r="T144" s="6">
        <v>43648</v>
      </c>
      <c r="U144" s="5"/>
      <c r="V144" s="5"/>
      <c r="W144" s="5"/>
      <c r="X144" s="5"/>
      <c r="Y144" s="5" t="s">
        <v>4940</v>
      </c>
      <c r="Z144" s="5"/>
      <c r="AA144" s="5"/>
      <c r="AB144" s="5" t="s">
        <v>67</v>
      </c>
      <c r="AC144" s="5" t="s">
        <v>68</v>
      </c>
      <c r="AD144" s="5" t="s">
        <v>68</v>
      </c>
      <c r="AE144" s="5"/>
      <c r="AF144" s="5" t="s">
        <v>4941</v>
      </c>
      <c r="AG144" s="5"/>
      <c r="AH144" s="5"/>
      <c r="AI144" s="5" t="s">
        <v>73</v>
      </c>
      <c r="AJ144" s="5">
        <v>0</v>
      </c>
      <c r="AK144" s="5">
        <v>0</v>
      </c>
      <c r="AL144" s="5"/>
      <c r="AM144" s="5"/>
      <c r="AN144" s="5">
        <v>33</v>
      </c>
      <c r="AO144" s="5">
        <v>3828</v>
      </c>
      <c r="AP144" s="5">
        <v>54.49</v>
      </c>
      <c r="AQ144" s="5" t="s">
        <v>713</v>
      </c>
      <c r="AR144" s="5" t="s">
        <v>1104</v>
      </c>
      <c r="AS144" s="5"/>
      <c r="AT144" s="5"/>
      <c r="AU144" s="5"/>
      <c r="AV144" s="5">
        <v>-1</v>
      </c>
      <c r="AW144" s="5" t="s">
        <v>3974</v>
      </c>
    </row>
    <row r="145" spans="1:49" x14ac:dyDescent="0.55000000000000004">
      <c r="A145" s="5" t="str">
        <f>HYPERLINK("https://www.infodis.net/philips/net/Shipment/Details?InfodisNumber=4205543&amp;DomainCode=DAP", "4205543")</f>
        <v>4205543</v>
      </c>
      <c r="B145" s="5" t="s">
        <v>4942</v>
      </c>
      <c r="C145" s="5" t="s">
        <v>4225</v>
      </c>
      <c r="D145" s="5" t="s">
        <v>4226</v>
      </c>
      <c r="E145" s="5" t="s">
        <v>1187</v>
      </c>
      <c r="F145" s="5"/>
      <c r="G145" s="5" t="s">
        <v>880</v>
      </c>
      <c r="H145" s="5" t="s">
        <v>881</v>
      </c>
      <c r="I145" s="5"/>
      <c r="J145" s="5"/>
      <c r="K145" s="5" t="s">
        <v>4943</v>
      </c>
      <c r="L145" s="5" t="s">
        <v>881</v>
      </c>
      <c r="M145" s="5" t="s">
        <v>60</v>
      </c>
      <c r="N145" s="5"/>
      <c r="O145" s="5"/>
      <c r="P145" s="5" t="s">
        <v>888</v>
      </c>
      <c r="Q145" s="5"/>
      <c r="R145" s="5" t="s">
        <v>4944</v>
      </c>
      <c r="S145" s="6">
        <v>43628</v>
      </c>
      <c r="T145" s="6">
        <v>43628</v>
      </c>
      <c r="U145" s="6">
        <v>43628</v>
      </c>
      <c r="V145" s="5"/>
      <c r="W145" s="5"/>
      <c r="X145" s="5"/>
      <c r="Y145" s="5" t="s">
        <v>4776</v>
      </c>
      <c r="Z145" s="5"/>
      <c r="AA145" s="5"/>
      <c r="AB145" s="5" t="s">
        <v>67</v>
      </c>
      <c r="AC145" s="5" t="s">
        <v>68</v>
      </c>
      <c r="AD145" s="5" t="s">
        <v>68</v>
      </c>
      <c r="AE145" s="5"/>
      <c r="AF145" s="5" t="s">
        <v>4574</v>
      </c>
      <c r="AG145" s="5"/>
      <c r="AH145" s="5"/>
      <c r="AI145" s="5" t="s">
        <v>73</v>
      </c>
      <c r="AJ145" s="5">
        <v>0</v>
      </c>
      <c r="AK145" s="5">
        <v>0</v>
      </c>
      <c r="AL145" s="5"/>
      <c r="AM145" s="5"/>
      <c r="AN145" s="5">
        <v>0</v>
      </c>
      <c r="AO145" s="5">
        <v>4.3499999999999996</v>
      </c>
      <c r="AP145" s="5">
        <v>7.0999999999999994E-2</v>
      </c>
      <c r="AQ145" s="5" t="s">
        <v>713</v>
      </c>
      <c r="AR145" s="5" t="s">
        <v>1104</v>
      </c>
      <c r="AS145" s="5" t="s">
        <v>713</v>
      </c>
      <c r="AT145" s="6">
        <v>43832</v>
      </c>
      <c r="AU145" s="5" t="s">
        <v>4873</v>
      </c>
      <c r="AV145" s="5">
        <v>330</v>
      </c>
      <c r="AW145" s="5" t="s">
        <v>4874</v>
      </c>
    </row>
    <row r="146" spans="1:49" x14ac:dyDescent="0.55000000000000004">
      <c r="A146" s="5" t="str">
        <f>HYPERLINK("https://www.infodis.net/philips/net/Shipment/Details?InfodisNumber=4196317&amp;DomainCode=DAP", "4196317")</f>
        <v>4196317</v>
      </c>
      <c r="B146" s="5" t="s">
        <v>4945</v>
      </c>
      <c r="C146" s="5" t="s">
        <v>4946</v>
      </c>
      <c r="D146" s="5" t="s">
        <v>4947</v>
      </c>
      <c r="E146" s="5" t="s">
        <v>2048</v>
      </c>
      <c r="F146" s="5" t="s">
        <v>4946</v>
      </c>
      <c r="G146" s="5" t="s">
        <v>1262</v>
      </c>
      <c r="H146" s="5" t="s">
        <v>1263</v>
      </c>
      <c r="I146" s="5"/>
      <c r="J146" s="5"/>
      <c r="K146" s="5" t="s">
        <v>4948</v>
      </c>
      <c r="L146" s="5" t="s">
        <v>1263</v>
      </c>
      <c r="M146" s="5" t="s">
        <v>84</v>
      </c>
      <c r="N146" s="5"/>
      <c r="O146" s="5"/>
      <c r="P146" s="5" t="s">
        <v>1264</v>
      </c>
      <c r="Q146" s="5"/>
      <c r="R146" s="5" t="s">
        <v>4949</v>
      </c>
      <c r="S146" s="6">
        <v>43621</v>
      </c>
      <c r="T146" s="6">
        <v>43623</v>
      </c>
      <c r="U146" s="6">
        <v>43626</v>
      </c>
      <c r="V146" s="5"/>
      <c r="W146" s="5"/>
      <c r="X146" s="5"/>
      <c r="Y146" s="5" t="s">
        <v>4643</v>
      </c>
      <c r="Z146" s="5"/>
      <c r="AA146" s="5"/>
      <c r="AB146" s="5" t="s">
        <v>67</v>
      </c>
      <c r="AC146" s="5" t="s">
        <v>68</v>
      </c>
      <c r="AD146" s="5" t="s">
        <v>68</v>
      </c>
      <c r="AE146" s="5"/>
      <c r="AF146" s="5" t="s">
        <v>4574</v>
      </c>
      <c r="AG146" s="5"/>
      <c r="AH146" s="5"/>
      <c r="AI146" s="5" t="s">
        <v>73</v>
      </c>
      <c r="AJ146" s="5">
        <v>0</v>
      </c>
      <c r="AK146" s="5">
        <v>0</v>
      </c>
      <c r="AL146" s="5"/>
      <c r="AM146" s="5"/>
      <c r="AN146" s="5">
        <v>1</v>
      </c>
      <c r="AO146" s="5">
        <v>75</v>
      </c>
      <c r="AP146" s="5">
        <v>0.76800000000000002</v>
      </c>
      <c r="AQ146" s="5" t="s">
        <v>713</v>
      </c>
      <c r="AR146" s="5" t="s">
        <v>1104</v>
      </c>
      <c r="AS146" s="5"/>
      <c r="AT146" s="5"/>
      <c r="AU146" s="5"/>
      <c r="AV146" s="5">
        <v>-1</v>
      </c>
      <c r="AW146" s="5" t="s">
        <v>4926</v>
      </c>
    </row>
    <row r="147" spans="1:49" x14ac:dyDescent="0.55000000000000004">
      <c r="A147" s="5" t="str">
        <f>HYPERLINK("https://www.infodis.net/philips/net/Shipment/Details?InfodisNumber=4185017&amp;DomainCode=DAP", "4185017")</f>
        <v>4185017</v>
      </c>
      <c r="B147" s="5" t="s">
        <v>4950</v>
      </c>
      <c r="C147" s="5" t="s">
        <v>4951</v>
      </c>
      <c r="D147" s="5" t="s">
        <v>4952</v>
      </c>
      <c r="E147" s="5" t="s">
        <v>4953</v>
      </c>
      <c r="F147" s="5" t="s">
        <v>4511</v>
      </c>
      <c r="G147" s="5" t="s">
        <v>4954</v>
      </c>
      <c r="H147" s="5" t="s">
        <v>881</v>
      </c>
      <c r="I147" s="5"/>
      <c r="J147" s="5"/>
      <c r="K147" s="5" t="s">
        <v>4513</v>
      </c>
      <c r="L147" s="5" t="s">
        <v>881</v>
      </c>
      <c r="M147" s="5" t="s">
        <v>84</v>
      </c>
      <c r="N147" s="5"/>
      <c r="O147" s="5"/>
      <c r="P147" s="5" t="s">
        <v>4955</v>
      </c>
      <c r="Q147" s="5"/>
      <c r="R147" s="5" t="s">
        <v>4956</v>
      </c>
      <c r="S147" s="6">
        <v>43614</v>
      </c>
      <c r="T147" s="6">
        <v>43584</v>
      </c>
      <c r="U147" s="6">
        <v>43584</v>
      </c>
      <c r="V147" s="5"/>
      <c r="W147" s="5"/>
      <c r="X147" s="5"/>
      <c r="Y147" s="5" t="s">
        <v>4957</v>
      </c>
      <c r="Z147" s="5"/>
      <c r="AA147" s="5"/>
      <c r="AB147" s="5" t="s">
        <v>67</v>
      </c>
      <c r="AC147" s="5" t="s">
        <v>68</v>
      </c>
      <c r="AD147" s="5" t="s">
        <v>68</v>
      </c>
      <c r="AE147" s="5"/>
      <c r="AF147" s="5" t="s">
        <v>4574</v>
      </c>
      <c r="AG147" s="5"/>
      <c r="AH147" s="5"/>
      <c r="AI147" s="5" t="s">
        <v>73</v>
      </c>
      <c r="AJ147" s="5">
        <v>0</v>
      </c>
      <c r="AK147" s="5">
        <v>0</v>
      </c>
      <c r="AL147" s="5"/>
      <c r="AM147" s="5"/>
      <c r="AN147" s="5">
        <v>5</v>
      </c>
      <c r="AO147" s="5">
        <v>1000</v>
      </c>
      <c r="AP147" s="5">
        <v>9</v>
      </c>
      <c r="AQ147" s="5" t="s">
        <v>713</v>
      </c>
      <c r="AR147" s="5" t="s">
        <v>1104</v>
      </c>
      <c r="AS147" s="5"/>
      <c r="AT147" s="6">
        <v>43796</v>
      </c>
      <c r="AU147" s="5"/>
      <c r="AV147" s="5">
        <v>366</v>
      </c>
      <c r="AW147" s="5" t="s">
        <v>4958</v>
      </c>
    </row>
    <row r="148" spans="1:49" x14ac:dyDescent="0.55000000000000004">
      <c r="A148" s="5" t="str">
        <f>HYPERLINK("https://www.infodis.net/philips/net/Shipment/Details?InfodisNumber=4177714&amp;DomainCode=DAP", "4177714")</f>
        <v>4177714</v>
      </c>
      <c r="B148" s="5" t="s">
        <v>4959</v>
      </c>
      <c r="C148" s="5" t="s">
        <v>4225</v>
      </c>
      <c r="D148" s="5" t="s">
        <v>4226</v>
      </c>
      <c r="E148" s="5" t="s">
        <v>1187</v>
      </c>
      <c r="F148" s="5"/>
      <c r="G148" s="5" t="s">
        <v>880</v>
      </c>
      <c r="H148" s="5" t="s">
        <v>881</v>
      </c>
      <c r="I148" s="5"/>
      <c r="J148" s="5"/>
      <c r="K148" s="5" t="s">
        <v>4960</v>
      </c>
      <c r="L148" s="5" t="s">
        <v>881</v>
      </c>
      <c r="M148" s="5" t="s">
        <v>60</v>
      </c>
      <c r="N148" s="5"/>
      <c r="O148" s="5"/>
      <c r="P148" s="5" t="s">
        <v>888</v>
      </c>
      <c r="Q148" s="5"/>
      <c r="R148" s="5" t="s">
        <v>4961</v>
      </c>
      <c r="S148" s="6">
        <v>43608</v>
      </c>
      <c r="T148" s="6">
        <v>43608</v>
      </c>
      <c r="U148" s="5"/>
      <c r="V148" s="5"/>
      <c r="W148" s="5"/>
      <c r="X148" s="5"/>
      <c r="Y148" s="5" t="s">
        <v>4776</v>
      </c>
      <c r="Z148" s="5"/>
      <c r="AA148" s="5"/>
      <c r="AB148" s="5" t="s">
        <v>67</v>
      </c>
      <c r="AC148" s="5" t="s">
        <v>68</v>
      </c>
      <c r="AD148" s="5" t="s">
        <v>68</v>
      </c>
      <c r="AE148" s="5"/>
      <c r="AF148" s="5" t="s">
        <v>4574</v>
      </c>
      <c r="AG148" s="5"/>
      <c r="AH148" s="5"/>
      <c r="AI148" s="5" t="s">
        <v>73</v>
      </c>
      <c r="AJ148" s="5">
        <v>0</v>
      </c>
      <c r="AK148" s="5">
        <v>0</v>
      </c>
      <c r="AL148" s="5"/>
      <c r="AM148" s="5"/>
      <c r="AN148" s="5">
        <v>0</v>
      </c>
      <c r="AO148" s="5">
        <v>3</v>
      </c>
      <c r="AP148" s="5">
        <v>6.8000000000000005E-2</v>
      </c>
      <c r="AQ148" s="5" t="s">
        <v>713</v>
      </c>
      <c r="AR148" s="5" t="s">
        <v>1104</v>
      </c>
      <c r="AS148" s="5" t="s">
        <v>713</v>
      </c>
      <c r="AT148" s="6">
        <v>43832</v>
      </c>
      <c r="AU148" s="5" t="s">
        <v>4873</v>
      </c>
      <c r="AV148" s="5">
        <v>330</v>
      </c>
      <c r="AW148" s="5" t="s">
        <v>4874</v>
      </c>
    </row>
    <row r="149" spans="1:49" x14ac:dyDescent="0.55000000000000004">
      <c r="A149" s="5" t="str">
        <f>HYPERLINK("https://www.infodis.net/philips/net/Shipment/Details?InfodisNumber=6598105&amp;DomainCode=PHILIPSR1", "6598105")</f>
        <v>6598105</v>
      </c>
      <c r="B149" s="5" t="s">
        <v>4962</v>
      </c>
      <c r="C149" s="5" t="s">
        <v>4627</v>
      </c>
      <c r="D149" s="5" t="s">
        <v>4628</v>
      </c>
      <c r="E149" s="5" t="s">
        <v>4629</v>
      </c>
      <c r="F149" s="5"/>
      <c r="G149" s="5" t="s">
        <v>4630</v>
      </c>
      <c r="H149" s="5" t="s">
        <v>244</v>
      </c>
      <c r="I149" s="5"/>
      <c r="J149" s="5"/>
      <c r="K149" s="5" t="s">
        <v>4816</v>
      </c>
      <c r="L149" s="5" t="s">
        <v>244</v>
      </c>
      <c r="M149" s="5" t="s">
        <v>60</v>
      </c>
      <c r="N149" s="5"/>
      <c r="O149" s="5"/>
      <c r="P149" s="5" t="s">
        <v>250</v>
      </c>
      <c r="Q149" s="5"/>
      <c r="R149" s="5" t="s">
        <v>4817</v>
      </c>
      <c r="S149" s="6">
        <v>44011</v>
      </c>
      <c r="T149" s="6">
        <v>44011</v>
      </c>
      <c r="U149" s="6">
        <v>44011</v>
      </c>
      <c r="V149" s="5"/>
      <c r="W149" s="5"/>
      <c r="X149" s="5"/>
      <c r="Y149" s="5" t="s">
        <v>4750</v>
      </c>
      <c r="Z149" s="5"/>
      <c r="AA149" s="5"/>
      <c r="AB149" s="5" t="s">
        <v>67</v>
      </c>
      <c r="AC149" s="5" t="s">
        <v>68</v>
      </c>
      <c r="AD149" s="5" t="s">
        <v>68</v>
      </c>
      <c r="AE149" s="5"/>
      <c r="AF149" s="5" t="s">
        <v>4574</v>
      </c>
      <c r="AG149" s="5"/>
      <c r="AH149" s="5"/>
      <c r="AI149" s="5" t="s">
        <v>252</v>
      </c>
      <c r="AJ149" s="5">
        <v>0</v>
      </c>
      <c r="AK149" s="5">
        <v>0</v>
      </c>
      <c r="AL149" s="5"/>
      <c r="AM149" s="5"/>
      <c r="AN149" s="5">
        <v>32</v>
      </c>
      <c r="AO149" s="5">
        <v>4000</v>
      </c>
      <c r="AP149" s="5">
        <v>59.904000000000003</v>
      </c>
      <c r="AQ149" s="5" t="s">
        <v>713</v>
      </c>
      <c r="AR149" s="5" t="s">
        <v>1104</v>
      </c>
      <c r="AS149" s="5"/>
      <c r="AT149" s="5"/>
      <c r="AU149" s="5"/>
      <c r="AV149" s="5">
        <v>-1</v>
      </c>
      <c r="AW149" s="5" t="s">
        <v>4751</v>
      </c>
    </row>
    <row r="150" spans="1:49" x14ac:dyDescent="0.55000000000000004">
      <c r="A150" s="5" t="str">
        <f>HYPERLINK("https://www.infodis.net/philips/net/Shipment/Details?InfodisNumber=4173161&amp;DomainCode=DAP", "4173161")</f>
        <v>4173161</v>
      </c>
      <c r="B150" s="5" t="s">
        <v>4963</v>
      </c>
      <c r="C150" s="5" t="s">
        <v>4225</v>
      </c>
      <c r="D150" s="5" t="s">
        <v>4226</v>
      </c>
      <c r="E150" s="5" t="s">
        <v>1187</v>
      </c>
      <c r="F150" s="5"/>
      <c r="G150" s="5" t="s">
        <v>880</v>
      </c>
      <c r="H150" s="5" t="s">
        <v>881</v>
      </c>
      <c r="I150" s="5"/>
      <c r="J150" s="5"/>
      <c r="K150" s="5" t="s">
        <v>4964</v>
      </c>
      <c r="L150" s="5" t="s">
        <v>881</v>
      </c>
      <c r="M150" s="5" t="s">
        <v>60</v>
      </c>
      <c r="N150" s="5"/>
      <c r="O150" s="5"/>
      <c r="P150" s="5" t="s">
        <v>888</v>
      </c>
      <c r="Q150" s="5"/>
      <c r="R150" s="5" t="s">
        <v>4965</v>
      </c>
      <c r="S150" s="6">
        <v>43606</v>
      </c>
      <c r="T150" s="6">
        <v>43606</v>
      </c>
      <c r="U150" s="5"/>
      <c r="V150" s="5"/>
      <c r="W150" s="5"/>
      <c r="X150" s="5"/>
      <c r="Y150" s="5" t="s">
        <v>4776</v>
      </c>
      <c r="Z150" s="5"/>
      <c r="AA150" s="5"/>
      <c r="AB150" s="5" t="s">
        <v>67</v>
      </c>
      <c r="AC150" s="5" t="s">
        <v>68</v>
      </c>
      <c r="AD150" s="5" t="s">
        <v>68</v>
      </c>
      <c r="AE150" s="5"/>
      <c r="AF150" s="5" t="s">
        <v>4574</v>
      </c>
      <c r="AG150" s="5"/>
      <c r="AH150" s="5"/>
      <c r="AI150" s="5" t="s">
        <v>73</v>
      </c>
      <c r="AJ150" s="5">
        <v>0</v>
      </c>
      <c r="AK150" s="5">
        <v>0</v>
      </c>
      <c r="AL150" s="5"/>
      <c r="AM150" s="5"/>
      <c r="AN150" s="5">
        <v>0</v>
      </c>
      <c r="AO150" s="5">
        <v>2</v>
      </c>
      <c r="AP150" s="5">
        <v>0.02</v>
      </c>
      <c r="AQ150" s="5" t="s">
        <v>713</v>
      </c>
      <c r="AR150" s="5" t="s">
        <v>1104</v>
      </c>
      <c r="AS150" s="5" t="s">
        <v>713</v>
      </c>
      <c r="AT150" s="6">
        <v>43832</v>
      </c>
      <c r="AU150" s="5" t="s">
        <v>4873</v>
      </c>
      <c r="AV150" s="5">
        <v>330</v>
      </c>
      <c r="AW150" s="5" t="s">
        <v>4874</v>
      </c>
    </row>
    <row r="151" spans="1:49" x14ac:dyDescent="0.55000000000000004">
      <c r="A151" s="5" t="str">
        <f>HYPERLINK("https://www.infodis.net/philips/net/Shipment/Details?InfodisNumber=4138185&amp;DomainCode=DAP", "4138185")</f>
        <v>4138185</v>
      </c>
      <c r="B151" s="5" t="s">
        <v>4966</v>
      </c>
      <c r="C151" s="5" t="s">
        <v>4909</v>
      </c>
      <c r="D151" s="5" t="s">
        <v>4910</v>
      </c>
      <c r="E151" s="5" t="s">
        <v>4629</v>
      </c>
      <c r="F151" s="5" t="s">
        <v>4911</v>
      </c>
      <c r="G151" s="5" t="s">
        <v>4630</v>
      </c>
      <c r="H151" s="5" t="s">
        <v>244</v>
      </c>
      <c r="I151" s="5"/>
      <c r="J151" s="5"/>
      <c r="K151" s="5" t="s">
        <v>4912</v>
      </c>
      <c r="L151" s="5" t="s">
        <v>4913</v>
      </c>
      <c r="M151" s="5" t="s">
        <v>60</v>
      </c>
      <c r="N151" s="5"/>
      <c r="O151" s="5"/>
      <c r="P151" s="5" t="s">
        <v>250</v>
      </c>
      <c r="Q151" s="5"/>
      <c r="R151" s="5" t="s">
        <v>908</v>
      </c>
      <c r="S151" s="6">
        <v>43580</v>
      </c>
      <c r="T151" s="6">
        <v>43580</v>
      </c>
      <c r="U151" s="6">
        <v>43580</v>
      </c>
      <c r="V151" s="5"/>
      <c r="W151" s="5"/>
      <c r="X151" s="5"/>
      <c r="Y151" s="5" t="s">
        <v>4914</v>
      </c>
      <c r="Z151" s="5"/>
      <c r="AA151" s="5"/>
      <c r="AB151" s="5" t="s">
        <v>67</v>
      </c>
      <c r="AC151" s="5" t="s">
        <v>68</v>
      </c>
      <c r="AD151" s="5" t="s">
        <v>68</v>
      </c>
      <c r="AE151" s="5"/>
      <c r="AF151" s="5" t="s">
        <v>4574</v>
      </c>
      <c r="AG151" s="5"/>
      <c r="AH151" s="5"/>
      <c r="AI151" s="5" t="s">
        <v>73</v>
      </c>
      <c r="AJ151" s="5">
        <v>0</v>
      </c>
      <c r="AK151" s="5">
        <v>0</v>
      </c>
      <c r="AL151" s="5"/>
      <c r="AM151" s="5"/>
      <c r="AN151" s="5">
        <v>1</v>
      </c>
      <c r="AO151" s="5">
        <v>175</v>
      </c>
      <c r="AP151" s="5">
        <v>1.21</v>
      </c>
      <c r="AQ151" s="5" t="s">
        <v>713</v>
      </c>
      <c r="AR151" s="5" t="s">
        <v>1104</v>
      </c>
      <c r="AS151" s="5"/>
      <c r="AT151" s="5"/>
      <c r="AU151" s="5"/>
      <c r="AV151" s="5">
        <v>-1</v>
      </c>
      <c r="AW151" s="5" t="s">
        <v>2301</v>
      </c>
    </row>
    <row r="152" spans="1:49" x14ac:dyDescent="0.55000000000000004">
      <c r="A152" s="5" t="str">
        <f>HYPERLINK("https://www.infodis.net/philips/net/Shipment/Details?InfodisNumber=4126889&amp;DomainCode=DAP", "4126889")</f>
        <v>4126889</v>
      </c>
      <c r="B152" s="5" t="s">
        <v>4967</v>
      </c>
      <c r="C152" s="5" t="s">
        <v>4909</v>
      </c>
      <c r="D152" s="5" t="s">
        <v>4910</v>
      </c>
      <c r="E152" s="5" t="s">
        <v>4629</v>
      </c>
      <c r="F152" s="5" t="s">
        <v>4911</v>
      </c>
      <c r="G152" s="5" t="s">
        <v>4630</v>
      </c>
      <c r="H152" s="5" t="s">
        <v>244</v>
      </c>
      <c r="I152" s="5"/>
      <c r="J152" s="5"/>
      <c r="K152" s="5" t="s">
        <v>4912</v>
      </c>
      <c r="L152" s="5" t="s">
        <v>4913</v>
      </c>
      <c r="M152" s="5" t="s">
        <v>60</v>
      </c>
      <c r="N152" s="5"/>
      <c r="O152" s="5"/>
      <c r="P152" s="5" t="s">
        <v>250</v>
      </c>
      <c r="Q152" s="5"/>
      <c r="R152" s="5" t="s">
        <v>908</v>
      </c>
      <c r="S152" s="6">
        <v>43572</v>
      </c>
      <c r="T152" s="6">
        <v>43572</v>
      </c>
      <c r="U152" s="6">
        <v>43572</v>
      </c>
      <c r="V152" s="5"/>
      <c r="W152" s="5"/>
      <c r="X152" s="5"/>
      <c r="Y152" s="5" t="s">
        <v>4914</v>
      </c>
      <c r="Z152" s="5"/>
      <c r="AA152" s="5"/>
      <c r="AB152" s="5" t="s">
        <v>67</v>
      </c>
      <c r="AC152" s="5" t="s">
        <v>68</v>
      </c>
      <c r="AD152" s="5" t="s">
        <v>68</v>
      </c>
      <c r="AE152" s="5"/>
      <c r="AF152" s="5" t="s">
        <v>4574</v>
      </c>
      <c r="AG152" s="5"/>
      <c r="AH152" s="5"/>
      <c r="AI152" s="5" t="s">
        <v>73</v>
      </c>
      <c r="AJ152" s="5">
        <v>0</v>
      </c>
      <c r="AK152" s="5">
        <v>0</v>
      </c>
      <c r="AL152" s="5"/>
      <c r="AM152" s="5"/>
      <c r="AN152" s="5">
        <v>2</v>
      </c>
      <c r="AO152" s="5">
        <v>290</v>
      </c>
      <c r="AP152" s="5">
        <v>2.754</v>
      </c>
      <c r="AQ152" s="5" t="s">
        <v>713</v>
      </c>
      <c r="AR152" s="5" t="s">
        <v>1104</v>
      </c>
      <c r="AS152" s="5"/>
      <c r="AT152" s="5"/>
      <c r="AU152" s="5"/>
      <c r="AV152" s="5">
        <v>-1</v>
      </c>
      <c r="AW152" s="5" t="s">
        <v>2301</v>
      </c>
    </row>
    <row r="153" spans="1:49" x14ac:dyDescent="0.55000000000000004">
      <c r="A153" s="5" t="str">
        <f>HYPERLINK("https://www.infodis.net/philips/net/Shipment/Details?InfodisNumber=4083559&amp;DomainCode=DAP", "4083559")</f>
        <v>4083559</v>
      </c>
      <c r="B153" s="5" t="s">
        <v>4968</v>
      </c>
      <c r="C153" s="5" t="s">
        <v>2296</v>
      </c>
      <c r="D153" s="5" t="s">
        <v>2297</v>
      </c>
      <c r="E153" s="5" t="s">
        <v>4969</v>
      </c>
      <c r="F153" s="5" t="s">
        <v>4970</v>
      </c>
      <c r="G153" s="5" t="s">
        <v>4971</v>
      </c>
      <c r="H153" s="5" t="s">
        <v>1051</v>
      </c>
      <c r="I153" s="5"/>
      <c r="J153" s="5"/>
      <c r="K153" s="5" t="s">
        <v>425</v>
      </c>
      <c r="L153" s="5" t="s">
        <v>307</v>
      </c>
      <c r="M153" s="5" t="s">
        <v>60</v>
      </c>
      <c r="N153" s="5"/>
      <c r="O153" s="5"/>
      <c r="P153" s="5" t="s">
        <v>4972</v>
      </c>
      <c r="Q153" s="5"/>
      <c r="R153" s="5" t="s">
        <v>429</v>
      </c>
      <c r="S153" s="6">
        <v>43544</v>
      </c>
      <c r="T153" s="6">
        <v>43531</v>
      </c>
      <c r="U153" s="6">
        <v>43531</v>
      </c>
      <c r="V153" s="5"/>
      <c r="W153" s="5"/>
      <c r="X153" s="5"/>
      <c r="Y153" s="5" t="s">
        <v>4576</v>
      </c>
      <c r="Z153" s="5"/>
      <c r="AA153" s="5"/>
      <c r="AB153" s="5" t="s">
        <v>68</v>
      </c>
      <c r="AC153" s="5" t="s">
        <v>68</v>
      </c>
      <c r="AD153" s="5" t="s">
        <v>68</v>
      </c>
      <c r="AE153" s="5"/>
      <c r="AF153" s="5" t="s">
        <v>4574</v>
      </c>
      <c r="AG153" s="5"/>
      <c r="AH153" s="5"/>
      <c r="AI153" s="5" t="s">
        <v>73</v>
      </c>
      <c r="AJ153" s="5">
        <v>0</v>
      </c>
      <c r="AK153" s="5">
        <v>0</v>
      </c>
      <c r="AL153" s="5"/>
      <c r="AM153" s="5"/>
      <c r="AN153" s="5">
        <v>2</v>
      </c>
      <c r="AO153" s="5">
        <v>640</v>
      </c>
      <c r="AP153" s="5">
        <v>3.3290000000000002</v>
      </c>
      <c r="AQ153" s="5" t="s">
        <v>713</v>
      </c>
      <c r="AR153" s="5" t="s">
        <v>1104</v>
      </c>
      <c r="AS153" s="5"/>
      <c r="AT153" s="5"/>
      <c r="AU153" s="5"/>
      <c r="AV153" s="5">
        <v>-1</v>
      </c>
      <c r="AW153" s="5" t="s">
        <v>4973</v>
      </c>
    </row>
    <row r="154" spans="1:49" x14ac:dyDescent="0.55000000000000004">
      <c r="A154" s="5" t="str">
        <f>HYPERLINK("https://www.infodis.net/philips/net/Shipment/Details?InfodisNumber=4082012&amp;DomainCode=DAP", "4082012")</f>
        <v>4082012</v>
      </c>
      <c r="B154" s="5" t="s">
        <v>4974</v>
      </c>
      <c r="C154" s="5" t="s">
        <v>4225</v>
      </c>
      <c r="D154" s="5" t="s">
        <v>4226</v>
      </c>
      <c r="E154" s="5" t="s">
        <v>1187</v>
      </c>
      <c r="F154" s="5"/>
      <c r="G154" s="5" t="s">
        <v>880</v>
      </c>
      <c r="H154" s="5" t="s">
        <v>881</v>
      </c>
      <c r="I154" s="5"/>
      <c r="J154" s="5"/>
      <c r="K154" s="5" t="s">
        <v>4888</v>
      </c>
      <c r="L154" s="5" t="s">
        <v>881</v>
      </c>
      <c r="M154" s="5" t="s">
        <v>60</v>
      </c>
      <c r="N154" s="5"/>
      <c r="O154" s="5"/>
      <c r="P154" s="5" t="s">
        <v>888</v>
      </c>
      <c r="Q154" s="5"/>
      <c r="R154" s="5" t="s">
        <v>4975</v>
      </c>
      <c r="S154" s="6">
        <v>43543</v>
      </c>
      <c r="T154" s="6">
        <v>43543</v>
      </c>
      <c r="U154" s="5"/>
      <c r="V154" s="5"/>
      <c r="W154" s="5"/>
      <c r="X154" s="5"/>
      <c r="Y154" s="5" t="s">
        <v>4776</v>
      </c>
      <c r="Z154" s="5"/>
      <c r="AA154" s="5"/>
      <c r="AB154" s="5" t="s">
        <v>67</v>
      </c>
      <c r="AC154" s="5" t="s">
        <v>68</v>
      </c>
      <c r="AD154" s="5" t="s">
        <v>68</v>
      </c>
      <c r="AE154" s="5"/>
      <c r="AF154" s="5" t="s">
        <v>4574</v>
      </c>
      <c r="AG154" s="5"/>
      <c r="AH154" s="5"/>
      <c r="AI154" s="5" t="s">
        <v>73</v>
      </c>
      <c r="AJ154" s="5">
        <v>0</v>
      </c>
      <c r="AK154" s="5">
        <v>0</v>
      </c>
      <c r="AL154" s="5"/>
      <c r="AM154" s="5"/>
      <c r="AN154" s="5">
        <v>0</v>
      </c>
      <c r="AO154" s="5">
        <v>2</v>
      </c>
      <c r="AP154" s="5">
        <v>0.05</v>
      </c>
      <c r="AQ154" s="5" t="s">
        <v>713</v>
      </c>
      <c r="AR154" s="5" t="s">
        <v>1104</v>
      </c>
      <c r="AS154" s="5" t="s">
        <v>713</v>
      </c>
      <c r="AT154" s="6">
        <v>43832</v>
      </c>
      <c r="AU154" s="5" t="s">
        <v>4873</v>
      </c>
      <c r="AV154" s="5">
        <v>330</v>
      </c>
      <c r="AW154" s="5" t="s">
        <v>4874</v>
      </c>
    </row>
    <row r="155" spans="1:49" x14ac:dyDescent="0.55000000000000004">
      <c r="A155" s="5" t="str">
        <f>HYPERLINK("https://www.infodis.net/philips/net/Shipment/Details?InfodisNumber=4025451&amp;DomainCode=DAP", "4025451")</f>
        <v>4025451</v>
      </c>
      <c r="B155" s="5" t="s">
        <v>4976</v>
      </c>
      <c r="C155" s="5" t="s">
        <v>4909</v>
      </c>
      <c r="D155" s="5" t="s">
        <v>4910</v>
      </c>
      <c r="E155" s="5" t="s">
        <v>4629</v>
      </c>
      <c r="F155" s="5" t="s">
        <v>4911</v>
      </c>
      <c r="G155" s="5" t="s">
        <v>4630</v>
      </c>
      <c r="H155" s="5" t="s">
        <v>244</v>
      </c>
      <c r="I155" s="5"/>
      <c r="J155" s="5"/>
      <c r="K155" s="5" t="s">
        <v>4912</v>
      </c>
      <c r="L155" s="5" t="s">
        <v>4913</v>
      </c>
      <c r="M155" s="5" t="s">
        <v>60</v>
      </c>
      <c r="N155" s="5"/>
      <c r="O155" s="5"/>
      <c r="P155" s="5" t="s">
        <v>250</v>
      </c>
      <c r="Q155" s="5"/>
      <c r="R155" s="5" t="s">
        <v>908</v>
      </c>
      <c r="S155" s="6">
        <v>43507</v>
      </c>
      <c r="T155" s="6">
        <v>43507</v>
      </c>
      <c r="U155" s="6">
        <v>43507</v>
      </c>
      <c r="V155" s="5"/>
      <c r="W155" s="5"/>
      <c r="X155" s="5"/>
      <c r="Y155" s="5" t="s">
        <v>4914</v>
      </c>
      <c r="Z155" s="5"/>
      <c r="AA155" s="5"/>
      <c r="AB155" s="5" t="s">
        <v>67</v>
      </c>
      <c r="AC155" s="5" t="s">
        <v>68</v>
      </c>
      <c r="AD155" s="5" t="s">
        <v>68</v>
      </c>
      <c r="AE155" s="5"/>
      <c r="AF155" s="5" t="s">
        <v>4574</v>
      </c>
      <c r="AG155" s="5"/>
      <c r="AH155" s="5"/>
      <c r="AI155" s="5" t="s">
        <v>73</v>
      </c>
      <c r="AJ155" s="5">
        <v>0</v>
      </c>
      <c r="AK155" s="5">
        <v>0</v>
      </c>
      <c r="AL155" s="5"/>
      <c r="AM155" s="5"/>
      <c r="AN155" s="5">
        <v>1</v>
      </c>
      <c r="AO155" s="5">
        <v>105</v>
      </c>
      <c r="AP155" s="5">
        <v>0.69900000000000007</v>
      </c>
      <c r="AQ155" s="5" t="s">
        <v>713</v>
      </c>
      <c r="AR155" s="5" t="s">
        <v>1104</v>
      </c>
      <c r="AS155" s="5"/>
      <c r="AT155" s="5"/>
      <c r="AU155" s="5"/>
      <c r="AV155" s="5">
        <v>-1</v>
      </c>
      <c r="AW155" s="5" t="s">
        <v>2301</v>
      </c>
    </row>
    <row r="156" spans="1:49" x14ac:dyDescent="0.55000000000000004">
      <c r="A156" s="5" t="str">
        <f>HYPERLINK("https://www.infodis.net/philips/net/Shipment/Details?InfodisNumber=4023525&amp;DomainCode=DAP", "4023525")</f>
        <v>4023525</v>
      </c>
      <c r="B156" s="5" t="s">
        <v>4977</v>
      </c>
      <c r="C156" s="5" t="s">
        <v>4909</v>
      </c>
      <c r="D156" s="5" t="s">
        <v>4910</v>
      </c>
      <c r="E156" s="5" t="s">
        <v>4629</v>
      </c>
      <c r="F156" s="5" t="s">
        <v>4911</v>
      </c>
      <c r="G156" s="5" t="s">
        <v>4630</v>
      </c>
      <c r="H156" s="5" t="s">
        <v>244</v>
      </c>
      <c r="I156" s="5"/>
      <c r="J156" s="5"/>
      <c r="K156" s="5" t="s">
        <v>4912</v>
      </c>
      <c r="L156" s="5" t="s">
        <v>4913</v>
      </c>
      <c r="M156" s="5" t="s">
        <v>60</v>
      </c>
      <c r="N156" s="5"/>
      <c r="O156" s="5"/>
      <c r="P156" s="5" t="s">
        <v>250</v>
      </c>
      <c r="Q156" s="5"/>
      <c r="R156" s="5" t="s">
        <v>908</v>
      </c>
      <c r="S156" s="6">
        <v>43504</v>
      </c>
      <c r="T156" s="6">
        <v>43504</v>
      </c>
      <c r="U156" s="6">
        <v>43504</v>
      </c>
      <c r="V156" s="5"/>
      <c r="W156" s="5"/>
      <c r="X156" s="5"/>
      <c r="Y156" s="5" t="s">
        <v>4914</v>
      </c>
      <c r="Z156" s="5"/>
      <c r="AA156" s="5"/>
      <c r="AB156" s="5" t="s">
        <v>67</v>
      </c>
      <c r="AC156" s="5" t="s">
        <v>68</v>
      </c>
      <c r="AD156" s="5" t="s">
        <v>68</v>
      </c>
      <c r="AE156" s="5"/>
      <c r="AF156" s="5" t="s">
        <v>4574</v>
      </c>
      <c r="AG156" s="5"/>
      <c r="AH156" s="5"/>
      <c r="AI156" s="5" t="s">
        <v>73</v>
      </c>
      <c r="AJ156" s="5">
        <v>0</v>
      </c>
      <c r="AK156" s="5">
        <v>0</v>
      </c>
      <c r="AL156" s="5"/>
      <c r="AM156" s="5"/>
      <c r="AN156" s="5">
        <v>1</v>
      </c>
      <c r="AO156" s="5">
        <v>215</v>
      </c>
      <c r="AP156" s="5">
        <v>1.7709999999999999</v>
      </c>
      <c r="AQ156" s="5" t="s">
        <v>713</v>
      </c>
      <c r="AR156" s="5" t="s">
        <v>1104</v>
      </c>
      <c r="AS156" s="5"/>
      <c r="AT156" s="5"/>
      <c r="AU156" s="5"/>
      <c r="AV156" s="5">
        <v>-1</v>
      </c>
      <c r="AW156" s="5" t="s">
        <v>2301</v>
      </c>
    </row>
    <row r="157" spans="1:49" x14ac:dyDescent="0.55000000000000004">
      <c r="A157" s="5" t="str">
        <f>HYPERLINK("https://www.infodis.net/philips/net/Shipment/Details?InfodisNumber=4018238&amp;DomainCode=DAP", "4018238")</f>
        <v>4018238</v>
      </c>
      <c r="B157" s="5" t="s">
        <v>4978</v>
      </c>
      <c r="C157" s="5" t="s">
        <v>4909</v>
      </c>
      <c r="D157" s="5" t="s">
        <v>4910</v>
      </c>
      <c r="E157" s="5" t="s">
        <v>4629</v>
      </c>
      <c r="F157" s="5" t="s">
        <v>4911</v>
      </c>
      <c r="G157" s="5" t="s">
        <v>4630</v>
      </c>
      <c r="H157" s="5" t="s">
        <v>244</v>
      </c>
      <c r="I157" s="5"/>
      <c r="J157" s="5"/>
      <c r="K157" s="5" t="s">
        <v>4912</v>
      </c>
      <c r="L157" s="5" t="s">
        <v>4913</v>
      </c>
      <c r="M157" s="5" t="s">
        <v>60</v>
      </c>
      <c r="N157" s="5"/>
      <c r="O157" s="5"/>
      <c r="P157" s="5" t="s">
        <v>250</v>
      </c>
      <c r="Q157" s="5"/>
      <c r="R157" s="5" t="s">
        <v>908</v>
      </c>
      <c r="S157" s="6">
        <v>43501</v>
      </c>
      <c r="T157" s="6">
        <v>43501</v>
      </c>
      <c r="U157" s="6">
        <v>43501</v>
      </c>
      <c r="V157" s="5"/>
      <c r="W157" s="5"/>
      <c r="X157" s="5"/>
      <c r="Y157" s="5" t="s">
        <v>4914</v>
      </c>
      <c r="Z157" s="5"/>
      <c r="AA157" s="5"/>
      <c r="AB157" s="5" t="s">
        <v>67</v>
      </c>
      <c r="AC157" s="5" t="s">
        <v>68</v>
      </c>
      <c r="AD157" s="5" t="s">
        <v>68</v>
      </c>
      <c r="AE157" s="5"/>
      <c r="AF157" s="5" t="s">
        <v>4574</v>
      </c>
      <c r="AG157" s="5"/>
      <c r="AH157" s="5"/>
      <c r="AI157" s="5" t="s">
        <v>73</v>
      </c>
      <c r="AJ157" s="5">
        <v>0</v>
      </c>
      <c r="AK157" s="5">
        <v>0</v>
      </c>
      <c r="AL157" s="5"/>
      <c r="AM157" s="5"/>
      <c r="AN157" s="5">
        <v>1</v>
      </c>
      <c r="AO157" s="5">
        <v>65</v>
      </c>
      <c r="AP157" s="5">
        <v>0.55200000000000005</v>
      </c>
      <c r="AQ157" s="5" t="s">
        <v>713</v>
      </c>
      <c r="AR157" s="5" t="s">
        <v>1104</v>
      </c>
      <c r="AS157" s="5"/>
      <c r="AT157" s="5"/>
      <c r="AU157" s="5"/>
      <c r="AV157" s="5">
        <v>-1</v>
      </c>
      <c r="AW157" s="5" t="s">
        <v>2301</v>
      </c>
    </row>
    <row r="158" spans="1:49" x14ac:dyDescent="0.55000000000000004">
      <c r="A158" s="5" t="str">
        <f>HYPERLINK("https://www.infodis.net/philips/net/Shipment/Details?InfodisNumber=4025730&amp;DomainCode=DAP", "4025730")</f>
        <v>4025730</v>
      </c>
      <c r="B158" s="5" t="s">
        <v>4979</v>
      </c>
      <c r="C158" s="5" t="s">
        <v>4980</v>
      </c>
      <c r="D158" s="5" t="s">
        <v>4981</v>
      </c>
      <c r="E158" s="5" t="s">
        <v>4980</v>
      </c>
      <c r="F158" s="5" t="s">
        <v>2048</v>
      </c>
      <c r="G158" s="5" t="s">
        <v>4982</v>
      </c>
      <c r="H158" s="5" t="s">
        <v>1263</v>
      </c>
      <c r="I158" s="5"/>
      <c r="J158" s="5"/>
      <c r="K158" s="5" t="s">
        <v>4983</v>
      </c>
      <c r="L158" s="5" t="s">
        <v>1263</v>
      </c>
      <c r="M158" s="5" t="s">
        <v>84</v>
      </c>
      <c r="N158" s="5"/>
      <c r="O158" s="5"/>
      <c r="P158" s="5" t="s">
        <v>4984</v>
      </c>
      <c r="Q158" s="5"/>
      <c r="R158" s="5" t="s">
        <v>4985</v>
      </c>
      <c r="S158" s="6">
        <v>43507</v>
      </c>
      <c r="T158" s="6">
        <v>43508</v>
      </c>
      <c r="U158" s="6">
        <v>43508</v>
      </c>
      <c r="V158" s="5"/>
      <c r="W158" s="5"/>
      <c r="X158" s="5"/>
      <c r="Y158" s="5" t="s">
        <v>4643</v>
      </c>
      <c r="Z158" s="5"/>
      <c r="AA158" s="5"/>
      <c r="AB158" s="5" t="s">
        <v>67</v>
      </c>
      <c r="AC158" s="5" t="s">
        <v>68</v>
      </c>
      <c r="AD158" s="5" t="s">
        <v>68</v>
      </c>
      <c r="AE158" s="5"/>
      <c r="AF158" s="5" t="s">
        <v>4574</v>
      </c>
      <c r="AG158" s="5"/>
      <c r="AH158" s="5"/>
      <c r="AI158" s="5" t="s">
        <v>73</v>
      </c>
      <c r="AJ158" s="5">
        <v>0</v>
      </c>
      <c r="AK158" s="5">
        <v>0</v>
      </c>
      <c r="AL158" s="5"/>
      <c r="AM158" s="5"/>
      <c r="AN158" s="5">
        <v>3</v>
      </c>
      <c r="AO158" s="5">
        <v>250</v>
      </c>
      <c r="AP158" s="5">
        <v>4.6080000000000014</v>
      </c>
      <c r="AQ158" s="5" t="s">
        <v>713</v>
      </c>
      <c r="AR158" s="5" t="s">
        <v>1104</v>
      </c>
      <c r="AS158" s="5"/>
      <c r="AT158" s="5"/>
      <c r="AU158" s="5"/>
      <c r="AV158" s="5">
        <v>-1</v>
      </c>
      <c r="AW158" s="5" t="s">
        <v>4926</v>
      </c>
    </row>
    <row r="159" spans="1:49" x14ac:dyDescent="0.55000000000000004">
      <c r="A159" s="5" t="str">
        <f>HYPERLINK("https://www.infodis.net/philips/net/Shipment/Details?InfodisNumber=4054851&amp;DomainCode=DAP", "4054851")</f>
        <v>4054851</v>
      </c>
      <c r="B159" s="5" t="s">
        <v>4986</v>
      </c>
      <c r="C159" s="5" t="s">
        <v>4909</v>
      </c>
      <c r="D159" s="5" t="s">
        <v>4910</v>
      </c>
      <c r="E159" s="5" t="s">
        <v>4629</v>
      </c>
      <c r="F159" s="5" t="s">
        <v>4911</v>
      </c>
      <c r="G159" s="5" t="s">
        <v>4630</v>
      </c>
      <c r="H159" s="5" t="s">
        <v>244</v>
      </c>
      <c r="I159" s="5"/>
      <c r="J159" s="5"/>
      <c r="K159" s="5" t="s">
        <v>4912</v>
      </c>
      <c r="L159" s="5" t="s">
        <v>4913</v>
      </c>
      <c r="M159" s="5" t="s">
        <v>60</v>
      </c>
      <c r="N159" s="5"/>
      <c r="O159" s="5"/>
      <c r="P159" s="5" t="s">
        <v>250</v>
      </c>
      <c r="Q159" s="5"/>
      <c r="R159" s="5" t="s">
        <v>908</v>
      </c>
      <c r="S159" s="6">
        <v>43525</v>
      </c>
      <c r="T159" s="6">
        <v>43525</v>
      </c>
      <c r="U159" s="6">
        <v>43525</v>
      </c>
      <c r="V159" s="5"/>
      <c r="W159" s="5"/>
      <c r="X159" s="5"/>
      <c r="Y159" s="5" t="s">
        <v>4914</v>
      </c>
      <c r="Z159" s="5"/>
      <c r="AA159" s="5"/>
      <c r="AB159" s="5" t="s">
        <v>67</v>
      </c>
      <c r="AC159" s="5" t="s">
        <v>68</v>
      </c>
      <c r="AD159" s="5" t="s">
        <v>68</v>
      </c>
      <c r="AE159" s="5"/>
      <c r="AF159" s="5" t="s">
        <v>4574</v>
      </c>
      <c r="AG159" s="5"/>
      <c r="AH159" s="5"/>
      <c r="AI159" s="5" t="s">
        <v>73</v>
      </c>
      <c r="AJ159" s="5">
        <v>0</v>
      </c>
      <c r="AK159" s="5">
        <v>0</v>
      </c>
      <c r="AL159" s="5"/>
      <c r="AM159" s="5"/>
      <c r="AN159" s="5">
        <v>1</v>
      </c>
      <c r="AO159" s="5">
        <v>110</v>
      </c>
      <c r="AP159" s="5">
        <v>1.2</v>
      </c>
      <c r="AQ159" s="5" t="s">
        <v>713</v>
      </c>
      <c r="AR159" s="5" t="s">
        <v>1104</v>
      </c>
      <c r="AS159" s="5"/>
      <c r="AT159" s="5"/>
      <c r="AU159" s="5"/>
      <c r="AV159" s="5">
        <v>-1</v>
      </c>
      <c r="AW159" s="5" t="s">
        <v>2301</v>
      </c>
    </row>
    <row r="160" spans="1:49" x14ac:dyDescent="0.55000000000000004">
      <c r="A160" s="5" t="str">
        <f>HYPERLINK("https://www.infodis.net/philips/net/Shipment/Details?InfodisNumber=3988923&amp;DomainCode=DAP", "3988923")</f>
        <v>3988923</v>
      </c>
      <c r="B160" s="5" t="s">
        <v>4987</v>
      </c>
      <c r="C160" s="5" t="s">
        <v>4988</v>
      </c>
      <c r="D160" s="5" t="s">
        <v>4989</v>
      </c>
      <c r="E160" s="5" t="s">
        <v>2048</v>
      </c>
      <c r="F160" s="5" t="s">
        <v>4988</v>
      </c>
      <c r="G160" s="5" t="s">
        <v>1262</v>
      </c>
      <c r="H160" s="5" t="s">
        <v>1263</v>
      </c>
      <c r="I160" s="5"/>
      <c r="J160" s="5"/>
      <c r="K160" s="5" t="s">
        <v>4990</v>
      </c>
      <c r="L160" s="5" t="s">
        <v>1263</v>
      </c>
      <c r="M160" s="5" t="s">
        <v>60</v>
      </c>
      <c r="N160" s="5"/>
      <c r="O160" s="5"/>
      <c r="P160" s="5" t="s">
        <v>1264</v>
      </c>
      <c r="Q160" s="5"/>
      <c r="R160" s="5" t="s">
        <v>4985</v>
      </c>
      <c r="S160" s="6">
        <v>43482</v>
      </c>
      <c r="T160" s="6">
        <v>43482</v>
      </c>
      <c r="U160" s="6">
        <v>43483</v>
      </c>
      <c r="V160" s="5"/>
      <c r="W160" s="5"/>
      <c r="X160" s="5"/>
      <c r="Y160" s="5" t="s">
        <v>4643</v>
      </c>
      <c r="Z160" s="5"/>
      <c r="AA160" s="5"/>
      <c r="AB160" s="5" t="s">
        <v>67</v>
      </c>
      <c r="AC160" s="5" t="s">
        <v>68</v>
      </c>
      <c r="AD160" s="5" t="s">
        <v>68</v>
      </c>
      <c r="AE160" s="5"/>
      <c r="AF160" s="5" t="s">
        <v>4574</v>
      </c>
      <c r="AG160" s="5"/>
      <c r="AH160" s="5"/>
      <c r="AI160" s="5" t="s">
        <v>73</v>
      </c>
      <c r="AJ160" s="5">
        <v>0</v>
      </c>
      <c r="AK160" s="5">
        <v>0</v>
      </c>
      <c r="AL160" s="5"/>
      <c r="AM160" s="5"/>
      <c r="AN160" s="5">
        <v>3</v>
      </c>
      <c r="AO160" s="5">
        <v>220</v>
      </c>
      <c r="AP160" s="5">
        <v>3.456</v>
      </c>
      <c r="AQ160" s="5" t="s">
        <v>713</v>
      </c>
      <c r="AR160" s="5" t="s">
        <v>1104</v>
      </c>
      <c r="AS160" s="5"/>
      <c r="AT160" s="5"/>
      <c r="AU160" s="5"/>
      <c r="AV160" s="5">
        <v>-1</v>
      </c>
      <c r="AW160" s="5" t="s">
        <v>4926</v>
      </c>
    </row>
    <row r="161" spans="1:49" x14ac:dyDescent="0.55000000000000004">
      <c r="A161" s="5" t="str">
        <f>HYPERLINK("https://www.infodis.net/philips/net/Shipment/Details?InfodisNumber=3983067&amp;DomainCode=DAP", "3983067")</f>
        <v>3983067</v>
      </c>
      <c r="B161" s="5" t="s">
        <v>4991</v>
      </c>
      <c r="C161" s="5" t="s">
        <v>4980</v>
      </c>
      <c r="D161" s="5" t="s">
        <v>4981</v>
      </c>
      <c r="E161" s="5" t="s">
        <v>4980</v>
      </c>
      <c r="F161" s="5" t="s">
        <v>2048</v>
      </c>
      <c r="G161" s="5" t="s">
        <v>4982</v>
      </c>
      <c r="H161" s="5" t="s">
        <v>1263</v>
      </c>
      <c r="I161" s="5"/>
      <c r="J161" s="5"/>
      <c r="K161" s="5" t="s">
        <v>4983</v>
      </c>
      <c r="L161" s="5" t="s">
        <v>1263</v>
      </c>
      <c r="M161" s="5" t="s">
        <v>84</v>
      </c>
      <c r="N161" s="5"/>
      <c r="O161" s="5"/>
      <c r="P161" s="5" t="s">
        <v>4984</v>
      </c>
      <c r="Q161" s="5"/>
      <c r="R161" s="5" t="s">
        <v>4985</v>
      </c>
      <c r="S161" s="6">
        <v>43479</v>
      </c>
      <c r="T161" s="6">
        <v>43480</v>
      </c>
      <c r="U161" s="6">
        <v>43480</v>
      </c>
      <c r="V161" s="5"/>
      <c r="W161" s="5"/>
      <c r="X161" s="5"/>
      <c r="Y161" s="5" t="s">
        <v>4643</v>
      </c>
      <c r="Z161" s="5"/>
      <c r="AA161" s="5"/>
      <c r="AB161" s="5" t="s">
        <v>67</v>
      </c>
      <c r="AC161" s="5" t="s">
        <v>68</v>
      </c>
      <c r="AD161" s="5" t="s">
        <v>68</v>
      </c>
      <c r="AE161" s="5"/>
      <c r="AF161" s="5" t="s">
        <v>4574</v>
      </c>
      <c r="AG161" s="5"/>
      <c r="AH161" s="5"/>
      <c r="AI161" s="5" t="s">
        <v>73</v>
      </c>
      <c r="AJ161" s="5">
        <v>0</v>
      </c>
      <c r="AK161" s="5">
        <v>0</v>
      </c>
      <c r="AL161" s="5"/>
      <c r="AM161" s="5"/>
      <c r="AN161" s="5">
        <v>3</v>
      </c>
      <c r="AO161" s="5">
        <v>255</v>
      </c>
      <c r="AP161" s="5">
        <v>5.1840000000000002</v>
      </c>
      <c r="AQ161" s="5" t="s">
        <v>713</v>
      </c>
      <c r="AR161" s="5" t="s">
        <v>1104</v>
      </c>
      <c r="AS161" s="5"/>
      <c r="AT161" s="5"/>
      <c r="AU161" s="5"/>
      <c r="AV161" s="5">
        <v>-1</v>
      </c>
      <c r="AW161" s="5" t="s">
        <v>4926</v>
      </c>
    </row>
    <row r="162" spans="1:49" x14ac:dyDescent="0.55000000000000004">
      <c r="A162" s="5" t="str">
        <f>HYPERLINK("https://www.infodis.net/philips/net/Shipment/Details?InfodisNumber=3982569&amp;DomainCode=DAP", "3982569")</f>
        <v>3982569</v>
      </c>
      <c r="B162" s="5" t="s">
        <v>4992</v>
      </c>
      <c r="C162" s="5" t="s">
        <v>4739</v>
      </c>
      <c r="D162" s="5" t="s">
        <v>4740</v>
      </c>
      <c r="E162" s="5" t="s">
        <v>4739</v>
      </c>
      <c r="F162" s="5" t="s">
        <v>2048</v>
      </c>
      <c r="G162" s="5" t="s">
        <v>1262</v>
      </c>
      <c r="H162" s="5" t="s">
        <v>1263</v>
      </c>
      <c r="I162" s="5"/>
      <c r="J162" s="5"/>
      <c r="K162" s="5" t="s">
        <v>4742</v>
      </c>
      <c r="L162" s="5" t="s">
        <v>1263</v>
      </c>
      <c r="M162" s="5" t="s">
        <v>60</v>
      </c>
      <c r="N162" s="5"/>
      <c r="O162" s="5"/>
      <c r="P162" s="5" t="s">
        <v>1264</v>
      </c>
      <c r="Q162" s="5"/>
      <c r="R162" s="5" t="s">
        <v>4743</v>
      </c>
      <c r="S162" s="6">
        <v>43479</v>
      </c>
      <c r="T162" s="6">
        <v>43480</v>
      </c>
      <c r="U162" s="6">
        <v>43479</v>
      </c>
      <c r="V162" s="5"/>
      <c r="W162" s="5"/>
      <c r="X162" s="5"/>
      <c r="Y162" s="5" t="s">
        <v>4643</v>
      </c>
      <c r="Z162" s="5"/>
      <c r="AA162" s="5"/>
      <c r="AB162" s="5" t="s">
        <v>67</v>
      </c>
      <c r="AC162" s="5" t="s">
        <v>68</v>
      </c>
      <c r="AD162" s="5" t="s">
        <v>68</v>
      </c>
      <c r="AE162" s="5"/>
      <c r="AF162" s="5" t="s">
        <v>4574</v>
      </c>
      <c r="AG162" s="5"/>
      <c r="AH162" s="5"/>
      <c r="AI162" s="5" t="s">
        <v>73</v>
      </c>
      <c r="AJ162" s="5">
        <v>0</v>
      </c>
      <c r="AK162" s="5">
        <v>0</v>
      </c>
      <c r="AL162" s="5"/>
      <c r="AM162" s="5"/>
      <c r="AN162" s="5">
        <v>10</v>
      </c>
      <c r="AO162" s="5">
        <v>2000</v>
      </c>
      <c r="AP162" s="5">
        <v>19.007999999999999</v>
      </c>
      <c r="AQ162" s="5" t="s">
        <v>713</v>
      </c>
      <c r="AR162" s="5" t="s">
        <v>1104</v>
      </c>
      <c r="AS162" s="5"/>
      <c r="AT162" s="5"/>
      <c r="AU162" s="5"/>
      <c r="AV162" s="5">
        <v>-1</v>
      </c>
      <c r="AW162" s="5" t="s">
        <v>4926</v>
      </c>
    </row>
    <row r="163" spans="1:49" x14ac:dyDescent="0.55000000000000004">
      <c r="A163" s="5" t="str">
        <f>HYPERLINK("https://www.infodis.net/philips/net/Shipment/Details?InfodisNumber=4171163&amp;DomainCode=DAP", "4171163")</f>
        <v>4171163</v>
      </c>
      <c r="B163" s="5" t="s">
        <v>4993</v>
      </c>
      <c r="C163" s="5" t="s">
        <v>4843</v>
      </c>
      <c r="D163" s="5" t="s">
        <v>4844</v>
      </c>
      <c r="E163" s="5" t="s">
        <v>4741</v>
      </c>
      <c r="F163" s="5" t="s">
        <v>4994</v>
      </c>
      <c r="G163" s="5" t="s">
        <v>1262</v>
      </c>
      <c r="H163" s="5" t="s">
        <v>1263</v>
      </c>
      <c r="I163" s="5"/>
      <c r="J163" s="5"/>
      <c r="K163" s="5" t="s">
        <v>4995</v>
      </c>
      <c r="L163" s="5" t="s">
        <v>1263</v>
      </c>
      <c r="M163" s="5" t="s">
        <v>84</v>
      </c>
      <c r="N163" s="5"/>
      <c r="O163" s="5"/>
      <c r="P163" s="5" t="s">
        <v>1264</v>
      </c>
      <c r="Q163" s="5"/>
      <c r="R163" s="5" t="s">
        <v>4996</v>
      </c>
      <c r="S163" s="6">
        <v>43605</v>
      </c>
      <c r="T163" s="6">
        <v>43607</v>
      </c>
      <c r="U163" s="5"/>
      <c r="V163" s="5"/>
      <c r="W163" s="5"/>
      <c r="X163" s="5"/>
      <c r="Y163" s="5" t="s">
        <v>4997</v>
      </c>
      <c r="Z163" s="5"/>
      <c r="AA163" s="5"/>
      <c r="AB163" s="5" t="s">
        <v>67</v>
      </c>
      <c r="AC163" s="5" t="s">
        <v>68</v>
      </c>
      <c r="AD163" s="5" t="s">
        <v>68</v>
      </c>
      <c r="AE163" s="5"/>
      <c r="AF163" s="5" t="s">
        <v>4574</v>
      </c>
      <c r="AG163" s="5"/>
      <c r="AH163" s="5"/>
      <c r="AI163" s="5" t="s">
        <v>73</v>
      </c>
      <c r="AJ163" s="5">
        <v>0</v>
      </c>
      <c r="AK163" s="5">
        <v>0</v>
      </c>
      <c r="AL163" s="5"/>
      <c r="AM163" s="5"/>
      <c r="AN163" s="5">
        <v>9</v>
      </c>
      <c r="AO163" s="5">
        <v>2130</v>
      </c>
      <c r="AP163" s="5">
        <v>8.64</v>
      </c>
      <c r="AQ163" s="5" t="s">
        <v>713</v>
      </c>
      <c r="AR163" s="5" t="s">
        <v>1104</v>
      </c>
      <c r="AS163" s="5"/>
      <c r="AT163" s="5"/>
      <c r="AU163" s="5"/>
      <c r="AV163" s="5">
        <v>-1</v>
      </c>
      <c r="AW163" s="5" t="s">
        <v>1269</v>
      </c>
    </row>
    <row r="164" spans="1:49" x14ac:dyDescent="0.55000000000000004">
      <c r="A164" s="5" t="str">
        <f>HYPERLINK("https://www.infodis.net/philips/net/Shipment/Details?InfodisNumber=6877021&amp;DomainCode=PHILIPSR1", "6877021")</f>
        <v>6877021</v>
      </c>
      <c r="B164" s="5" t="s">
        <v>4998</v>
      </c>
      <c r="C164" s="5" t="s">
        <v>4627</v>
      </c>
      <c r="D164" s="5" t="s">
        <v>4628</v>
      </c>
      <c r="E164" s="5" t="s">
        <v>4629</v>
      </c>
      <c r="F164" s="5"/>
      <c r="G164" s="5" t="s">
        <v>4630</v>
      </c>
      <c r="H164" s="5" t="s">
        <v>244</v>
      </c>
      <c r="I164" s="5"/>
      <c r="J164" s="5"/>
      <c r="K164" s="5" t="s">
        <v>4758</v>
      </c>
      <c r="L164" s="5" t="s">
        <v>244</v>
      </c>
      <c r="M164" s="5" t="s">
        <v>60</v>
      </c>
      <c r="N164" s="5"/>
      <c r="O164" s="5"/>
      <c r="P164" s="5" t="s">
        <v>250</v>
      </c>
      <c r="Q164" s="5"/>
      <c r="R164" s="5" t="s">
        <v>4759</v>
      </c>
      <c r="S164" s="6">
        <v>44116</v>
      </c>
      <c r="T164" s="6">
        <v>44118</v>
      </c>
      <c r="U164" s="6">
        <v>44118</v>
      </c>
      <c r="V164" s="5"/>
      <c r="W164" s="5"/>
      <c r="X164" s="5"/>
      <c r="Y164" s="5" t="s">
        <v>4750</v>
      </c>
      <c r="Z164" s="5"/>
      <c r="AA164" s="5"/>
      <c r="AB164" s="5" t="s">
        <v>67</v>
      </c>
      <c r="AC164" s="5" t="s">
        <v>68</v>
      </c>
      <c r="AD164" s="5" t="s">
        <v>68</v>
      </c>
      <c r="AE164" s="5"/>
      <c r="AF164" s="5" t="s">
        <v>4574</v>
      </c>
      <c r="AG164" s="5"/>
      <c r="AH164" s="5"/>
      <c r="AI164" s="5" t="s">
        <v>252</v>
      </c>
      <c r="AJ164" s="5">
        <v>0</v>
      </c>
      <c r="AK164" s="5">
        <v>0</v>
      </c>
      <c r="AL164" s="5"/>
      <c r="AM164" s="5"/>
      <c r="AN164" s="5">
        <v>32</v>
      </c>
      <c r="AO164" s="5">
        <v>3200</v>
      </c>
      <c r="AP164" s="5">
        <v>48.23</v>
      </c>
      <c r="AQ164" s="5" t="s">
        <v>713</v>
      </c>
      <c r="AR164" s="5" t="s">
        <v>1104</v>
      </c>
      <c r="AS164" s="5"/>
      <c r="AT164" s="5"/>
      <c r="AU164" s="5"/>
      <c r="AV164" s="5">
        <v>-1</v>
      </c>
      <c r="AW164" s="5" t="s">
        <v>4760</v>
      </c>
    </row>
    <row r="165" spans="1:49" x14ac:dyDescent="0.55000000000000004">
      <c r="A165" s="5" t="str">
        <f>HYPERLINK("https://www.infodis.net/philips/net/Shipment/Details?InfodisNumber=4548076&amp;DomainCode=DAP", "4548076")</f>
        <v>4548076</v>
      </c>
      <c r="B165" s="5" t="s">
        <v>4999</v>
      </c>
      <c r="C165" s="5" t="s">
        <v>5000</v>
      </c>
      <c r="D165" s="5" t="s">
        <v>5001</v>
      </c>
      <c r="E165" s="5" t="s">
        <v>5002</v>
      </c>
      <c r="F165" s="5" t="s">
        <v>214</v>
      </c>
      <c r="G165" s="5" t="s">
        <v>5003</v>
      </c>
      <c r="H165" s="5" t="s">
        <v>55</v>
      </c>
      <c r="I165" s="5"/>
      <c r="J165" s="5"/>
      <c r="K165" s="5" t="s">
        <v>216</v>
      </c>
      <c r="L165" s="5" t="s">
        <v>55</v>
      </c>
      <c r="M165" s="5" t="s">
        <v>84</v>
      </c>
      <c r="N165" s="5"/>
      <c r="O165" s="5"/>
      <c r="P165" s="5" t="s">
        <v>5004</v>
      </c>
      <c r="Q165" s="5"/>
      <c r="R165" s="5" t="s">
        <v>496</v>
      </c>
      <c r="S165" s="6">
        <v>44137</v>
      </c>
      <c r="T165" s="6">
        <v>44138</v>
      </c>
      <c r="U165" s="6">
        <v>44138</v>
      </c>
      <c r="V165" s="5"/>
      <c r="W165" s="5"/>
      <c r="X165" s="5"/>
      <c r="Y165" s="5" t="s">
        <v>4576</v>
      </c>
      <c r="Z165" s="5"/>
      <c r="AA165" s="5"/>
      <c r="AB165" s="5" t="s">
        <v>67</v>
      </c>
      <c r="AC165" s="5" t="s">
        <v>68</v>
      </c>
      <c r="AD165" s="5" t="s">
        <v>68</v>
      </c>
      <c r="AE165" s="5"/>
      <c r="AF165" s="5" t="s">
        <v>4574</v>
      </c>
      <c r="AG165" s="5"/>
      <c r="AH165" s="5"/>
      <c r="AI165" s="5" t="s">
        <v>73</v>
      </c>
      <c r="AJ165" s="5">
        <v>0</v>
      </c>
      <c r="AK165" s="5">
        <v>0</v>
      </c>
      <c r="AL165" s="5"/>
      <c r="AM165" s="5"/>
      <c r="AN165" s="5">
        <v>1</v>
      </c>
      <c r="AO165" s="5">
        <v>50</v>
      </c>
      <c r="AP165" s="5">
        <v>0.84</v>
      </c>
      <c r="AQ165" s="5" t="s">
        <v>713</v>
      </c>
      <c r="AR165" s="5" t="s">
        <v>1104</v>
      </c>
      <c r="AS165" s="5"/>
      <c r="AT165" s="5"/>
      <c r="AU165" s="5"/>
      <c r="AV165" s="5">
        <v>-1</v>
      </c>
      <c r="AW165" s="5" t="s">
        <v>1269</v>
      </c>
    </row>
    <row r="166" spans="1:49" x14ac:dyDescent="0.55000000000000004">
      <c r="A166" s="5" t="str">
        <f>HYPERLINK("https://www.infodis.net/philips/net/Shipment/Details?InfodisNumber=6898746&amp;DomainCode=PHILIPSR1", "6898746")</f>
        <v>6898746</v>
      </c>
      <c r="B166" s="5" t="s">
        <v>5005</v>
      </c>
      <c r="C166" s="5" t="s">
        <v>2580</v>
      </c>
      <c r="D166" s="5" t="s">
        <v>2581</v>
      </c>
      <c r="E166" s="5" t="s">
        <v>1187</v>
      </c>
      <c r="F166" s="5" t="s">
        <v>5006</v>
      </c>
      <c r="G166" s="5" t="s">
        <v>880</v>
      </c>
      <c r="H166" s="5" t="s">
        <v>881</v>
      </c>
      <c r="I166" s="5"/>
      <c r="J166" s="5"/>
      <c r="K166" s="5" t="s">
        <v>5007</v>
      </c>
      <c r="L166" s="5" t="s">
        <v>2384</v>
      </c>
      <c r="M166" s="5" t="s">
        <v>1489</v>
      </c>
      <c r="N166" s="5"/>
      <c r="O166" s="5"/>
      <c r="P166" s="5" t="s">
        <v>888</v>
      </c>
      <c r="Q166" s="5"/>
      <c r="R166" s="5" t="s">
        <v>2578</v>
      </c>
      <c r="S166" s="6">
        <v>44119</v>
      </c>
      <c r="T166" s="6">
        <v>44119</v>
      </c>
      <c r="U166" s="6">
        <v>44119</v>
      </c>
      <c r="V166" s="5"/>
      <c r="W166" s="5"/>
      <c r="X166" s="5"/>
      <c r="Y166" s="5" t="s">
        <v>4608</v>
      </c>
      <c r="Z166" s="5"/>
      <c r="AA166" s="5"/>
      <c r="AB166" s="5" t="s">
        <v>67</v>
      </c>
      <c r="AC166" s="5" t="s">
        <v>68</v>
      </c>
      <c r="AD166" s="5" t="s">
        <v>68</v>
      </c>
      <c r="AE166" s="5"/>
      <c r="AF166" s="5" t="s">
        <v>4574</v>
      </c>
      <c r="AG166" s="5"/>
      <c r="AH166" s="5"/>
      <c r="AI166" s="5" t="s">
        <v>252</v>
      </c>
      <c r="AJ166" s="5">
        <v>0</v>
      </c>
      <c r="AK166" s="5">
        <v>0</v>
      </c>
      <c r="AL166" s="5"/>
      <c r="AM166" s="5"/>
      <c r="AN166" s="5">
        <v>1</v>
      </c>
      <c r="AO166" s="5">
        <v>86</v>
      </c>
      <c r="AP166" s="5">
        <v>1.3440000000000001</v>
      </c>
      <c r="AQ166" s="5" t="s">
        <v>713</v>
      </c>
      <c r="AR166" s="5" t="s">
        <v>1104</v>
      </c>
      <c r="AS166" s="5"/>
      <c r="AT166" s="5"/>
      <c r="AU166" s="5"/>
      <c r="AV166" s="5">
        <v>-1</v>
      </c>
      <c r="AW166" s="5" t="s">
        <v>5008</v>
      </c>
    </row>
    <row r="167" spans="1:49" x14ac:dyDescent="0.55000000000000004">
      <c r="A167" s="5" t="str">
        <f>HYPERLINK("https://www.infodis.net/philips/net/Shipment/Details?InfodisNumber=6958747&amp;DomainCode=PHILIPSR1", "6958747")</f>
        <v>6958747</v>
      </c>
      <c r="B167" s="5" t="s">
        <v>5009</v>
      </c>
      <c r="C167" s="5" t="s">
        <v>4627</v>
      </c>
      <c r="D167" s="5" t="s">
        <v>4628</v>
      </c>
      <c r="E167" s="5" t="s">
        <v>4629</v>
      </c>
      <c r="F167" s="5" t="s">
        <v>915</v>
      </c>
      <c r="G167" s="5" t="s">
        <v>4630</v>
      </c>
      <c r="H167" s="5" t="s">
        <v>244</v>
      </c>
      <c r="I167" s="5"/>
      <c r="J167" s="5"/>
      <c r="K167" s="5" t="s">
        <v>918</v>
      </c>
      <c r="L167" s="5" t="s">
        <v>881</v>
      </c>
      <c r="M167" s="5" t="s">
        <v>60</v>
      </c>
      <c r="N167" s="5"/>
      <c r="O167" s="5"/>
      <c r="P167" s="5" t="s">
        <v>250</v>
      </c>
      <c r="Q167" s="5"/>
      <c r="R167" s="5" t="s">
        <v>888</v>
      </c>
      <c r="S167" s="6">
        <v>44141</v>
      </c>
      <c r="T167" s="6">
        <v>44144</v>
      </c>
      <c r="U167" s="5"/>
      <c r="V167" s="5"/>
      <c r="W167" s="5"/>
      <c r="X167" s="5"/>
      <c r="Y167" s="5" t="s">
        <v>4608</v>
      </c>
      <c r="Z167" s="5"/>
      <c r="AA167" s="5"/>
      <c r="AB167" s="5" t="s">
        <v>67</v>
      </c>
      <c r="AC167" s="5" t="s">
        <v>68</v>
      </c>
      <c r="AD167" s="5" t="s">
        <v>68</v>
      </c>
      <c r="AE167" s="5"/>
      <c r="AF167" s="5" t="s">
        <v>4574</v>
      </c>
      <c r="AG167" s="5"/>
      <c r="AH167" s="5"/>
      <c r="AI167" s="5" t="s">
        <v>252</v>
      </c>
      <c r="AJ167" s="5">
        <v>0</v>
      </c>
      <c r="AK167" s="5">
        <v>0</v>
      </c>
      <c r="AL167" s="5"/>
      <c r="AM167" s="5"/>
      <c r="AN167" s="5">
        <v>21</v>
      </c>
      <c r="AO167" s="5">
        <v>3360</v>
      </c>
      <c r="AP167" s="5">
        <v>30.995999999999999</v>
      </c>
      <c r="AQ167" s="5" t="s">
        <v>713</v>
      </c>
      <c r="AR167" s="5" t="s">
        <v>1104</v>
      </c>
      <c r="AS167" s="5"/>
      <c r="AT167" s="5"/>
      <c r="AU167" s="5"/>
      <c r="AV167" s="5">
        <v>-1</v>
      </c>
      <c r="AW167" s="5" t="s">
        <v>4751</v>
      </c>
    </row>
    <row r="168" spans="1:49" x14ac:dyDescent="0.55000000000000004">
      <c r="A168" s="5" t="str">
        <f>HYPERLINK("https://www.infodis.net/philips/net/Shipment/Details?InfodisNumber=1382504&amp;DomainCode=PHILIPSM1", "1382504")</f>
        <v>1382504</v>
      </c>
      <c r="B168" s="5" t="s">
        <v>5010</v>
      </c>
      <c r="C168" s="5" t="s">
        <v>5011</v>
      </c>
      <c r="D168" s="5" t="s">
        <v>5012</v>
      </c>
      <c r="E168" s="5"/>
      <c r="F168" s="5" t="s">
        <v>4674</v>
      </c>
      <c r="G168" s="5" t="s">
        <v>5013</v>
      </c>
      <c r="H168" s="5" t="s">
        <v>5014</v>
      </c>
      <c r="I168" s="5"/>
      <c r="J168" s="5"/>
      <c r="K168" s="5" t="s">
        <v>3867</v>
      </c>
      <c r="L168" s="5" t="s">
        <v>55</v>
      </c>
      <c r="M168" s="5" t="s">
        <v>84</v>
      </c>
      <c r="N168" s="5"/>
      <c r="O168" s="5"/>
      <c r="P168" s="5" t="s">
        <v>5015</v>
      </c>
      <c r="Q168" s="5"/>
      <c r="R168" s="5" t="s">
        <v>3868</v>
      </c>
      <c r="S168" s="6">
        <v>44057</v>
      </c>
      <c r="T168" s="6">
        <v>44057</v>
      </c>
      <c r="U168" s="6">
        <v>44063</v>
      </c>
      <c r="V168" s="5"/>
      <c r="W168" s="5"/>
      <c r="X168" s="5"/>
      <c r="Y168" s="5" t="s">
        <v>4624</v>
      </c>
      <c r="Z168" s="5"/>
      <c r="AA168" s="5"/>
      <c r="AB168" s="5" t="s">
        <v>67</v>
      </c>
      <c r="AC168" s="5" t="s">
        <v>68</v>
      </c>
      <c r="AD168" s="5" t="s">
        <v>68</v>
      </c>
      <c r="AE168" s="5"/>
      <c r="AF168" s="5" t="s">
        <v>70</v>
      </c>
      <c r="AG168" s="5"/>
      <c r="AH168" s="5"/>
      <c r="AI168" s="5" t="s">
        <v>3933</v>
      </c>
      <c r="AJ168" s="5">
        <v>0</v>
      </c>
      <c r="AK168" s="5">
        <v>0</v>
      </c>
      <c r="AL168" s="5"/>
      <c r="AM168" s="5"/>
      <c r="AN168" s="5">
        <v>0</v>
      </c>
      <c r="AO168" s="5">
        <v>5</v>
      </c>
      <c r="AP168" s="5">
        <v>1.4999999999999999E-2</v>
      </c>
      <c r="AQ168" s="5" t="s">
        <v>713</v>
      </c>
      <c r="AR168" s="5" t="s">
        <v>1104</v>
      </c>
      <c r="AS168" s="5"/>
      <c r="AT168" s="5"/>
      <c r="AU168" s="5"/>
      <c r="AV168" s="5">
        <v>-1</v>
      </c>
      <c r="AW168" s="5" t="s">
        <v>1269</v>
      </c>
    </row>
    <row r="169" spans="1:49" x14ac:dyDescent="0.55000000000000004">
      <c r="A169" s="5" t="str">
        <f>HYPERLINK("https://www.infodis.net/philips/net/Shipment/Details?InfodisNumber=6670577&amp;DomainCode=PHILIPSR1", "6670577")</f>
        <v>6670577</v>
      </c>
      <c r="B169" s="5" t="s">
        <v>5016</v>
      </c>
      <c r="C169" s="5" t="s">
        <v>4627</v>
      </c>
      <c r="D169" s="5" t="s">
        <v>4628</v>
      </c>
      <c r="E169" s="5" t="s">
        <v>4629</v>
      </c>
      <c r="F169" s="5" t="s">
        <v>915</v>
      </c>
      <c r="G169" s="5" t="s">
        <v>4630</v>
      </c>
      <c r="H169" s="5" t="s">
        <v>244</v>
      </c>
      <c r="I169" s="5"/>
      <c r="J169" s="5"/>
      <c r="K169" s="5" t="s">
        <v>918</v>
      </c>
      <c r="L169" s="5" t="s">
        <v>881</v>
      </c>
      <c r="M169" s="5" t="s">
        <v>60</v>
      </c>
      <c r="N169" s="5"/>
      <c r="O169" s="5"/>
      <c r="P169" s="5" t="s">
        <v>250</v>
      </c>
      <c r="Q169" s="5"/>
      <c r="R169" s="5" t="s">
        <v>888</v>
      </c>
      <c r="S169" s="6">
        <v>44040</v>
      </c>
      <c r="T169" s="6">
        <v>44040</v>
      </c>
      <c r="U169" s="6">
        <v>44040</v>
      </c>
      <c r="V169" s="5"/>
      <c r="W169" s="5"/>
      <c r="X169" s="5"/>
      <c r="Y169" s="5" t="s">
        <v>4750</v>
      </c>
      <c r="Z169" s="5"/>
      <c r="AA169" s="5"/>
      <c r="AB169" s="5" t="s">
        <v>67</v>
      </c>
      <c r="AC169" s="5" t="s">
        <v>68</v>
      </c>
      <c r="AD169" s="5" t="s">
        <v>68</v>
      </c>
      <c r="AE169" s="5"/>
      <c r="AF169" s="5" t="s">
        <v>4574</v>
      </c>
      <c r="AG169" s="5"/>
      <c r="AH169" s="5"/>
      <c r="AI169" s="5" t="s">
        <v>252</v>
      </c>
      <c r="AJ169" s="5">
        <v>0</v>
      </c>
      <c r="AK169" s="5">
        <v>0</v>
      </c>
      <c r="AL169" s="5"/>
      <c r="AM169" s="5"/>
      <c r="AN169" s="5">
        <v>7</v>
      </c>
      <c r="AO169" s="5">
        <v>641</v>
      </c>
      <c r="AP169" s="5">
        <v>9.8789999999999996</v>
      </c>
      <c r="AQ169" s="5" t="s">
        <v>713</v>
      </c>
      <c r="AR169" s="5" t="s">
        <v>1104</v>
      </c>
      <c r="AS169" s="5"/>
      <c r="AT169" s="5"/>
      <c r="AU169" s="5"/>
      <c r="AV169" s="5">
        <v>-1</v>
      </c>
      <c r="AW169" s="5" t="s">
        <v>4751</v>
      </c>
    </row>
    <row r="170" spans="1:49" x14ac:dyDescent="0.55000000000000004">
      <c r="A170" s="5" t="str">
        <f>HYPERLINK("https://www.infodis.net/philips/net/Shipment/Details?InfodisNumber=4169572&amp;DomainCode=DAP", "4169572")</f>
        <v>4169572</v>
      </c>
      <c r="B170" s="5" t="s">
        <v>5017</v>
      </c>
      <c r="C170" s="5" t="s">
        <v>4739</v>
      </c>
      <c r="D170" s="5" t="s">
        <v>4740</v>
      </c>
      <c r="E170" s="5" t="s">
        <v>2048</v>
      </c>
      <c r="F170" s="5" t="s">
        <v>4739</v>
      </c>
      <c r="G170" s="5" t="s">
        <v>1262</v>
      </c>
      <c r="H170" s="5" t="s">
        <v>1263</v>
      </c>
      <c r="I170" s="5"/>
      <c r="J170" s="5"/>
      <c r="K170" s="5" t="s">
        <v>4742</v>
      </c>
      <c r="L170" s="5" t="s">
        <v>1263</v>
      </c>
      <c r="M170" s="5" t="s">
        <v>60</v>
      </c>
      <c r="N170" s="5"/>
      <c r="O170" s="5"/>
      <c r="P170" s="5" t="s">
        <v>1264</v>
      </c>
      <c r="Q170" s="5"/>
      <c r="R170" s="5" t="s">
        <v>4743</v>
      </c>
      <c r="S170" s="6">
        <v>43602</v>
      </c>
      <c r="T170" s="6">
        <v>43606</v>
      </c>
      <c r="U170" s="6">
        <v>43606</v>
      </c>
      <c r="V170" s="5"/>
      <c r="W170" s="5"/>
      <c r="X170" s="5"/>
      <c r="Y170" s="5" t="s">
        <v>4643</v>
      </c>
      <c r="Z170" s="5"/>
      <c r="AA170" s="5"/>
      <c r="AB170" s="5" t="s">
        <v>67</v>
      </c>
      <c r="AC170" s="5" t="s">
        <v>68</v>
      </c>
      <c r="AD170" s="5" t="s">
        <v>68</v>
      </c>
      <c r="AE170" s="5"/>
      <c r="AF170" s="5" t="s">
        <v>4574</v>
      </c>
      <c r="AG170" s="5"/>
      <c r="AH170" s="5"/>
      <c r="AI170" s="5" t="s">
        <v>73</v>
      </c>
      <c r="AJ170" s="5">
        <v>0</v>
      </c>
      <c r="AK170" s="5">
        <v>0</v>
      </c>
      <c r="AL170" s="5"/>
      <c r="AM170" s="5"/>
      <c r="AN170" s="5">
        <v>12</v>
      </c>
      <c r="AO170" s="5">
        <v>2150</v>
      </c>
      <c r="AP170" s="5">
        <v>21.216000000000001</v>
      </c>
      <c r="AQ170" s="5" t="s">
        <v>713</v>
      </c>
      <c r="AR170" s="5" t="s">
        <v>1104</v>
      </c>
      <c r="AS170" s="5"/>
      <c r="AT170" s="5"/>
      <c r="AU170" s="5"/>
      <c r="AV170" s="5">
        <v>-1</v>
      </c>
      <c r="AW170" s="5" t="s">
        <v>4926</v>
      </c>
    </row>
    <row r="171" spans="1:49" x14ac:dyDescent="0.55000000000000004">
      <c r="A171" s="5" t="str">
        <f>HYPERLINK("https://www.infodis.net/philips/net/Shipment/Details?InfodisNumber=4023203&amp;DomainCode=DAP", "4023203")</f>
        <v>4023203</v>
      </c>
      <c r="B171" s="5" t="s">
        <v>5018</v>
      </c>
      <c r="C171" s="5" t="s">
        <v>5019</v>
      </c>
      <c r="D171" s="5" t="s">
        <v>5020</v>
      </c>
      <c r="E171" s="5" t="s">
        <v>5021</v>
      </c>
      <c r="F171" s="5" t="s">
        <v>214</v>
      </c>
      <c r="G171" s="5" t="s">
        <v>5022</v>
      </c>
      <c r="H171" s="5" t="s">
        <v>1051</v>
      </c>
      <c r="I171" s="5"/>
      <c r="J171" s="5"/>
      <c r="K171" s="5" t="s">
        <v>5023</v>
      </c>
      <c r="L171" s="5" t="s">
        <v>244</v>
      </c>
      <c r="M171" s="5" t="s">
        <v>60</v>
      </c>
      <c r="N171" s="5"/>
      <c r="O171" s="5"/>
      <c r="P171" s="5" t="s">
        <v>5024</v>
      </c>
      <c r="Q171" s="5"/>
      <c r="R171" s="5" t="s">
        <v>5025</v>
      </c>
      <c r="S171" s="6">
        <v>43504</v>
      </c>
      <c r="T171" s="6">
        <v>43507</v>
      </c>
      <c r="U171" s="6">
        <v>43507</v>
      </c>
      <c r="V171" s="5"/>
      <c r="W171" s="5"/>
      <c r="X171" s="5"/>
      <c r="Y171" s="5" t="s">
        <v>4576</v>
      </c>
      <c r="Z171" s="5"/>
      <c r="AA171" s="5"/>
      <c r="AB171" s="5" t="s">
        <v>67</v>
      </c>
      <c r="AC171" s="5" t="s">
        <v>68</v>
      </c>
      <c r="AD171" s="5" t="s">
        <v>68</v>
      </c>
      <c r="AE171" s="5"/>
      <c r="AF171" s="5" t="s">
        <v>4574</v>
      </c>
      <c r="AG171" s="5"/>
      <c r="AH171" s="5"/>
      <c r="AI171" s="5" t="s">
        <v>73</v>
      </c>
      <c r="AJ171" s="5">
        <v>0</v>
      </c>
      <c r="AK171" s="5">
        <v>0</v>
      </c>
      <c r="AL171" s="5"/>
      <c r="AM171" s="5"/>
      <c r="AN171" s="5">
        <v>1</v>
      </c>
      <c r="AO171" s="5">
        <v>194</v>
      </c>
      <c r="AP171" s="5">
        <v>0.97900000000000009</v>
      </c>
      <c r="AQ171" s="5" t="s">
        <v>713</v>
      </c>
      <c r="AR171" s="5" t="s">
        <v>1104</v>
      </c>
      <c r="AS171" s="5" t="s">
        <v>713</v>
      </c>
      <c r="AT171" s="6">
        <v>43795</v>
      </c>
      <c r="AU171" s="5" t="s">
        <v>5026</v>
      </c>
      <c r="AV171" s="5">
        <v>367</v>
      </c>
      <c r="AW171" s="5" t="s">
        <v>5027</v>
      </c>
    </row>
    <row r="172" spans="1:49" x14ac:dyDescent="0.55000000000000004">
      <c r="A172" s="5" t="str">
        <f>HYPERLINK("https://www.infodis.net/philips/net/Shipment/Details?InfodisNumber=4025736&amp;DomainCode=DAP", "4025736")</f>
        <v>4025736</v>
      </c>
      <c r="B172" s="5" t="s">
        <v>5028</v>
      </c>
      <c r="C172" s="5" t="s">
        <v>4225</v>
      </c>
      <c r="D172" s="5" t="s">
        <v>4226</v>
      </c>
      <c r="E172" s="5" t="s">
        <v>1187</v>
      </c>
      <c r="F172" s="5"/>
      <c r="G172" s="5" t="s">
        <v>880</v>
      </c>
      <c r="H172" s="5" t="s">
        <v>881</v>
      </c>
      <c r="I172" s="5"/>
      <c r="J172" s="5"/>
      <c r="K172" s="5" t="s">
        <v>4888</v>
      </c>
      <c r="L172" s="5" t="s">
        <v>881</v>
      </c>
      <c r="M172" s="5" t="s">
        <v>60</v>
      </c>
      <c r="N172" s="5"/>
      <c r="O172" s="5"/>
      <c r="P172" s="5" t="s">
        <v>888</v>
      </c>
      <c r="Q172" s="5"/>
      <c r="R172" s="5" t="s">
        <v>5029</v>
      </c>
      <c r="S172" s="6">
        <v>43507</v>
      </c>
      <c r="T172" s="6">
        <v>43507</v>
      </c>
      <c r="U172" s="5"/>
      <c r="V172" s="5"/>
      <c r="W172" s="5"/>
      <c r="X172" s="5"/>
      <c r="Y172" s="5" t="s">
        <v>4776</v>
      </c>
      <c r="Z172" s="5"/>
      <c r="AA172" s="5"/>
      <c r="AB172" s="5" t="s">
        <v>67</v>
      </c>
      <c r="AC172" s="5" t="s">
        <v>68</v>
      </c>
      <c r="AD172" s="5" t="s">
        <v>68</v>
      </c>
      <c r="AE172" s="5"/>
      <c r="AF172" s="5" t="s">
        <v>4574</v>
      </c>
      <c r="AG172" s="5"/>
      <c r="AH172" s="5"/>
      <c r="AI172" s="5" t="s">
        <v>73</v>
      </c>
      <c r="AJ172" s="5">
        <v>0</v>
      </c>
      <c r="AK172" s="5">
        <v>0</v>
      </c>
      <c r="AL172" s="5"/>
      <c r="AM172" s="5"/>
      <c r="AN172" s="5">
        <v>0</v>
      </c>
      <c r="AO172" s="5">
        <v>23</v>
      </c>
      <c r="AP172" s="5">
        <v>0.44800000000000001</v>
      </c>
      <c r="AQ172" s="5" t="s">
        <v>713</v>
      </c>
      <c r="AR172" s="5" t="s">
        <v>1104</v>
      </c>
      <c r="AS172" s="5" t="s">
        <v>713</v>
      </c>
      <c r="AT172" s="6">
        <v>43832</v>
      </c>
      <c r="AU172" s="5" t="s">
        <v>4873</v>
      </c>
      <c r="AV172" s="5">
        <v>330</v>
      </c>
      <c r="AW172" s="5" t="s">
        <v>4874</v>
      </c>
    </row>
    <row r="173" spans="1:49" x14ac:dyDescent="0.55000000000000004">
      <c r="A173" s="5" t="str">
        <f>HYPERLINK("https://www.infodis.net/philips/net/Shipment/Details?InfodisNumber=4560467&amp;DomainCode=DAP", "4560467")</f>
        <v>4560467</v>
      </c>
      <c r="B173" s="5" t="s">
        <v>5030</v>
      </c>
      <c r="C173" s="5" t="s">
        <v>2207</v>
      </c>
      <c r="D173" s="5" t="s">
        <v>2208</v>
      </c>
      <c r="E173" s="5" t="s">
        <v>214</v>
      </c>
      <c r="F173" s="5" t="s">
        <v>214</v>
      </c>
      <c r="G173" s="5" t="s">
        <v>259</v>
      </c>
      <c r="H173" s="5" t="s">
        <v>260</v>
      </c>
      <c r="I173" s="5"/>
      <c r="J173" s="5"/>
      <c r="K173" s="5" t="s">
        <v>5031</v>
      </c>
      <c r="L173" s="5" t="s">
        <v>55</v>
      </c>
      <c r="M173" s="5" t="s">
        <v>60</v>
      </c>
      <c r="N173" s="5"/>
      <c r="O173" s="5"/>
      <c r="P173" s="5" t="s">
        <v>2211</v>
      </c>
      <c r="Q173" s="5"/>
      <c r="R173" s="5" t="s">
        <v>5032</v>
      </c>
      <c r="S173" s="6">
        <v>44153</v>
      </c>
      <c r="T173" s="6">
        <v>44155</v>
      </c>
      <c r="U173" s="6">
        <v>44155</v>
      </c>
      <c r="V173" s="5"/>
      <c r="W173" s="5"/>
      <c r="X173" s="5"/>
      <c r="Y173" s="5" t="s">
        <v>4566</v>
      </c>
      <c r="Z173" s="5"/>
      <c r="AA173" s="5"/>
      <c r="AB173" s="5" t="s">
        <v>67</v>
      </c>
      <c r="AC173" s="5" t="s">
        <v>68</v>
      </c>
      <c r="AD173" s="5" t="s">
        <v>68</v>
      </c>
      <c r="AE173" s="5"/>
      <c r="AF173" s="5" t="s">
        <v>70</v>
      </c>
      <c r="AG173" s="5"/>
      <c r="AH173" s="5"/>
      <c r="AI173" s="5" t="s">
        <v>73</v>
      </c>
      <c r="AJ173" s="5">
        <v>0</v>
      </c>
      <c r="AK173" s="5">
        <v>0</v>
      </c>
      <c r="AL173" s="5"/>
      <c r="AM173" s="5"/>
      <c r="AN173" s="5">
        <v>33</v>
      </c>
      <c r="AO173" s="5">
        <v>1526</v>
      </c>
      <c r="AP173" s="5">
        <v>72.695999999999998</v>
      </c>
      <c r="AQ173" s="5" t="s">
        <v>713</v>
      </c>
      <c r="AR173" s="5" t="s">
        <v>1104</v>
      </c>
      <c r="AS173" s="5"/>
      <c r="AT173" s="5"/>
      <c r="AU173" s="5"/>
      <c r="AV173" s="5">
        <v>-1</v>
      </c>
      <c r="AW173" s="5" t="s">
        <v>1269</v>
      </c>
    </row>
    <row r="174" spans="1:49" x14ac:dyDescent="0.55000000000000004">
      <c r="A174" s="5" t="str">
        <f>HYPERLINK("https://www.infodis.net/philips/net/Shipment/Details?InfodisNumber=4560443&amp;DomainCode=DAP", "4560443")</f>
        <v>4560443</v>
      </c>
      <c r="B174" s="5" t="s">
        <v>5033</v>
      </c>
      <c r="C174" s="5" t="s">
        <v>5034</v>
      </c>
      <c r="D174" s="5" t="s">
        <v>5035</v>
      </c>
      <c r="E174" s="5"/>
      <c r="F174" s="5" t="s">
        <v>5036</v>
      </c>
      <c r="G174" s="5" t="s">
        <v>5037</v>
      </c>
      <c r="H174" s="5" t="s">
        <v>244</v>
      </c>
      <c r="I174" s="5"/>
      <c r="J174" s="5"/>
      <c r="K174" s="5" t="s">
        <v>54</v>
      </c>
      <c r="L174" s="5" t="s">
        <v>55</v>
      </c>
      <c r="M174" s="5" t="s">
        <v>84</v>
      </c>
      <c r="N174" s="5"/>
      <c r="O174" s="5"/>
      <c r="P174" s="5" t="s">
        <v>5038</v>
      </c>
      <c r="Q174" s="5"/>
      <c r="R174" s="5" t="s">
        <v>63</v>
      </c>
      <c r="S174" s="6">
        <v>44153</v>
      </c>
      <c r="T174" s="6">
        <v>44154</v>
      </c>
      <c r="U174" s="6">
        <v>44154</v>
      </c>
      <c r="V174" s="5"/>
      <c r="W174" s="5"/>
      <c r="X174" s="5"/>
      <c r="Y174" s="5" t="s">
        <v>5039</v>
      </c>
      <c r="Z174" s="5"/>
      <c r="AA174" s="5"/>
      <c r="AB174" s="5" t="s">
        <v>67</v>
      </c>
      <c r="AC174" s="5" t="s">
        <v>68</v>
      </c>
      <c r="AD174" s="5" t="s">
        <v>68</v>
      </c>
      <c r="AE174" s="5"/>
      <c r="AF174" s="5" t="s">
        <v>4574</v>
      </c>
      <c r="AG174" s="5"/>
      <c r="AH174" s="5"/>
      <c r="AI174" s="5" t="s">
        <v>73</v>
      </c>
      <c r="AJ174" s="5">
        <v>0</v>
      </c>
      <c r="AK174" s="5">
        <v>0</v>
      </c>
      <c r="AL174" s="5"/>
      <c r="AM174" s="5"/>
      <c r="AN174" s="5">
        <v>0</v>
      </c>
      <c r="AO174" s="5">
        <v>476</v>
      </c>
      <c r="AP174" s="5">
        <v>3.7669999999999999</v>
      </c>
      <c r="AQ174" s="5" t="s">
        <v>713</v>
      </c>
      <c r="AR174" s="5" t="s">
        <v>1104</v>
      </c>
      <c r="AS174" s="5"/>
      <c r="AT174" s="5"/>
      <c r="AU174" s="5"/>
      <c r="AV174" s="5">
        <v>-1</v>
      </c>
      <c r="AW174" s="5" t="s">
        <v>1269</v>
      </c>
    </row>
    <row r="175" spans="1:49" x14ac:dyDescent="0.55000000000000004">
      <c r="A175" s="5" t="str">
        <f>HYPERLINK("https://www.infodis.net/philips/net/Shipment/Details?InfodisNumber=4334036&amp;DomainCode=DAP", "4334036")</f>
        <v>4334036</v>
      </c>
      <c r="B175" s="5" t="s">
        <v>5040</v>
      </c>
      <c r="C175" s="5" t="s">
        <v>4739</v>
      </c>
      <c r="D175" s="5" t="s">
        <v>4740</v>
      </c>
      <c r="E175" s="5" t="s">
        <v>2048</v>
      </c>
      <c r="F175" s="5" t="s">
        <v>4739</v>
      </c>
      <c r="G175" s="5" t="s">
        <v>1262</v>
      </c>
      <c r="H175" s="5" t="s">
        <v>1263</v>
      </c>
      <c r="I175" s="5"/>
      <c r="J175" s="5"/>
      <c r="K175" s="5" t="s">
        <v>4742</v>
      </c>
      <c r="L175" s="5" t="s">
        <v>1263</v>
      </c>
      <c r="M175" s="5" t="s">
        <v>84</v>
      </c>
      <c r="N175" s="5"/>
      <c r="O175" s="5"/>
      <c r="P175" s="5" t="s">
        <v>1264</v>
      </c>
      <c r="Q175" s="5"/>
      <c r="R175" s="5" t="s">
        <v>4743</v>
      </c>
      <c r="S175" s="6">
        <v>43775</v>
      </c>
      <c r="T175" s="6">
        <v>43777</v>
      </c>
      <c r="U175" s="6">
        <v>43775</v>
      </c>
      <c r="V175" s="5"/>
      <c r="W175" s="5"/>
      <c r="X175" s="5"/>
      <c r="Y175" s="5" t="s">
        <v>4643</v>
      </c>
      <c r="Z175" s="5"/>
      <c r="AA175" s="5"/>
      <c r="AB175" s="5" t="s">
        <v>67</v>
      </c>
      <c r="AC175" s="5" t="s">
        <v>68</v>
      </c>
      <c r="AD175" s="5" t="s">
        <v>68</v>
      </c>
      <c r="AE175" s="5"/>
      <c r="AF175" s="5" t="s">
        <v>4574</v>
      </c>
      <c r="AG175" s="5"/>
      <c r="AH175" s="5"/>
      <c r="AI175" s="5" t="s">
        <v>73</v>
      </c>
      <c r="AJ175" s="5">
        <v>0</v>
      </c>
      <c r="AK175" s="5">
        <v>0</v>
      </c>
      <c r="AL175" s="5"/>
      <c r="AM175" s="5"/>
      <c r="AN175" s="5">
        <v>32</v>
      </c>
      <c r="AO175" s="5">
        <v>5600</v>
      </c>
      <c r="AP175" s="5">
        <v>55.296000000000006</v>
      </c>
      <c r="AQ175" s="5" t="s">
        <v>713</v>
      </c>
      <c r="AR175" s="5" t="s">
        <v>1104</v>
      </c>
      <c r="AS175" s="5"/>
      <c r="AT175" s="5"/>
      <c r="AU175" s="5"/>
      <c r="AV175" s="5">
        <v>-1</v>
      </c>
      <c r="AW175" s="5" t="s">
        <v>4926</v>
      </c>
    </row>
    <row r="176" spans="1:49" x14ac:dyDescent="0.55000000000000004">
      <c r="A176" s="5" t="str">
        <f>HYPERLINK("https://www.infodis.net/philips/net/Shipment/Details?InfodisNumber=4474124&amp;DomainCode=DAP", "4474124")</f>
        <v>4474124</v>
      </c>
      <c r="B176" s="5" t="s">
        <v>5041</v>
      </c>
      <c r="C176" s="5" t="s">
        <v>2097</v>
      </c>
      <c r="D176" s="5" t="s">
        <v>2098</v>
      </c>
      <c r="E176" s="5" t="s">
        <v>304</v>
      </c>
      <c r="F176" s="5" t="s">
        <v>2826</v>
      </c>
      <c r="G176" s="5" t="s">
        <v>425</v>
      </c>
      <c r="H176" s="5" t="s">
        <v>307</v>
      </c>
      <c r="I176" s="5"/>
      <c r="J176" s="5"/>
      <c r="K176" s="5" t="s">
        <v>5042</v>
      </c>
      <c r="L176" s="5" t="s">
        <v>260</v>
      </c>
      <c r="M176" s="5" t="s">
        <v>60</v>
      </c>
      <c r="N176" s="5"/>
      <c r="O176" s="5"/>
      <c r="P176" s="5" t="s">
        <v>429</v>
      </c>
      <c r="Q176" s="5"/>
      <c r="R176" s="5" t="s">
        <v>5043</v>
      </c>
      <c r="S176" s="6">
        <v>44027</v>
      </c>
      <c r="T176" s="6">
        <v>44028</v>
      </c>
      <c r="U176" s="5"/>
      <c r="V176" s="5"/>
      <c r="W176" s="5"/>
      <c r="X176" s="5"/>
      <c r="Y176" s="5" t="s">
        <v>4804</v>
      </c>
      <c r="Z176" s="5"/>
      <c r="AA176" s="5"/>
      <c r="AB176" s="5" t="s">
        <v>67</v>
      </c>
      <c r="AC176" s="5" t="s">
        <v>68</v>
      </c>
      <c r="AD176" s="5" t="s">
        <v>68</v>
      </c>
      <c r="AE176" s="5"/>
      <c r="AF176" s="5" t="s">
        <v>4574</v>
      </c>
      <c r="AG176" s="5"/>
      <c r="AH176" s="5"/>
      <c r="AI176" s="5" t="s">
        <v>73</v>
      </c>
      <c r="AJ176" s="5">
        <v>0</v>
      </c>
      <c r="AK176" s="5">
        <v>0</v>
      </c>
      <c r="AL176" s="5"/>
      <c r="AM176" s="5"/>
      <c r="AN176" s="5">
        <v>12</v>
      </c>
      <c r="AO176" s="5">
        <v>4000</v>
      </c>
      <c r="AP176" s="5">
        <v>23.04</v>
      </c>
      <c r="AQ176" s="5" t="s">
        <v>713</v>
      </c>
      <c r="AR176" s="5" t="s">
        <v>1104</v>
      </c>
      <c r="AS176" s="5"/>
      <c r="AT176" s="5"/>
      <c r="AU176" s="5"/>
      <c r="AV176" s="5">
        <v>-1</v>
      </c>
      <c r="AW176" s="5" t="s">
        <v>1269</v>
      </c>
    </row>
    <row r="177" spans="1:49" x14ac:dyDescent="0.55000000000000004">
      <c r="A177" s="5" t="str">
        <f>HYPERLINK("https://www.infodis.net/philips/net/Shipment/Details?InfodisNumber=4305669&amp;DomainCode=DAP", "4305669")</f>
        <v>4305669</v>
      </c>
      <c r="B177" s="5" t="s">
        <v>5044</v>
      </c>
      <c r="C177" s="5" t="s">
        <v>4843</v>
      </c>
      <c r="D177" s="5" t="s">
        <v>4844</v>
      </c>
      <c r="E177" s="5" t="s">
        <v>4741</v>
      </c>
      <c r="F177" s="5" t="s">
        <v>4946</v>
      </c>
      <c r="G177" s="5" t="s">
        <v>1262</v>
      </c>
      <c r="H177" s="5" t="s">
        <v>1263</v>
      </c>
      <c r="I177" s="5"/>
      <c r="J177" s="5"/>
      <c r="K177" s="5" t="s">
        <v>4948</v>
      </c>
      <c r="L177" s="5" t="s">
        <v>1263</v>
      </c>
      <c r="M177" s="5" t="s">
        <v>84</v>
      </c>
      <c r="N177" s="5"/>
      <c r="O177" s="5"/>
      <c r="P177" s="5" t="s">
        <v>1264</v>
      </c>
      <c r="Q177" s="5"/>
      <c r="R177" s="5" t="s">
        <v>4949</v>
      </c>
      <c r="S177" s="6">
        <v>43739</v>
      </c>
      <c r="T177" s="6">
        <v>43740</v>
      </c>
      <c r="U177" s="5"/>
      <c r="V177" s="5"/>
      <c r="W177" s="5"/>
      <c r="X177" s="5"/>
      <c r="Y177" s="5" t="s">
        <v>4643</v>
      </c>
      <c r="Z177" s="5"/>
      <c r="AA177" s="5"/>
      <c r="AB177" s="5" t="s">
        <v>67</v>
      </c>
      <c r="AC177" s="5" t="s">
        <v>68</v>
      </c>
      <c r="AD177" s="5" t="s">
        <v>68</v>
      </c>
      <c r="AE177" s="5"/>
      <c r="AF177" s="5" t="s">
        <v>4574</v>
      </c>
      <c r="AG177" s="5"/>
      <c r="AH177" s="5"/>
      <c r="AI177" s="5" t="s">
        <v>73</v>
      </c>
      <c r="AJ177" s="5">
        <v>0</v>
      </c>
      <c r="AK177" s="5">
        <v>0</v>
      </c>
      <c r="AL177" s="5"/>
      <c r="AM177" s="5"/>
      <c r="AN177" s="5">
        <v>1</v>
      </c>
      <c r="AO177" s="5">
        <v>80</v>
      </c>
      <c r="AP177" s="5">
        <v>0.64</v>
      </c>
      <c r="AQ177" s="5" t="s">
        <v>713</v>
      </c>
      <c r="AR177" s="5" t="s">
        <v>1104</v>
      </c>
      <c r="AS177" s="5"/>
      <c r="AT177" s="5"/>
      <c r="AU177" s="5"/>
      <c r="AV177" s="5">
        <v>-1</v>
      </c>
      <c r="AW177" s="5" t="s">
        <v>4926</v>
      </c>
    </row>
    <row r="178" spans="1:49" x14ac:dyDescent="0.55000000000000004">
      <c r="A178" s="5" t="str">
        <f>HYPERLINK("https://www.infodis.net/philips/net/Shipment/Details?InfodisNumber=4564765&amp;DomainCode=DAP", "4564765")</f>
        <v>4564765</v>
      </c>
      <c r="B178" s="5" t="s">
        <v>5045</v>
      </c>
      <c r="C178" s="5" t="s">
        <v>5046</v>
      </c>
      <c r="D178" s="5" t="s">
        <v>5047</v>
      </c>
      <c r="E178" s="5" t="s">
        <v>5046</v>
      </c>
      <c r="F178" s="5" t="s">
        <v>214</v>
      </c>
      <c r="G178" s="5" t="s">
        <v>5048</v>
      </c>
      <c r="H178" s="5" t="s">
        <v>881</v>
      </c>
      <c r="I178" s="5"/>
      <c r="J178" s="5"/>
      <c r="K178" s="5" t="s">
        <v>216</v>
      </c>
      <c r="L178" s="5" t="s">
        <v>55</v>
      </c>
      <c r="M178" s="5" t="s">
        <v>84</v>
      </c>
      <c r="N178" s="5"/>
      <c r="O178" s="5"/>
      <c r="P178" s="5" t="s">
        <v>5049</v>
      </c>
      <c r="Q178" s="5"/>
      <c r="R178" s="5" t="s">
        <v>3238</v>
      </c>
      <c r="S178" s="6">
        <v>44158</v>
      </c>
      <c r="T178" s="6">
        <v>44160</v>
      </c>
      <c r="U178" s="6">
        <v>44160</v>
      </c>
      <c r="V178" s="5"/>
      <c r="W178" s="5"/>
      <c r="X178" s="5"/>
      <c r="Y178" s="5" t="s">
        <v>4576</v>
      </c>
      <c r="Z178" s="5"/>
      <c r="AA178" s="5"/>
      <c r="AB178" s="5" t="s">
        <v>67</v>
      </c>
      <c r="AC178" s="5" t="s">
        <v>68</v>
      </c>
      <c r="AD178" s="5" t="s">
        <v>68</v>
      </c>
      <c r="AE178" s="5"/>
      <c r="AF178" s="5" t="s">
        <v>70</v>
      </c>
      <c r="AG178" s="5"/>
      <c r="AH178" s="5"/>
      <c r="AI178" s="5" t="s">
        <v>73</v>
      </c>
      <c r="AJ178" s="5">
        <v>0</v>
      </c>
      <c r="AK178" s="5">
        <v>0</v>
      </c>
      <c r="AL178" s="5"/>
      <c r="AM178" s="5"/>
      <c r="AN178" s="5">
        <v>6</v>
      </c>
      <c r="AO178" s="5">
        <v>3000</v>
      </c>
      <c r="AP178" s="5">
        <v>10.08</v>
      </c>
      <c r="AQ178" s="5" t="s">
        <v>713</v>
      </c>
      <c r="AR178" s="5" t="s">
        <v>1104</v>
      </c>
      <c r="AS178" s="5"/>
      <c r="AT178" s="5"/>
      <c r="AU178" s="5"/>
      <c r="AV178" s="5">
        <v>-1</v>
      </c>
      <c r="AW178" s="5" t="s">
        <v>1269</v>
      </c>
    </row>
    <row r="179" spans="1:49" x14ac:dyDescent="0.55000000000000004">
      <c r="A179" s="5" t="str">
        <f>HYPERLINK("https://www.infodis.net/philips/net/Shipment/Details?InfodisNumber=4451310&amp;DomainCode=DAP", "4451310")</f>
        <v>4451310</v>
      </c>
      <c r="B179" s="5" t="s">
        <v>5050</v>
      </c>
      <c r="C179" s="5" t="s">
        <v>2145</v>
      </c>
      <c r="D179" s="5" t="s">
        <v>2146</v>
      </c>
      <c r="E179" s="5" t="s">
        <v>304</v>
      </c>
      <c r="F179" s="5" t="s">
        <v>2327</v>
      </c>
      <c r="G179" s="5" t="s">
        <v>404</v>
      </c>
      <c r="H179" s="5" t="s">
        <v>307</v>
      </c>
      <c r="I179" s="5"/>
      <c r="J179" s="5"/>
      <c r="K179" s="5" t="s">
        <v>306</v>
      </c>
      <c r="L179" s="5" t="s">
        <v>307</v>
      </c>
      <c r="M179" s="5" t="s">
        <v>133</v>
      </c>
      <c r="N179" s="5"/>
      <c r="O179" s="5"/>
      <c r="P179" s="5" t="s">
        <v>408</v>
      </c>
      <c r="Q179" s="5"/>
      <c r="R179" s="5" t="s">
        <v>312</v>
      </c>
      <c r="S179" s="6">
        <v>43987</v>
      </c>
      <c r="T179" s="6">
        <v>43991</v>
      </c>
      <c r="U179" s="5"/>
      <c r="V179" s="5"/>
      <c r="W179" s="5"/>
      <c r="X179" s="5"/>
      <c r="Y179" s="5" t="s">
        <v>940</v>
      </c>
      <c r="Z179" s="5"/>
      <c r="AA179" s="5"/>
      <c r="AB179" s="5" t="s">
        <v>67</v>
      </c>
      <c r="AC179" s="5" t="s">
        <v>68</v>
      </c>
      <c r="AD179" s="5" t="s">
        <v>68</v>
      </c>
      <c r="AE179" s="5"/>
      <c r="AF179" s="5" t="s">
        <v>70</v>
      </c>
      <c r="AG179" s="5"/>
      <c r="AH179" s="5"/>
      <c r="AI179" s="5" t="s">
        <v>73</v>
      </c>
      <c r="AJ179" s="5">
        <v>0</v>
      </c>
      <c r="AK179" s="5">
        <v>0</v>
      </c>
      <c r="AL179" s="5"/>
      <c r="AM179" s="5"/>
      <c r="AN179" s="5">
        <v>0</v>
      </c>
      <c r="AO179" s="5">
        <v>1</v>
      </c>
      <c r="AP179" s="5">
        <v>0</v>
      </c>
      <c r="AQ179" s="5" t="s">
        <v>713</v>
      </c>
      <c r="AR179" s="5" t="s">
        <v>1104</v>
      </c>
      <c r="AS179" s="5"/>
      <c r="AT179" s="5"/>
      <c r="AU179" s="5"/>
      <c r="AV179" s="5">
        <v>-1</v>
      </c>
      <c r="AW179" s="5" t="s">
        <v>4205</v>
      </c>
    </row>
    <row r="180" spans="1:49" x14ac:dyDescent="0.55000000000000004">
      <c r="A180" s="5" t="str">
        <f>HYPERLINK("https://www.infodis.net/philips/net/Shipment/Details?InfodisNumber=4462543&amp;DomainCode=DAP", "4462543")</f>
        <v>4462543</v>
      </c>
      <c r="B180" s="5" t="s">
        <v>5051</v>
      </c>
      <c r="C180" s="5" t="s">
        <v>933</v>
      </c>
      <c r="D180" s="5" t="s">
        <v>934</v>
      </c>
      <c r="E180" s="5" t="s">
        <v>304</v>
      </c>
      <c r="F180" s="5" t="s">
        <v>121</v>
      </c>
      <c r="G180" s="5" t="s">
        <v>295</v>
      </c>
      <c r="H180" s="5" t="s">
        <v>296</v>
      </c>
      <c r="I180" s="5"/>
      <c r="J180" s="5"/>
      <c r="K180" s="5" t="s">
        <v>306</v>
      </c>
      <c r="L180" s="5" t="s">
        <v>307</v>
      </c>
      <c r="M180" s="5" t="s">
        <v>309</v>
      </c>
      <c r="N180" s="5"/>
      <c r="O180" s="5"/>
      <c r="P180" s="5" t="s">
        <v>300</v>
      </c>
      <c r="Q180" s="5"/>
      <c r="R180" s="5" t="s">
        <v>312</v>
      </c>
      <c r="S180" s="6">
        <v>44008</v>
      </c>
      <c r="T180" s="6">
        <v>44012</v>
      </c>
      <c r="U180" s="5"/>
      <c r="V180" s="5"/>
      <c r="W180" s="5"/>
      <c r="X180" s="5"/>
      <c r="Y180" s="5" t="s">
        <v>940</v>
      </c>
      <c r="Z180" s="5"/>
      <c r="AA180" s="5"/>
      <c r="AB180" s="5" t="s">
        <v>67</v>
      </c>
      <c r="AC180" s="5" t="s">
        <v>68</v>
      </c>
      <c r="AD180" s="5" t="s">
        <v>68</v>
      </c>
      <c r="AE180" s="5"/>
      <c r="AF180" s="5" t="s">
        <v>70</v>
      </c>
      <c r="AG180" s="5"/>
      <c r="AH180" s="5"/>
      <c r="AI180" s="5" t="s">
        <v>73</v>
      </c>
      <c r="AJ180" s="5">
        <v>0</v>
      </c>
      <c r="AK180" s="5">
        <v>0</v>
      </c>
      <c r="AL180" s="5"/>
      <c r="AM180" s="5"/>
      <c r="AN180" s="5">
        <v>0</v>
      </c>
      <c r="AO180" s="5">
        <v>1</v>
      </c>
      <c r="AP180" s="5">
        <v>0</v>
      </c>
      <c r="AQ180" s="5" t="s">
        <v>713</v>
      </c>
      <c r="AR180" s="5" t="s">
        <v>1104</v>
      </c>
      <c r="AS180" s="5"/>
      <c r="AT180" s="5"/>
      <c r="AU180" s="5"/>
      <c r="AV180" s="5">
        <v>-1</v>
      </c>
      <c r="AW180" s="5" t="s">
        <v>4766</v>
      </c>
    </row>
    <row r="181" spans="1:49" x14ac:dyDescent="0.55000000000000004">
      <c r="A181" s="5" t="str">
        <f>HYPERLINK("https://www.infodis.net/philips/net/Shipment/Details?InfodisNumber=6905554&amp;DomainCode=PHILIPSR1", "6905554")</f>
        <v>6905554</v>
      </c>
      <c r="B181" s="5" t="s">
        <v>5052</v>
      </c>
      <c r="C181" s="5" t="s">
        <v>4627</v>
      </c>
      <c r="D181" s="5" t="s">
        <v>4628</v>
      </c>
      <c r="E181" s="5" t="s">
        <v>4629</v>
      </c>
      <c r="F181" s="5"/>
      <c r="G181" s="5" t="s">
        <v>4630</v>
      </c>
      <c r="H181" s="5" t="s">
        <v>244</v>
      </c>
      <c r="I181" s="5"/>
      <c r="J181" s="5"/>
      <c r="K181" s="5" t="s">
        <v>5053</v>
      </c>
      <c r="L181" s="5" t="s">
        <v>244</v>
      </c>
      <c r="M181" s="5" t="s">
        <v>60</v>
      </c>
      <c r="N181" s="5"/>
      <c r="O181" s="5"/>
      <c r="P181" s="5" t="s">
        <v>250</v>
      </c>
      <c r="Q181" s="5"/>
      <c r="R181" s="5" t="s">
        <v>4759</v>
      </c>
      <c r="S181" s="6">
        <v>44123</v>
      </c>
      <c r="T181" s="6">
        <v>44126</v>
      </c>
      <c r="U181" s="6">
        <v>44126</v>
      </c>
      <c r="V181" s="5"/>
      <c r="W181" s="5"/>
      <c r="X181" s="5"/>
      <c r="Y181" s="5" t="s">
        <v>4750</v>
      </c>
      <c r="Z181" s="5"/>
      <c r="AA181" s="5"/>
      <c r="AB181" s="5" t="s">
        <v>67</v>
      </c>
      <c r="AC181" s="5" t="s">
        <v>68</v>
      </c>
      <c r="AD181" s="5" t="s">
        <v>68</v>
      </c>
      <c r="AE181" s="5"/>
      <c r="AF181" s="5" t="s">
        <v>4574</v>
      </c>
      <c r="AG181" s="5"/>
      <c r="AH181" s="5"/>
      <c r="AI181" s="5" t="s">
        <v>252</v>
      </c>
      <c r="AJ181" s="5">
        <v>0</v>
      </c>
      <c r="AK181" s="5">
        <v>0</v>
      </c>
      <c r="AL181" s="5"/>
      <c r="AM181" s="5"/>
      <c r="AN181" s="5">
        <v>32</v>
      </c>
      <c r="AO181" s="5">
        <v>3340</v>
      </c>
      <c r="AP181" s="5">
        <v>50.783999999999999</v>
      </c>
      <c r="AQ181" s="5" t="s">
        <v>713</v>
      </c>
      <c r="AR181" s="5" t="s">
        <v>1104</v>
      </c>
      <c r="AS181" s="5"/>
      <c r="AT181" s="5"/>
      <c r="AU181" s="5"/>
      <c r="AV181" s="5">
        <v>-1</v>
      </c>
      <c r="AW181" s="5" t="s">
        <v>4751</v>
      </c>
    </row>
    <row r="182" spans="1:49" x14ac:dyDescent="0.55000000000000004">
      <c r="A182" s="5" t="str">
        <f>HYPERLINK("https://www.infodis.net/philips/net/Shipment/Details?InfodisNumber=5912774&amp;DomainCode=PHILIPSR1", "5912774")</f>
        <v>5912774</v>
      </c>
      <c r="B182" s="5" t="s">
        <v>5054</v>
      </c>
      <c r="C182" s="5" t="s">
        <v>2580</v>
      </c>
      <c r="D182" s="5" t="s">
        <v>2581</v>
      </c>
      <c r="E182" s="5" t="s">
        <v>1187</v>
      </c>
      <c r="F182" s="5"/>
      <c r="G182" s="5" t="s">
        <v>880</v>
      </c>
      <c r="H182" s="5" t="s">
        <v>881</v>
      </c>
      <c r="I182" s="5"/>
      <c r="J182" s="5"/>
      <c r="K182" s="5" t="s">
        <v>5055</v>
      </c>
      <c r="L182" s="5" t="s">
        <v>881</v>
      </c>
      <c r="M182" s="5" t="s">
        <v>60</v>
      </c>
      <c r="N182" s="5"/>
      <c r="O182" s="5"/>
      <c r="P182" s="5" t="s">
        <v>888</v>
      </c>
      <c r="Q182" s="5"/>
      <c r="R182" s="5" t="s">
        <v>5056</v>
      </c>
      <c r="S182" s="6">
        <v>43762</v>
      </c>
      <c r="T182" s="6">
        <v>43762</v>
      </c>
      <c r="U182" s="5"/>
      <c r="V182" s="5"/>
      <c r="W182" s="5"/>
      <c r="X182" s="5"/>
      <c r="Y182" s="5" t="s">
        <v>4776</v>
      </c>
      <c r="Z182" s="5"/>
      <c r="AA182" s="5"/>
      <c r="AB182" s="5" t="s">
        <v>67</v>
      </c>
      <c r="AC182" s="5" t="s">
        <v>68</v>
      </c>
      <c r="AD182" s="5" t="s">
        <v>68</v>
      </c>
      <c r="AE182" s="5"/>
      <c r="AF182" s="5" t="s">
        <v>4574</v>
      </c>
      <c r="AG182" s="5"/>
      <c r="AH182" s="5"/>
      <c r="AI182" s="5" t="s">
        <v>252</v>
      </c>
      <c r="AJ182" s="5">
        <v>0</v>
      </c>
      <c r="AK182" s="5">
        <v>0</v>
      </c>
      <c r="AL182" s="5"/>
      <c r="AM182" s="5"/>
      <c r="AN182" s="5">
        <v>0</v>
      </c>
      <c r="AO182" s="5">
        <v>12</v>
      </c>
      <c r="AP182" s="5">
        <v>0.45300000000000001</v>
      </c>
      <c r="AQ182" s="5" t="s">
        <v>713</v>
      </c>
      <c r="AR182" s="5" t="s">
        <v>1104</v>
      </c>
      <c r="AS182" s="5" t="s">
        <v>713</v>
      </c>
      <c r="AT182" s="6">
        <v>43832</v>
      </c>
      <c r="AU182" s="5" t="s">
        <v>4873</v>
      </c>
      <c r="AV182" s="5">
        <v>330</v>
      </c>
      <c r="AW182" s="5" t="s">
        <v>4874</v>
      </c>
    </row>
    <row r="183" spans="1:49" x14ac:dyDescent="0.55000000000000004">
      <c r="A183" s="5" t="str">
        <f>HYPERLINK("https://www.infodis.net/philips/net/Shipment/Details?InfodisNumber=6939604&amp;DomainCode=PHILIPSR1", "6939604")</f>
        <v>6939604</v>
      </c>
      <c r="B183" s="5" t="s">
        <v>5057</v>
      </c>
      <c r="C183" s="5" t="s">
        <v>4627</v>
      </c>
      <c r="D183" s="5" t="s">
        <v>4628</v>
      </c>
      <c r="E183" s="5" t="s">
        <v>4629</v>
      </c>
      <c r="F183" s="5" t="s">
        <v>915</v>
      </c>
      <c r="G183" s="5" t="s">
        <v>4630</v>
      </c>
      <c r="H183" s="5" t="s">
        <v>244</v>
      </c>
      <c r="I183" s="5"/>
      <c r="J183" s="5"/>
      <c r="K183" s="5" t="s">
        <v>918</v>
      </c>
      <c r="L183" s="5" t="s">
        <v>881</v>
      </c>
      <c r="M183" s="5" t="s">
        <v>60</v>
      </c>
      <c r="N183" s="5"/>
      <c r="O183" s="5"/>
      <c r="P183" s="5" t="s">
        <v>250</v>
      </c>
      <c r="Q183" s="5"/>
      <c r="R183" s="5" t="s">
        <v>888</v>
      </c>
      <c r="S183" s="6">
        <v>44134</v>
      </c>
      <c r="T183" s="6">
        <v>44137</v>
      </c>
      <c r="U183" s="6">
        <v>44137</v>
      </c>
      <c r="V183" s="5"/>
      <c r="W183" s="5"/>
      <c r="X183" s="5"/>
      <c r="Y183" s="5" t="s">
        <v>4750</v>
      </c>
      <c r="Z183" s="5"/>
      <c r="AA183" s="5"/>
      <c r="AB183" s="5" t="s">
        <v>67</v>
      </c>
      <c r="AC183" s="5" t="s">
        <v>68</v>
      </c>
      <c r="AD183" s="5" t="s">
        <v>68</v>
      </c>
      <c r="AE183" s="5"/>
      <c r="AF183" s="5" t="s">
        <v>4574</v>
      </c>
      <c r="AG183" s="5"/>
      <c r="AH183" s="5"/>
      <c r="AI183" s="5" t="s">
        <v>252</v>
      </c>
      <c r="AJ183" s="5">
        <v>0</v>
      </c>
      <c r="AK183" s="5">
        <v>0</v>
      </c>
      <c r="AL183" s="5"/>
      <c r="AM183" s="5"/>
      <c r="AN183" s="5">
        <v>18</v>
      </c>
      <c r="AO183" s="5">
        <v>2460</v>
      </c>
      <c r="AP183" s="5">
        <v>26.568000000000001</v>
      </c>
      <c r="AQ183" s="5" t="s">
        <v>713</v>
      </c>
      <c r="AR183" s="5" t="s">
        <v>1104</v>
      </c>
      <c r="AS183" s="5"/>
      <c r="AT183" s="5"/>
      <c r="AU183" s="5"/>
      <c r="AV183" s="5">
        <v>-1</v>
      </c>
      <c r="AW183" s="5" t="s">
        <v>4751</v>
      </c>
    </row>
    <row r="184" spans="1:49" x14ac:dyDescent="0.55000000000000004">
      <c r="A184" s="5" t="str">
        <f>HYPERLINK("https://www.infodis.net/philips/net/Shipment/Details?InfodisNumber=6971720&amp;DomainCode=PHILIPSR1", "6971720")</f>
        <v>6971720</v>
      </c>
      <c r="B184" s="5" t="s">
        <v>5058</v>
      </c>
      <c r="C184" s="5" t="s">
        <v>4627</v>
      </c>
      <c r="D184" s="5" t="s">
        <v>4628</v>
      </c>
      <c r="E184" s="5" t="s">
        <v>4629</v>
      </c>
      <c r="F184" s="5" t="s">
        <v>609</v>
      </c>
      <c r="G184" s="5" t="s">
        <v>4630</v>
      </c>
      <c r="H184" s="5" t="s">
        <v>244</v>
      </c>
      <c r="I184" s="5"/>
      <c r="J184" s="5"/>
      <c r="K184" s="5" t="s">
        <v>611</v>
      </c>
      <c r="L184" s="5" t="s">
        <v>55</v>
      </c>
      <c r="M184" s="5" t="s">
        <v>60</v>
      </c>
      <c r="N184" s="5"/>
      <c r="O184" s="5"/>
      <c r="P184" s="5" t="s">
        <v>250</v>
      </c>
      <c r="Q184" s="5"/>
      <c r="R184" s="5" t="s">
        <v>615</v>
      </c>
      <c r="S184" s="6">
        <v>44146</v>
      </c>
      <c r="T184" s="6">
        <v>44147</v>
      </c>
      <c r="U184" s="5"/>
      <c r="V184" s="5"/>
      <c r="W184" s="5"/>
      <c r="X184" s="5"/>
      <c r="Y184" s="5" t="s">
        <v>4631</v>
      </c>
      <c r="Z184" s="5"/>
      <c r="AA184" s="5"/>
      <c r="AB184" s="5" t="s">
        <v>67</v>
      </c>
      <c r="AC184" s="5" t="s">
        <v>68</v>
      </c>
      <c r="AD184" s="5" t="s">
        <v>68</v>
      </c>
      <c r="AE184" s="5"/>
      <c r="AF184" s="5" t="s">
        <v>4574</v>
      </c>
      <c r="AG184" s="5"/>
      <c r="AH184" s="5"/>
      <c r="AI184" s="5" t="s">
        <v>252</v>
      </c>
      <c r="AJ184" s="5">
        <v>0</v>
      </c>
      <c r="AK184" s="5">
        <v>0</v>
      </c>
      <c r="AL184" s="5"/>
      <c r="AM184" s="5"/>
      <c r="AN184" s="5">
        <v>7</v>
      </c>
      <c r="AO184" s="5">
        <v>640</v>
      </c>
      <c r="AP184" s="5">
        <v>10.332000000000001</v>
      </c>
      <c r="AQ184" s="5" t="s">
        <v>713</v>
      </c>
      <c r="AR184" s="5" t="s">
        <v>1104</v>
      </c>
      <c r="AS184" s="5"/>
      <c r="AT184" s="5"/>
      <c r="AU184" s="5"/>
      <c r="AV184" s="5">
        <v>-1</v>
      </c>
      <c r="AW184" s="5" t="s">
        <v>4751</v>
      </c>
    </row>
    <row r="185" spans="1:49" x14ac:dyDescent="0.55000000000000004">
      <c r="A185" s="5" t="str">
        <f>HYPERLINK("https://www.infodis.net/philips/net/Shipment/Details?InfodisNumber=4554016&amp;DomainCode=DAP", "4554016")</f>
        <v>4554016</v>
      </c>
      <c r="B185" s="5" t="s">
        <v>5059</v>
      </c>
      <c r="C185" s="5" t="s">
        <v>5046</v>
      </c>
      <c r="D185" s="5" t="s">
        <v>5047</v>
      </c>
      <c r="E185" s="5" t="s">
        <v>5046</v>
      </c>
      <c r="F185" s="5" t="s">
        <v>214</v>
      </c>
      <c r="G185" s="5" t="s">
        <v>5048</v>
      </c>
      <c r="H185" s="5" t="s">
        <v>881</v>
      </c>
      <c r="I185" s="5"/>
      <c r="J185" s="5"/>
      <c r="K185" s="5" t="s">
        <v>216</v>
      </c>
      <c r="L185" s="5" t="s">
        <v>55</v>
      </c>
      <c r="M185" s="5" t="s">
        <v>84</v>
      </c>
      <c r="N185" s="5"/>
      <c r="O185" s="5"/>
      <c r="P185" s="5" t="s">
        <v>5049</v>
      </c>
      <c r="Q185" s="5"/>
      <c r="R185" s="5" t="s">
        <v>3238</v>
      </c>
      <c r="S185" s="6">
        <v>44144</v>
      </c>
      <c r="T185" s="6">
        <v>44146</v>
      </c>
      <c r="U185" s="6">
        <v>44146</v>
      </c>
      <c r="V185" s="5"/>
      <c r="W185" s="5"/>
      <c r="X185" s="5"/>
      <c r="Y185" s="5" t="s">
        <v>4576</v>
      </c>
      <c r="Z185" s="5"/>
      <c r="AA185" s="5"/>
      <c r="AB185" s="5" t="s">
        <v>67</v>
      </c>
      <c r="AC185" s="5" t="s">
        <v>68</v>
      </c>
      <c r="AD185" s="5" t="s">
        <v>68</v>
      </c>
      <c r="AE185" s="5"/>
      <c r="AF185" s="5" t="s">
        <v>70</v>
      </c>
      <c r="AG185" s="5"/>
      <c r="AH185" s="5"/>
      <c r="AI185" s="5" t="s">
        <v>73</v>
      </c>
      <c r="AJ185" s="5">
        <v>0</v>
      </c>
      <c r="AK185" s="5">
        <v>0</v>
      </c>
      <c r="AL185" s="5"/>
      <c r="AM185" s="5"/>
      <c r="AN185" s="5">
        <v>7</v>
      </c>
      <c r="AO185" s="5">
        <v>500</v>
      </c>
      <c r="AP185" s="5">
        <v>10.08</v>
      </c>
      <c r="AQ185" s="5" t="s">
        <v>713</v>
      </c>
      <c r="AR185" s="5" t="s">
        <v>1104</v>
      </c>
      <c r="AS185" s="5"/>
      <c r="AT185" s="5"/>
      <c r="AU185" s="5"/>
      <c r="AV185" s="5">
        <v>-1</v>
      </c>
      <c r="AW185" s="5" t="s">
        <v>1269</v>
      </c>
    </row>
    <row r="186" spans="1:49" x14ac:dyDescent="0.55000000000000004">
      <c r="A186" s="5" t="str">
        <f>HYPERLINK("https://www.infodis.net/philips/net/Shipment/Details?InfodisNumber=6961766&amp;DomainCode=PHILIPSR1", "6961766")</f>
        <v>6961766</v>
      </c>
      <c r="B186" s="5" t="s">
        <v>5060</v>
      </c>
      <c r="C186" s="5" t="s">
        <v>4627</v>
      </c>
      <c r="D186" s="5" t="s">
        <v>4628</v>
      </c>
      <c r="E186" s="5" t="s">
        <v>4629</v>
      </c>
      <c r="F186" s="5"/>
      <c r="G186" s="5" t="s">
        <v>4630</v>
      </c>
      <c r="H186" s="5" t="s">
        <v>244</v>
      </c>
      <c r="I186" s="5"/>
      <c r="J186" s="5"/>
      <c r="K186" s="5" t="s">
        <v>797</v>
      </c>
      <c r="L186" s="5" t="s">
        <v>55</v>
      </c>
      <c r="M186" s="5" t="s">
        <v>60</v>
      </c>
      <c r="N186" s="5"/>
      <c r="O186" s="5"/>
      <c r="P186" s="5" t="s">
        <v>250</v>
      </c>
      <c r="Q186" s="5"/>
      <c r="R186" s="5" t="s">
        <v>5061</v>
      </c>
      <c r="S186" s="6">
        <v>44144</v>
      </c>
      <c r="T186" s="6">
        <v>44145</v>
      </c>
      <c r="U186" s="5"/>
      <c r="V186" s="5"/>
      <c r="W186" s="5"/>
      <c r="X186" s="5"/>
      <c r="Y186" s="5" t="s">
        <v>4631</v>
      </c>
      <c r="Z186" s="5"/>
      <c r="AA186" s="5"/>
      <c r="AB186" s="5" t="s">
        <v>67</v>
      </c>
      <c r="AC186" s="5" t="s">
        <v>68</v>
      </c>
      <c r="AD186" s="5" t="s">
        <v>68</v>
      </c>
      <c r="AE186" s="5"/>
      <c r="AF186" s="5" t="s">
        <v>4574</v>
      </c>
      <c r="AG186" s="5"/>
      <c r="AH186" s="5"/>
      <c r="AI186" s="5" t="s">
        <v>252</v>
      </c>
      <c r="AJ186" s="5">
        <v>0</v>
      </c>
      <c r="AK186" s="5">
        <v>0</v>
      </c>
      <c r="AL186" s="5"/>
      <c r="AM186" s="5"/>
      <c r="AN186" s="5">
        <v>24</v>
      </c>
      <c r="AO186" s="5">
        <v>3390</v>
      </c>
      <c r="AP186" s="5">
        <v>35.423999999999999</v>
      </c>
      <c r="AQ186" s="5" t="s">
        <v>713</v>
      </c>
      <c r="AR186" s="5" t="s">
        <v>1104</v>
      </c>
      <c r="AS186" s="5"/>
      <c r="AT186" s="5"/>
      <c r="AU186" s="5"/>
      <c r="AV186" s="5">
        <v>-1</v>
      </c>
      <c r="AW186" s="5" t="s">
        <v>4751</v>
      </c>
    </row>
    <row r="187" spans="1:49" x14ac:dyDescent="0.55000000000000004">
      <c r="A187" s="5" t="str">
        <f>HYPERLINK("https://www.infodis.net/philips/net/Shipment/Details?InfodisNumber=6790899&amp;DomainCode=PHILIPSR1", "6790899")</f>
        <v>6790899</v>
      </c>
      <c r="B187" s="5" t="s">
        <v>5062</v>
      </c>
      <c r="C187" s="5" t="s">
        <v>4627</v>
      </c>
      <c r="D187" s="5" t="s">
        <v>4628</v>
      </c>
      <c r="E187" s="5" t="s">
        <v>4629</v>
      </c>
      <c r="F187" s="5"/>
      <c r="G187" s="5" t="s">
        <v>4630</v>
      </c>
      <c r="H187" s="5" t="s">
        <v>244</v>
      </c>
      <c r="I187" s="5"/>
      <c r="J187" s="5"/>
      <c r="K187" s="5" t="s">
        <v>5063</v>
      </c>
      <c r="L187" s="5" t="s">
        <v>296</v>
      </c>
      <c r="M187" s="5" t="s">
        <v>60</v>
      </c>
      <c r="N187" s="5"/>
      <c r="O187" s="5"/>
      <c r="P187" s="5" t="s">
        <v>250</v>
      </c>
      <c r="Q187" s="5"/>
      <c r="R187" s="5" t="s">
        <v>5064</v>
      </c>
      <c r="S187" s="6">
        <v>44088</v>
      </c>
      <c r="T187" s="6">
        <v>44088</v>
      </c>
      <c r="U187" s="6">
        <v>44088</v>
      </c>
      <c r="V187" s="5"/>
      <c r="W187" s="5"/>
      <c r="X187" s="5"/>
      <c r="Y187" s="5" t="s">
        <v>4750</v>
      </c>
      <c r="Z187" s="5"/>
      <c r="AA187" s="5"/>
      <c r="AB187" s="5" t="s">
        <v>67</v>
      </c>
      <c r="AC187" s="5" t="s">
        <v>68</v>
      </c>
      <c r="AD187" s="5" t="s">
        <v>68</v>
      </c>
      <c r="AE187" s="5"/>
      <c r="AF187" s="5" t="s">
        <v>4574</v>
      </c>
      <c r="AG187" s="5"/>
      <c r="AH187" s="5"/>
      <c r="AI187" s="5" t="s">
        <v>252</v>
      </c>
      <c r="AJ187" s="5">
        <v>0</v>
      </c>
      <c r="AK187" s="5">
        <v>0</v>
      </c>
      <c r="AL187" s="5"/>
      <c r="AM187" s="5"/>
      <c r="AN187" s="5">
        <v>1</v>
      </c>
      <c r="AO187" s="5">
        <v>50</v>
      </c>
      <c r="AP187" s="5">
        <v>0.70099999999999996</v>
      </c>
      <c r="AQ187" s="5" t="s">
        <v>713</v>
      </c>
      <c r="AR187" s="5" t="s">
        <v>1104</v>
      </c>
      <c r="AS187" s="5"/>
      <c r="AT187" s="5"/>
      <c r="AU187" s="5"/>
      <c r="AV187" s="5">
        <v>-1</v>
      </c>
      <c r="AW187" s="5" t="s">
        <v>4751</v>
      </c>
    </row>
    <row r="188" spans="1:49" x14ac:dyDescent="0.55000000000000004">
      <c r="A188" s="5" t="str">
        <f>HYPERLINK("https://www.infodis.net/philips/net/Shipment/Details?InfodisNumber=6842572&amp;DomainCode=PHILIPSR1", "6842572")</f>
        <v>6842572</v>
      </c>
      <c r="B188" s="5" t="s">
        <v>5065</v>
      </c>
      <c r="C188" s="5" t="s">
        <v>4627</v>
      </c>
      <c r="D188" s="5" t="s">
        <v>4628</v>
      </c>
      <c r="E188" s="5" t="s">
        <v>4629</v>
      </c>
      <c r="F188" s="5"/>
      <c r="G188" s="5" t="s">
        <v>4630</v>
      </c>
      <c r="H188" s="5" t="s">
        <v>244</v>
      </c>
      <c r="I188" s="5"/>
      <c r="J188" s="5"/>
      <c r="K188" s="5" t="s">
        <v>5066</v>
      </c>
      <c r="L188" s="5" t="s">
        <v>453</v>
      </c>
      <c r="M188" s="5" t="s">
        <v>60</v>
      </c>
      <c r="N188" s="5"/>
      <c r="O188" s="5"/>
      <c r="P188" s="5" t="s">
        <v>250</v>
      </c>
      <c r="Q188" s="5"/>
      <c r="R188" s="5" t="s">
        <v>5067</v>
      </c>
      <c r="S188" s="6">
        <v>44103</v>
      </c>
      <c r="T188" s="6">
        <v>44103</v>
      </c>
      <c r="U188" s="6">
        <v>44103</v>
      </c>
      <c r="V188" s="5"/>
      <c r="W188" s="5"/>
      <c r="X188" s="5"/>
      <c r="Y188" s="5" t="s">
        <v>4750</v>
      </c>
      <c r="Z188" s="5"/>
      <c r="AA188" s="5"/>
      <c r="AB188" s="5" t="s">
        <v>67</v>
      </c>
      <c r="AC188" s="5" t="s">
        <v>68</v>
      </c>
      <c r="AD188" s="5" t="s">
        <v>68</v>
      </c>
      <c r="AE188" s="5"/>
      <c r="AF188" s="5" t="s">
        <v>4574</v>
      </c>
      <c r="AG188" s="5"/>
      <c r="AH188" s="5"/>
      <c r="AI188" s="5" t="s">
        <v>252</v>
      </c>
      <c r="AJ188" s="5">
        <v>0</v>
      </c>
      <c r="AK188" s="5">
        <v>0</v>
      </c>
      <c r="AL188" s="5"/>
      <c r="AM188" s="5"/>
      <c r="AN188" s="5">
        <v>2</v>
      </c>
      <c r="AO188" s="5">
        <v>180</v>
      </c>
      <c r="AP188" s="5">
        <v>2.952</v>
      </c>
      <c r="AQ188" s="5" t="s">
        <v>713</v>
      </c>
      <c r="AR188" s="5" t="s">
        <v>1104</v>
      </c>
      <c r="AS188" s="5"/>
      <c r="AT188" s="5"/>
      <c r="AU188" s="5"/>
      <c r="AV188" s="5">
        <v>-1</v>
      </c>
      <c r="AW188" s="5" t="s">
        <v>4751</v>
      </c>
    </row>
    <row r="189" spans="1:49" x14ac:dyDescent="0.55000000000000004">
      <c r="A189" s="5" t="str">
        <f>HYPERLINK("https://www.infodis.net/philips/net/Shipment/Details?InfodisNumber=4475038&amp;DomainCode=DAP", "4475038")</f>
        <v>4475038</v>
      </c>
      <c r="B189" s="5" t="s">
        <v>5068</v>
      </c>
      <c r="C189" s="5" t="s">
        <v>5069</v>
      </c>
      <c r="D189" s="5" t="s">
        <v>5070</v>
      </c>
      <c r="E189" s="5" t="s">
        <v>5069</v>
      </c>
      <c r="F189" s="5" t="s">
        <v>1428</v>
      </c>
      <c r="G189" s="5" t="s">
        <v>5071</v>
      </c>
      <c r="H189" s="5" t="s">
        <v>244</v>
      </c>
      <c r="I189" s="5"/>
      <c r="J189" s="5"/>
      <c r="K189" s="5" t="s">
        <v>1430</v>
      </c>
      <c r="L189" s="5" t="s">
        <v>244</v>
      </c>
      <c r="M189" s="5" t="s">
        <v>84</v>
      </c>
      <c r="N189" s="5"/>
      <c r="O189" s="5"/>
      <c r="P189" s="5" t="s">
        <v>4614</v>
      </c>
      <c r="Q189" s="5"/>
      <c r="R189" s="5" t="s">
        <v>1432</v>
      </c>
      <c r="S189" s="6">
        <v>44028</v>
      </c>
      <c r="T189" s="6">
        <v>44029</v>
      </c>
      <c r="U189" s="5"/>
      <c r="V189" s="5"/>
      <c r="W189" s="5"/>
      <c r="X189" s="5"/>
      <c r="Y189" s="5" t="s">
        <v>5072</v>
      </c>
      <c r="Z189" s="5"/>
      <c r="AA189" s="5"/>
      <c r="AB189" s="5" t="s">
        <v>67</v>
      </c>
      <c r="AC189" s="5" t="s">
        <v>68</v>
      </c>
      <c r="AD189" s="5" t="s">
        <v>68</v>
      </c>
      <c r="AE189" s="5"/>
      <c r="AF189" s="5" t="s">
        <v>70</v>
      </c>
      <c r="AG189" s="5"/>
      <c r="AH189" s="5"/>
      <c r="AI189" s="5" t="s">
        <v>73</v>
      </c>
      <c r="AJ189" s="5">
        <v>0</v>
      </c>
      <c r="AK189" s="5">
        <v>0</v>
      </c>
      <c r="AL189" s="5"/>
      <c r="AM189" s="5"/>
      <c r="AN189" s="5">
        <v>7</v>
      </c>
      <c r="AO189" s="5">
        <v>970</v>
      </c>
      <c r="AP189" s="5">
        <v>12.096</v>
      </c>
      <c r="AQ189" s="5" t="s">
        <v>713</v>
      </c>
      <c r="AR189" s="5" t="s">
        <v>1104</v>
      </c>
      <c r="AS189" s="5"/>
      <c r="AT189" s="5"/>
      <c r="AU189" s="5"/>
      <c r="AV189" s="5">
        <v>-1</v>
      </c>
      <c r="AW189" s="5" t="s">
        <v>1269</v>
      </c>
    </row>
    <row r="190" spans="1:49" x14ac:dyDescent="0.55000000000000004">
      <c r="A190" s="5" t="str">
        <f>HYPERLINK("https://www.infodis.net/philips/net/Shipment/Details?InfodisNumber=4396591&amp;DomainCode=DAP", "4396591")</f>
        <v>4396591</v>
      </c>
      <c r="B190" s="5" t="s">
        <v>5073</v>
      </c>
      <c r="C190" s="5" t="s">
        <v>4843</v>
      </c>
      <c r="D190" s="5" t="s">
        <v>4844</v>
      </c>
      <c r="E190" s="5" t="s">
        <v>4741</v>
      </c>
      <c r="F190" s="5" t="s">
        <v>5074</v>
      </c>
      <c r="G190" s="5" t="s">
        <v>1262</v>
      </c>
      <c r="H190" s="5" t="s">
        <v>1263</v>
      </c>
      <c r="I190" s="5"/>
      <c r="J190" s="5"/>
      <c r="K190" s="5" t="s">
        <v>5075</v>
      </c>
      <c r="L190" s="5" t="s">
        <v>1263</v>
      </c>
      <c r="M190" s="5" t="s">
        <v>84</v>
      </c>
      <c r="N190" s="5"/>
      <c r="O190" s="5"/>
      <c r="P190" s="5" t="s">
        <v>1264</v>
      </c>
      <c r="Q190" s="5"/>
      <c r="R190" s="5" t="s">
        <v>5076</v>
      </c>
      <c r="S190" s="6">
        <v>43880</v>
      </c>
      <c r="T190" s="6">
        <v>43882</v>
      </c>
      <c r="U190" s="6">
        <v>43885</v>
      </c>
      <c r="V190" s="5"/>
      <c r="W190" s="5"/>
      <c r="X190" s="5"/>
      <c r="Y190" s="5" t="s">
        <v>4643</v>
      </c>
      <c r="Z190" s="5"/>
      <c r="AA190" s="5"/>
      <c r="AB190" s="5" t="s">
        <v>67</v>
      </c>
      <c r="AC190" s="5" t="s">
        <v>68</v>
      </c>
      <c r="AD190" s="5" t="s">
        <v>68</v>
      </c>
      <c r="AE190" s="5"/>
      <c r="AF190" s="5" t="s">
        <v>4574</v>
      </c>
      <c r="AG190" s="5"/>
      <c r="AH190" s="5"/>
      <c r="AI190" s="5" t="s">
        <v>73</v>
      </c>
      <c r="AJ190" s="5">
        <v>0</v>
      </c>
      <c r="AK190" s="5">
        <v>0</v>
      </c>
      <c r="AL190" s="5"/>
      <c r="AM190" s="5"/>
      <c r="AN190" s="5">
        <v>1</v>
      </c>
      <c r="AO190" s="5">
        <v>300</v>
      </c>
      <c r="AP190" s="5">
        <v>0.96</v>
      </c>
      <c r="AQ190" s="5" t="s">
        <v>713</v>
      </c>
      <c r="AR190" s="5" t="s">
        <v>1104</v>
      </c>
      <c r="AS190" s="5"/>
      <c r="AT190" s="5"/>
      <c r="AU190" s="5"/>
      <c r="AV190" s="5">
        <v>-1</v>
      </c>
      <c r="AW190" s="5" t="s">
        <v>5077</v>
      </c>
    </row>
    <row r="191" spans="1:49" x14ac:dyDescent="0.55000000000000004">
      <c r="A191" s="5" t="str">
        <f>HYPERLINK("https://www.infodis.net/philips/net/Shipment/Details?InfodisNumber=4474062&amp;DomainCode=DAP", "4474062")</f>
        <v>4474062</v>
      </c>
      <c r="B191" s="5" t="s">
        <v>5078</v>
      </c>
      <c r="C191" s="5" t="s">
        <v>2097</v>
      </c>
      <c r="D191" s="5" t="s">
        <v>2098</v>
      </c>
      <c r="E191" s="5" t="s">
        <v>304</v>
      </c>
      <c r="F191" s="5" t="s">
        <v>2826</v>
      </c>
      <c r="G191" s="5" t="s">
        <v>425</v>
      </c>
      <c r="H191" s="5" t="s">
        <v>307</v>
      </c>
      <c r="I191" s="5"/>
      <c r="J191" s="5"/>
      <c r="K191" s="5" t="s">
        <v>356</v>
      </c>
      <c r="L191" s="5" t="s">
        <v>357</v>
      </c>
      <c r="M191" s="5" t="s">
        <v>60</v>
      </c>
      <c r="N191" s="5"/>
      <c r="O191" s="5"/>
      <c r="P191" s="5" t="s">
        <v>429</v>
      </c>
      <c r="Q191" s="5"/>
      <c r="R191" s="5" t="s">
        <v>361</v>
      </c>
      <c r="S191" s="6">
        <v>44027</v>
      </c>
      <c r="T191" s="6">
        <v>44028</v>
      </c>
      <c r="U191" s="5"/>
      <c r="V191" s="5"/>
      <c r="W191" s="5"/>
      <c r="X191" s="5"/>
      <c r="Y191" s="5" t="s">
        <v>4804</v>
      </c>
      <c r="Z191" s="5" t="s">
        <v>4804</v>
      </c>
      <c r="AA191" s="5"/>
      <c r="AB191" s="5" t="s">
        <v>68</v>
      </c>
      <c r="AC191" s="5" t="s">
        <v>68</v>
      </c>
      <c r="AD191" s="5" t="s">
        <v>68</v>
      </c>
      <c r="AE191" s="5"/>
      <c r="AF191" s="5" t="s">
        <v>4574</v>
      </c>
      <c r="AG191" s="5" t="s">
        <v>5079</v>
      </c>
      <c r="AH191" s="5"/>
      <c r="AI191" s="5" t="s">
        <v>73</v>
      </c>
      <c r="AJ191" s="5">
        <v>0</v>
      </c>
      <c r="AK191" s="5">
        <v>0</v>
      </c>
      <c r="AL191" s="5">
        <v>0</v>
      </c>
      <c r="AM191" s="5"/>
      <c r="AN191" s="5">
        <v>12</v>
      </c>
      <c r="AO191" s="5">
        <v>4000</v>
      </c>
      <c r="AP191" s="5">
        <v>23.04</v>
      </c>
      <c r="AQ191" s="5" t="s">
        <v>713</v>
      </c>
      <c r="AR191" s="5" t="s">
        <v>1104</v>
      </c>
      <c r="AS191" s="5"/>
      <c r="AT191" s="5"/>
      <c r="AU191" s="5"/>
      <c r="AV191" s="5">
        <v>-1</v>
      </c>
      <c r="AW191" s="5" t="s">
        <v>4807</v>
      </c>
    </row>
    <row r="192" spans="1:49" x14ac:dyDescent="0.55000000000000004">
      <c r="A192" s="5" t="str">
        <f>HYPERLINK("https://www.infodis.net/philips/net/Shipment/Details?InfodisNumber=4477245&amp;DomainCode=DAP", "4477245")</f>
        <v>4477245</v>
      </c>
      <c r="B192" s="5" t="s">
        <v>5080</v>
      </c>
      <c r="C192" s="5" t="s">
        <v>2097</v>
      </c>
      <c r="D192" s="5" t="s">
        <v>2098</v>
      </c>
      <c r="E192" s="5" t="s">
        <v>304</v>
      </c>
      <c r="F192" s="5" t="s">
        <v>280</v>
      </c>
      <c r="G192" s="5" t="s">
        <v>356</v>
      </c>
      <c r="H192" s="5" t="s">
        <v>357</v>
      </c>
      <c r="I192" s="5"/>
      <c r="J192" s="5"/>
      <c r="K192" s="5" t="s">
        <v>5081</v>
      </c>
      <c r="L192" s="5" t="s">
        <v>285</v>
      </c>
      <c r="M192" s="5" t="s">
        <v>60</v>
      </c>
      <c r="N192" s="5"/>
      <c r="O192" s="5"/>
      <c r="P192" s="5" t="s">
        <v>361</v>
      </c>
      <c r="Q192" s="5"/>
      <c r="R192" s="5" t="s">
        <v>5082</v>
      </c>
      <c r="S192" s="6">
        <v>44033</v>
      </c>
      <c r="T192" s="6">
        <v>44034</v>
      </c>
      <c r="U192" s="6">
        <v>44034</v>
      </c>
      <c r="V192" s="6">
        <v>44060</v>
      </c>
      <c r="W192" s="6">
        <v>44060</v>
      </c>
      <c r="X192" s="5"/>
      <c r="Y192" s="5" t="s">
        <v>4804</v>
      </c>
      <c r="Z192" s="5" t="s">
        <v>4804</v>
      </c>
      <c r="AA192" s="5"/>
      <c r="AB192" s="5" t="s">
        <v>67</v>
      </c>
      <c r="AC192" s="5" t="s">
        <v>67</v>
      </c>
      <c r="AD192" s="5" t="s">
        <v>68</v>
      </c>
      <c r="AE192" s="5"/>
      <c r="AF192" s="5" t="s">
        <v>70</v>
      </c>
      <c r="AG192" s="5" t="s">
        <v>4806</v>
      </c>
      <c r="AH192" s="5"/>
      <c r="AI192" s="5" t="s">
        <v>73</v>
      </c>
      <c r="AJ192" s="5">
        <v>0</v>
      </c>
      <c r="AK192" s="5">
        <v>0</v>
      </c>
      <c r="AL192" s="5">
        <v>0</v>
      </c>
      <c r="AM192" s="5"/>
      <c r="AN192" s="5">
        <v>8</v>
      </c>
      <c r="AO192" s="5">
        <v>2266</v>
      </c>
      <c r="AP192" s="5">
        <v>13.44</v>
      </c>
      <c r="AQ192" s="5" t="s">
        <v>713</v>
      </c>
      <c r="AR192" s="5" t="s">
        <v>1104</v>
      </c>
      <c r="AS192" s="5"/>
      <c r="AT192" s="6">
        <v>44035</v>
      </c>
      <c r="AU192" s="5" t="s">
        <v>5083</v>
      </c>
      <c r="AV192" s="5">
        <v>127</v>
      </c>
      <c r="AW192" s="5" t="s">
        <v>1269</v>
      </c>
    </row>
    <row r="193" spans="1:49" x14ac:dyDescent="0.55000000000000004">
      <c r="A193" s="5" t="str">
        <f>HYPERLINK("https://www.infodis.net/philips/net/Shipment/Details?InfodisNumber=4416746&amp;DomainCode=DAP", "4416746")</f>
        <v>4416746</v>
      </c>
      <c r="B193" s="5" t="s">
        <v>5084</v>
      </c>
      <c r="C193" s="5" t="s">
        <v>212</v>
      </c>
      <c r="D193" s="5" t="s">
        <v>213</v>
      </c>
      <c r="E193" s="5" t="s">
        <v>304</v>
      </c>
      <c r="F193" s="5" t="s">
        <v>4969</v>
      </c>
      <c r="G193" s="5" t="s">
        <v>216</v>
      </c>
      <c r="H193" s="5" t="s">
        <v>55</v>
      </c>
      <c r="I193" s="5"/>
      <c r="J193" s="5"/>
      <c r="K193" s="5" t="s">
        <v>3334</v>
      </c>
      <c r="L193" s="5" t="s">
        <v>380</v>
      </c>
      <c r="M193" s="5" t="s">
        <v>60</v>
      </c>
      <c r="N193" s="5"/>
      <c r="O193" s="5"/>
      <c r="P193" s="5" t="s">
        <v>2369</v>
      </c>
      <c r="Q193" s="5"/>
      <c r="R193" s="5" t="s">
        <v>662</v>
      </c>
      <c r="S193" s="6">
        <v>43913</v>
      </c>
      <c r="T193" s="6">
        <v>43915</v>
      </c>
      <c r="U193" s="5"/>
      <c r="V193" s="5"/>
      <c r="W193" s="5"/>
      <c r="X193" s="5"/>
      <c r="Y193" s="5" t="s">
        <v>5085</v>
      </c>
      <c r="Z193" s="5" t="s">
        <v>5085</v>
      </c>
      <c r="AA193" s="5"/>
      <c r="AB193" s="5" t="s">
        <v>68</v>
      </c>
      <c r="AC193" s="5" t="s">
        <v>68</v>
      </c>
      <c r="AD193" s="5" t="s">
        <v>68</v>
      </c>
      <c r="AE193" s="5"/>
      <c r="AF193" s="5" t="s">
        <v>4805</v>
      </c>
      <c r="AG193" s="5" t="s">
        <v>4806</v>
      </c>
      <c r="AH193" s="5"/>
      <c r="AI193" s="5" t="s">
        <v>73</v>
      </c>
      <c r="AJ193" s="5">
        <v>0</v>
      </c>
      <c r="AK193" s="5">
        <v>0</v>
      </c>
      <c r="AL193" s="5">
        <v>0</v>
      </c>
      <c r="AM193" s="5"/>
      <c r="AN193" s="5">
        <v>0</v>
      </c>
      <c r="AO193" s="5">
        <v>2.4</v>
      </c>
      <c r="AP193" s="5">
        <v>1.9E-2</v>
      </c>
      <c r="AQ193" s="5" t="s">
        <v>713</v>
      </c>
      <c r="AR193" s="5" t="s">
        <v>1104</v>
      </c>
      <c r="AS193" s="5"/>
      <c r="AT193" s="5"/>
      <c r="AU193" s="5"/>
      <c r="AV193" s="5">
        <v>-1</v>
      </c>
      <c r="AW193" s="5" t="s">
        <v>4807</v>
      </c>
    </row>
    <row r="194" spans="1:49" x14ac:dyDescent="0.55000000000000004">
      <c r="A194" s="5" t="str">
        <f>HYPERLINK("https://www.infodis.net/philips/net/Shipment/Details?InfodisNumber=4564763&amp;DomainCode=DAP", "4564763")</f>
        <v>4564763</v>
      </c>
      <c r="B194" s="5" t="s">
        <v>5086</v>
      </c>
      <c r="C194" s="5" t="s">
        <v>5046</v>
      </c>
      <c r="D194" s="5" t="s">
        <v>5047</v>
      </c>
      <c r="E194" s="5" t="s">
        <v>5046</v>
      </c>
      <c r="F194" s="5" t="s">
        <v>214</v>
      </c>
      <c r="G194" s="5" t="s">
        <v>5048</v>
      </c>
      <c r="H194" s="5" t="s">
        <v>881</v>
      </c>
      <c r="I194" s="5"/>
      <c r="J194" s="5"/>
      <c r="K194" s="5" t="s">
        <v>216</v>
      </c>
      <c r="L194" s="5" t="s">
        <v>55</v>
      </c>
      <c r="M194" s="5" t="s">
        <v>84</v>
      </c>
      <c r="N194" s="5"/>
      <c r="O194" s="5"/>
      <c r="P194" s="5" t="s">
        <v>5049</v>
      </c>
      <c r="Q194" s="5"/>
      <c r="R194" s="5" t="s">
        <v>3238</v>
      </c>
      <c r="S194" s="6">
        <v>44158</v>
      </c>
      <c r="T194" s="6">
        <v>44159</v>
      </c>
      <c r="U194" s="6">
        <v>44159</v>
      </c>
      <c r="V194" s="5"/>
      <c r="W194" s="5"/>
      <c r="X194" s="5"/>
      <c r="Y194" s="5" t="s">
        <v>4576</v>
      </c>
      <c r="Z194" s="5"/>
      <c r="AA194" s="5"/>
      <c r="AB194" s="5" t="s">
        <v>67</v>
      </c>
      <c r="AC194" s="5" t="s">
        <v>68</v>
      </c>
      <c r="AD194" s="5" t="s">
        <v>68</v>
      </c>
      <c r="AE194" s="5"/>
      <c r="AF194" s="5" t="s">
        <v>70</v>
      </c>
      <c r="AG194" s="5"/>
      <c r="AH194" s="5"/>
      <c r="AI194" s="5" t="s">
        <v>73</v>
      </c>
      <c r="AJ194" s="5">
        <v>0</v>
      </c>
      <c r="AK194" s="5">
        <v>0</v>
      </c>
      <c r="AL194" s="5"/>
      <c r="AM194" s="5"/>
      <c r="AN194" s="5">
        <v>25</v>
      </c>
      <c r="AO194" s="5">
        <v>12500</v>
      </c>
      <c r="AP194" s="5">
        <v>42</v>
      </c>
      <c r="AQ194" s="5" t="s">
        <v>713</v>
      </c>
      <c r="AR194" s="5" t="s">
        <v>1104</v>
      </c>
      <c r="AS194" s="5"/>
      <c r="AT194" s="5"/>
      <c r="AU194" s="5"/>
      <c r="AV194" s="5">
        <v>-1</v>
      </c>
      <c r="AW194" s="5" t="s">
        <v>1269</v>
      </c>
    </row>
    <row r="195" spans="1:49" x14ac:dyDescent="0.55000000000000004">
      <c r="A195" s="5" t="str">
        <f>HYPERLINK("https://www.infodis.net/philips/net/Shipment/Details?InfodisNumber=6975946&amp;DomainCode=PHILIPSR1", "6975946")</f>
        <v>6975946</v>
      </c>
      <c r="B195" s="5" t="s">
        <v>5087</v>
      </c>
      <c r="C195" s="5" t="s">
        <v>4627</v>
      </c>
      <c r="D195" s="5" t="s">
        <v>4628</v>
      </c>
      <c r="E195" s="5" t="s">
        <v>4629</v>
      </c>
      <c r="F195" s="5" t="s">
        <v>915</v>
      </c>
      <c r="G195" s="5" t="s">
        <v>4630</v>
      </c>
      <c r="H195" s="5" t="s">
        <v>244</v>
      </c>
      <c r="I195" s="5"/>
      <c r="J195" s="5"/>
      <c r="K195" s="5" t="s">
        <v>1161</v>
      </c>
      <c r="L195" s="5" t="s">
        <v>881</v>
      </c>
      <c r="M195" s="5" t="s">
        <v>60</v>
      </c>
      <c r="N195" s="5"/>
      <c r="O195" s="5"/>
      <c r="P195" s="5" t="s">
        <v>250</v>
      </c>
      <c r="Q195" s="5"/>
      <c r="R195" s="5" t="s">
        <v>888</v>
      </c>
      <c r="S195" s="6">
        <v>44147</v>
      </c>
      <c r="T195" s="6">
        <v>44148</v>
      </c>
      <c r="U195" s="5"/>
      <c r="V195" s="5"/>
      <c r="W195" s="5"/>
      <c r="X195" s="5"/>
      <c r="Y195" s="5" t="s">
        <v>4608</v>
      </c>
      <c r="Z195" s="5"/>
      <c r="AA195" s="5"/>
      <c r="AB195" s="5" t="s">
        <v>67</v>
      </c>
      <c r="AC195" s="5" t="s">
        <v>68</v>
      </c>
      <c r="AD195" s="5" t="s">
        <v>68</v>
      </c>
      <c r="AE195" s="5"/>
      <c r="AF195" s="5" t="s">
        <v>4574</v>
      </c>
      <c r="AG195" s="5"/>
      <c r="AH195" s="5"/>
      <c r="AI195" s="5" t="s">
        <v>252</v>
      </c>
      <c r="AJ195" s="5">
        <v>0</v>
      </c>
      <c r="AK195" s="5">
        <v>0</v>
      </c>
      <c r="AL195" s="5"/>
      <c r="AM195" s="5"/>
      <c r="AN195" s="5">
        <v>16</v>
      </c>
      <c r="AO195" s="5">
        <v>1606</v>
      </c>
      <c r="AP195" s="5">
        <v>22.527000000000001</v>
      </c>
      <c r="AQ195" s="5" t="s">
        <v>713</v>
      </c>
      <c r="AR195" s="5" t="s">
        <v>1104</v>
      </c>
      <c r="AS195" s="5"/>
      <c r="AT195" s="5"/>
      <c r="AU195" s="5"/>
      <c r="AV195" s="5">
        <v>-1</v>
      </c>
      <c r="AW195" s="5" t="s">
        <v>4760</v>
      </c>
    </row>
    <row r="196" spans="1:49" x14ac:dyDescent="0.55000000000000004">
      <c r="A196" s="5" t="str">
        <f>HYPERLINK("https://www.infodis.net/philips/net/Shipment/Details?InfodisNumber=4129317&amp;DomainCode=DAP", "4129317")</f>
        <v>4129317</v>
      </c>
      <c r="B196" s="5" t="s">
        <v>5088</v>
      </c>
      <c r="C196" s="5" t="s">
        <v>4909</v>
      </c>
      <c r="D196" s="5" t="s">
        <v>4910</v>
      </c>
      <c r="E196" s="5" t="s">
        <v>4629</v>
      </c>
      <c r="F196" s="5" t="s">
        <v>5089</v>
      </c>
      <c r="G196" s="5" t="s">
        <v>4630</v>
      </c>
      <c r="H196" s="5" t="s">
        <v>244</v>
      </c>
      <c r="I196" s="5"/>
      <c r="J196" s="5"/>
      <c r="K196" s="5" t="s">
        <v>4840</v>
      </c>
      <c r="L196" s="5" t="s">
        <v>260</v>
      </c>
      <c r="M196" s="5" t="s">
        <v>60</v>
      </c>
      <c r="N196" s="5"/>
      <c r="O196" s="5"/>
      <c r="P196" s="5" t="s">
        <v>250</v>
      </c>
      <c r="Q196" s="5"/>
      <c r="R196" s="5" t="s">
        <v>5090</v>
      </c>
      <c r="S196" s="6">
        <v>43573</v>
      </c>
      <c r="T196" s="6">
        <v>43573</v>
      </c>
      <c r="U196" s="5"/>
      <c r="V196" s="5"/>
      <c r="W196" s="5"/>
      <c r="X196" s="5"/>
      <c r="Y196" s="5" t="s">
        <v>4804</v>
      </c>
      <c r="Z196" s="5"/>
      <c r="AA196" s="5"/>
      <c r="AB196" s="5" t="s">
        <v>67</v>
      </c>
      <c r="AC196" s="5" t="s">
        <v>68</v>
      </c>
      <c r="AD196" s="5" t="s">
        <v>68</v>
      </c>
      <c r="AE196" s="5"/>
      <c r="AF196" s="5" t="s">
        <v>4574</v>
      </c>
      <c r="AG196" s="5"/>
      <c r="AH196" s="5"/>
      <c r="AI196" s="5" t="s">
        <v>73</v>
      </c>
      <c r="AJ196" s="5">
        <v>0</v>
      </c>
      <c r="AK196" s="5">
        <v>0</v>
      </c>
      <c r="AL196" s="5"/>
      <c r="AM196" s="5"/>
      <c r="AN196" s="5">
        <v>2</v>
      </c>
      <c r="AO196" s="5">
        <v>51</v>
      </c>
      <c r="AP196" s="5">
        <v>1.0820000000000001</v>
      </c>
      <c r="AQ196" s="5" t="s">
        <v>713</v>
      </c>
      <c r="AR196" s="5" t="s">
        <v>1104</v>
      </c>
      <c r="AS196" s="5"/>
      <c r="AT196" s="5"/>
      <c r="AU196" s="5"/>
      <c r="AV196" s="5">
        <v>-1</v>
      </c>
      <c r="AW196" s="5" t="s">
        <v>5091</v>
      </c>
    </row>
    <row r="197" spans="1:49" x14ac:dyDescent="0.55000000000000004">
      <c r="A197" s="5" t="str">
        <f>HYPERLINK("https://www.infodis.net/philips/net/Shipment/Details?InfodisNumber=4091644&amp;DomainCode=DAP", "4091644")</f>
        <v>4091644</v>
      </c>
      <c r="B197" s="5" t="s">
        <v>5092</v>
      </c>
      <c r="C197" s="5" t="s">
        <v>4739</v>
      </c>
      <c r="D197" s="5" t="s">
        <v>4740</v>
      </c>
      <c r="E197" s="5" t="s">
        <v>2048</v>
      </c>
      <c r="F197" s="5" t="s">
        <v>4739</v>
      </c>
      <c r="G197" s="5" t="s">
        <v>1262</v>
      </c>
      <c r="H197" s="5" t="s">
        <v>1263</v>
      </c>
      <c r="I197" s="5"/>
      <c r="J197" s="5"/>
      <c r="K197" s="5" t="s">
        <v>4742</v>
      </c>
      <c r="L197" s="5" t="s">
        <v>1263</v>
      </c>
      <c r="M197" s="5" t="s">
        <v>84</v>
      </c>
      <c r="N197" s="5"/>
      <c r="O197" s="5"/>
      <c r="P197" s="5" t="s">
        <v>1264</v>
      </c>
      <c r="Q197" s="5"/>
      <c r="R197" s="5" t="s">
        <v>4743</v>
      </c>
      <c r="S197" s="6">
        <v>43549</v>
      </c>
      <c r="T197" s="6">
        <v>43551</v>
      </c>
      <c r="U197" s="6">
        <v>43550</v>
      </c>
      <c r="V197" s="5"/>
      <c r="W197" s="5"/>
      <c r="X197" s="5"/>
      <c r="Y197" s="5" t="s">
        <v>4643</v>
      </c>
      <c r="Z197" s="5"/>
      <c r="AA197" s="5"/>
      <c r="AB197" s="5" t="s">
        <v>67</v>
      </c>
      <c r="AC197" s="5" t="s">
        <v>68</v>
      </c>
      <c r="AD197" s="5" t="s">
        <v>68</v>
      </c>
      <c r="AE197" s="5"/>
      <c r="AF197" s="5" t="s">
        <v>4574</v>
      </c>
      <c r="AG197" s="5"/>
      <c r="AH197" s="5"/>
      <c r="AI197" s="5" t="s">
        <v>73</v>
      </c>
      <c r="AJ197" s="5">
        <v>0</v>
      </c>
      <c r="AK197" s="5">
        <v>0</v>
      </c>
      <c r="AL197" s="5"/>
      <c r="AM197" s="5"/>
      <c r="AN197" s="5">
        <v>7</v>
      </c>
      <c r="AO197" s="5">
        <v>1150</v>
      </c>
      <c r="AP197" s="5">
        <v>14.4</v>
      </c>
      <c r="AQ197" s="5" t="s">
        <v>713</v>
      </c>
      <c r="AR197" s="5" t="s">
        <v>1104</v>
      </c>
      <c r="AS197" s="5"/>
      <c r="AT197" s="5"/>
      <c r="AU197" s="5"/>
      <c r="AV197" s="5">
        <v>-1</v>
      </c>
      <c r="AW197" s="5" t="s">
        <v>4926</v>
      </c>
    </row>
    <row r="198" spans="1:49" x14ac:dyDescent="0.55000000000000004">
      <c r="A198" s="5" t="str">
        <f>HYPERLINK("https://www.infodis.net/philips/net/Shipment/Details?InfodisNumber=4014633&amp;DomainCode=DAP", "4014633")</f>
        <v>4014633</v>
      </c>
      <c r="B198" s="5" t="s">
        <v>5093</v>
      </c>
      <c r="C198" s="5" t="s">
        <v>4909</v>
      </c>
      <c r="D198" s="5" t="s">
        <v>4910</v>
      </c>
      <c r="E198" s="5" t="s">
        <v>4629</v>
      </c>
      <c r="F198" s="5" t="s">
        <v>4911</v>
      </c>
      <c r="G198" s="5" t="s">
        <v>4630</v>
      </c>
      <c r="H198" s="5" t="s">
        <v>244</v>
      </c>
      <c r="I198" s="5"/>
      <c r="J198" s="5"/>
      <c r="K198" s="5" t="s">
        <v>4912</v>
      </c>
      <c r="L198" s="5" t="s">
        <v>4913</v>
      </c>
      <c r="M198" s="5" t="s">
        <v>60</v>
      </c>
      <c r="N198" s="5"/>
      <c r="O198" s="5"/>
      <c r="P198" s="5" t="s">
        <v>250</v>
      </c>
      <c r="Q198" s="5"/>
      <c r="R198" s="5" t="s">
        <v>908</v>
      </c>
      <c r="S198" s="6">
        <v>43497</v>
      </c>
      <c r="T198" s="6">
        <v>43497</v>
      </c>
      <c r="U198" s="6">
        <v>43497</v>
      </c>
      <c r="V198" s="5"/>
      <c r="W198" s="5"/>
      <c r="X198" s="5"/>
      <c r="Y198" s="5" t="s">
        <v>4914</v>
      </c>
      <c r="Z198" s="5"/>
      <c r="AA198" s="5"/>
      <c r="AB198" s="5" t="s">
        <v>67</v>
      </c>
      <c r="AC198" s="5" t="s">
        <v>68</v>
      </c>
      <c r="AD198" s="5" t="s">
        <v>68</v>
      </c>
      <c r="AE198" s="5"/>
      <c r="AF198" s="5" t="s">
        <v>4574</v>
      </c>
      <c r="AG198" s="5"/>
      <c r="AH198" s="5"/>
      <c r="AI198" s="5" t="s">
        <v>73</v>
      </c>
      <c r="AJ198" s="5">
        <v>0</v>
      </c>
      <c r="AK198" s="5">
        <v>0</v>
      </c>
      <c r="AL198" s="5"/>
      <c r="AM198" s="5"/>
      <c r="AN198" s="5">
        <v>1</v>
      </c>
      <c r="AO198" s="5">
        <v>80</v>
      </c>
      <c r="AP198" s="5">
        <v>0.48499999999999999</v>
      </c>
      <c r="AQ198" s="5" t="s">
        <v>713</v>
      </c>
      <c r="AR198" s="5" t="s">
        <v>1104</v>
      </c>
      <c r="AS198" s="5"/>
      <c r="AT198" s="5"/>
      <c r="AU198" s="5"/>
      <c r="AV198" s="5">
        <v>-1</v>
      </c>
      <c r="AW198" s="5" t="s">
        <v>2301</v>
      </c>
    </row>
    <row r="199" spans="1:49" x14ac:dyDescent="0.55000000000000004">
      <c r="A199" s="5" t="str">
        <f>HYPERLINK("https://www.infodis.net/philips/net/Shipment/Details?InfodisNumber=6716421&amp;DomainCode=PHILIPSR1", "6716421")</f>
        <v>6716421</v>
      </c>
      <c r="B199" s="5" t="s">
        <v>5094</v>
      </c>
      <c r="C199" s="5" t="s">
        <v>4627</v>
      </c>
      <c r="D199" s="5" t="s">
        <v>4628</v>
      </c>
      <c r="E199" s="5" t="s">
        <v>4629</v>
      </c>
      <c r="F199" s="5" t="s">
        <v>915</v>
      </c>
      <c r="G199" s="5" t="s">
        <v>4630</v>
      </c>
      <c r="H199" s="5" t="s">
        <v>244</v>
      </c>
      <c r="I199" s="5"/>
      <c r="J199" s="5"/>
      <c r="K199" s="5" t="s">
        <v>918</v>
      </c>
      <c r="L199" s="5" t="s">
        <v>881</v>
      </c>
      <c r="M199" s="5" t="s">
        <v>60</v>
      </c>
      <c r="N199" s="5"/>
      <c r="O199" s="5"/>
      <c r="P199" s="5" t="s">
        <v>250</v>
      </c>
      <c r="Q199" s="5"/>
      <c r="R199" s="5" t="s">
        <v>888</v>
      </c>
      <c r="S199" s="6">
        <v>44057</v>
      </c>
      <c r="T199" s="6">
        <v>44060</v>
      </c>
      <c r="U199" s="6">
        <v>44060</v>
      </c>
      <c r="V199" s="5"/>
      <c r="W199" s="5"/>
      <c r="X199" s="5"/>
      <c r="Y199" s="5" t="s">
        <v>4750</v>
      </c>
      <c r="Z199" s="5"/>
      <c r="AA199" s="5"/>
      <c r="AB199" s="5" t="s">
        <v>67</v>
      </c>
      <c r="AC199" s="5" t="s">
        <v>68</v>
      </c>
      <c r="AD199" s="5" t="s">
        <v>68</v>
      </c>
      <c r="AE199" s="5"/>
      <c r="AF199" s="5" t="s">
        <v>4574</v>
      </c>
      <c r="AG199" s="5"/>
      <c r="AH199" s="5"/>
      <c r="AI199" s="5" t="s">
        <v>252</v>
      </c>
      <c r="AJ199" s="5">
        <v>0</v>
      </c>
      <c r="AK199" s="5">
        <v>0</v>
      </c>
      <c r="AL199" s="5"/>
      <c r="AM199" s="5"/>
      <c r="AN199" s="5">
        <v>8</v>
      </c>
      <c r="AO199" s="5">
        <v>1310</v>
      </c>
      <c r="AP199" s="5">
        <v>10.637</v>
      </c>
      <c r="AQ199" s="5" t="s">
        <v>713</v>
      </c>
      <c r="AR199" s="5" t="s">
        <v>1104</v>
      </c>
      <c r="AS199" s="5"/>
      <c r="AT199" s="5"/>
      <c r="AU199" s="5"/>
      <c r="AV199" s="5">
        <v>-1</v>
      </c>
      <c r="AW199" s="5" t="s">
        <v>4751</v>
      </c>
    </row>
    <row r="200" spans="1:49" x14ac:dyDescent="0.55000000000000004">
      <c r="A200" s="5" t="str">
        <f>HYPERLINK("https://www.infodis.net/philips/net/Shipment/Details?InfodisNumber=4406386&amp;DomainCode=DAP", "4406386")</f>
        <v>4406386</v>
      </c>
      <c r="B200" s="5" t="s">
        <v>5095</v>
      </c>
      <c r="C200" s="5" t="s">
        <v>212</v>
      </c>
      <c r="D200" s="5" t="s">
        <v>213</v>
      </c>
      <c r="E200" s="5" t="s">
        <v>214</v>
      </c>
      <c r="F200" s="5" t="s">
        <v>4969</v>
      </c>
      <c r="G200" s="5" t="s">
        <v>216</v>
      </c>
      <c r="H200" s="5" t="s">
        <v>55</v>
      </c>
      <c r="I200" s="5"/>
      <c r="J200" s="5"/>
      <c r="K200" s="5" t="s">
        <v>3334</v>
      </c>
      <c r="L200" s="5" t="s">
        <v>380</v>
      </c>
      <c r="M200" s="5" t="s">
        <v>60</v>
      </c>
      <c r="N200" s="5"/>
      <c r="O200" s="5"/>
      <c r="P200" s="5" t="s">
        <v>2369</v>
      </c>
      <c r="Q200" s="5"/>
      <c r="R200" s="5" t="s">
        <v>662</v>
      </c>
      <c r="S200" s="6">
        <v>43887</v>
      </c>
      <c r="T200" s="6">
        <v>43893</v>
      </c>
      <c r="U200" s="5"/>
      <c r="V200" s="5"/>
      <c r="W200" s="5"/>
      <c r="X200" s="5"/>
      <c r="Y200" s="5" t="s">
        <v>5096</v>
      </c>
      <c r="Z200" s="5"/>
      <c r="AA200" s="5"/>
      <c r="AB200" s="5" t="s">
        <v>68</v>
      </c>
      <c r="AC200" s="5" t="s">
        <v>68</v>
      </c>
      <c r="AD200" s="5" t="s">
        <v>68</v>
      </c>
      <c r="AE200" s="5"/>
      <c r="AF200" s="5" t="s">
        <v>70</v>
      </c>
      <c r="AG200" s="5"/>
      <c r="AH200" s="5"/>
      <c r="AI200" s="5" t="s">
        <v>73</v>
      </c>
      <c r="AJ200" s="5">
        <v>0</v>
      </c>
      <c r="AK200" s="5">
        <v>0</v>
      </c>
      <c r="AL200" s="5"/>
      <c r="AM200" s="5"/>
      <c r="AN200" s="5">
        <v>0</v>
      </c>
      <c r="AO200" s="5">
        <v>126.80800000000001</v>
      </c>
      <c r="AP200" s="5">
        <v>1.1439999999999999</v>
      </c>
      <c r="AQ200" s="5" t="s">
        <v>713</v>
      </c>
      <c r="AR200" s="5" t="s">
        <v>1104</v>
      </c>
      <c r="AS200" s="5"/>
      <c r="AT200" s="5"/>
      <c r="AU200" s="5"/>
      <c r="AV200" s="5">
        <v>-1</v>
      </c>
      <c r="AW200" s="5" t="s">
        <v>4807</v>
      </c>
    </row>
    <row r="201" spans="1:49" x14ac:dyDescent="0.55000000000000004">
      <c r="A201" s="5" t="str">
        <f>HYPERLINK("https://www.infodis.net/philips/net/Shipment/Details?InfodisNumber=4046785&amp;DomainCode=DAP", "4046785")</f>
        <v>4046785</v>
      </c>
      <c r="B201" s="5" t="s">
        <v>5097</v>
      </c>
      <c r="C201" s="5" t="s">
        <v>4946</v>
      </c>
      <c r="D201" s="5" t="s">
        <v>4947</v>
      </c>
      <c r="E201" s="5" t="s">
        <v>2048</v>
      </c>
      <c r="F201" s="5" t="s">
        <v>4946</v>
      </c>
      <c r="G201" s="5" t="s">
        <v>1262</v>
      </c>
      <c r="H201" s="5" t="s">
        <v>1263</v>
      </c>
      <c r="I201" s="5"/>
      <c r="J201" s="5"/>
      <c r="K201" s="5" t="s">
        <v>4948</v>
      </c>
      <c r="L201" s="5" t="s">
        <v>1263</v>
      </c>
      <c r="M201" s="5" t="s">
        <v>84</v>
      </c>
      <c r="N201" s="5"/>
      <c r="O201" s="5"/>
      <c r="P201" s="5" t="s">
        <v>1264</v>
      </c>
      <c r="Q201" s="5"/>
      <c r="R201" s="5" t="s">
        <v>4949</v>
      </c>
      <c r="S201" s="6">
        <v>43521</v>
      </c>
      <c r="T201" s="6">
        <v>43523</v>
      </c>
      <c r="U201" s="6">
        <v>43523</v>
      </c>
      <c r="V201" s="5"/>
      <c r="W201" s="5"/>
      <c r="X201" s="5"/>
      <c r="Y201" s="5" t="s">
        <v>4643</v>
      </c>
      <c r="Z201" s="5"/>
      <c r="AA201" s="5"/>
      <c r="AB201" s="5" t="s">
        <v>67</v>
      </c>
      <c r="AC201" s="5" t="s">
        <v>68</v>
      </c>
      <c r="AD201" s="5" t="s">
        <v>68</v>
      </c>
      <c r="AE201" s="5"/>
      <c r="AF201" s="5" t="s">
        <v>4574</v>
      </c>
      <c r="AG201" s="5"/>
      <c r="AH201" s="5"/>
      <c r="AI201" s="5" t="s">
        <v>73</v>
      </c>
      <c r="AJ201" s="5">
        <v>0</v>
      </c>
      <c r="AK201" s="5">
        <v>0</v>
      </c>
      <c r="AL201" s="5"/>
      <c r="AM201" s="5"/>
      <c r="AN201" s="5">
        <v>1</v>
      </c>
      <c r="AO201" s="5">
        <v>54</v>
      </c>
      <c r="AP201" s="5">
        <v>0.38400000000000001</v>
      </c>
      <c r="AQ201" s="5" t="s">
        <v>713</v>
      </c>
      <c r="AR201" s="5" t="s">
        <v>1104</v>
      </c>
      <c r="AS201" s="5"/>
      <c r="AT201" s="5"/>
      <c r="AU201" s="5"/>
      <c r="AV201" s="5">
        <v>-1</v>
      </c>
      <c r="AW201" s="5" t="s">
        <v>4926</v>
      </c>
    </row>
    <row r="202" spans="1:49" x14ac:dyDescent="0.55000000000000004">
      <c r="A202" s="5" t="str">
        <f>HYPERLINK("https://www.infodis.net/philips/net/Shipment/Details?InfodisNumber=3973492&amp;DomainCode=DAP", "3973492")</f>
        <v>3973492</v>
      </c>
      <c r="B202" s="5" t="s">
        <v>5098</v>
      </c>
      <c r="C202" s="5" t="s">
        <v>4988</v>
      </c>
      <c r="D202" s="5" t="s">
        <v>4989</v>
      </c>
      <c r="E202" s="5" t="s">
        <v>2048</v>
      </c>
      <c r="F202" s="5" t="s">
        <v>4988</v>
      </c>
      <c r="G202" s="5" t="s">
        <v>1262</v>
      </c>
      <c r="H202" s="5" t="s">
        <v>1263</v>
      </c>
      <c r="I202" s="5"/>
      <c r="J202" s="5"/>
      <c r="K202" s="5" t="s">
        <v>4990</v>
      </c>
      <c r="L202" s="5" t="s">
        <v>1263</v>
      </c>
      <c r="M202" s="5" t="s">
        <v>60</v>
      </c>
      <c r="N202" s="5"/>
      <c r="O202" s="5"/>
      <c r="P202" s="5" t="s">
        <v>1264</v>
      </c>
      <c r="Q202" s="5"/>
      <c r="R202" s="5" t="s">
        <v>4985</v>
      </c>
      <c r="S202" s="6">
        <v>43473</v>
      </c>
      <c r="T202" s="6">
        <v>43474</v>
      </c>
      <c r="U202" s="6">
        <v>43474</v>
      </c>
      <c r="V202" s="5"/>
      <c r="W202" s="5"/>
      <c r="X202" s="5"/>
      <c r="Y202" s="5" t="s">
        <v>4643</v>
      </c>
      <c r="Z202" s="5"/>
      <c r="AA202" s="5"/>
      <c r="AB202" s="5" t="s">
        <v>67</v>
      </c>
      <c r="AC202" s="5" t="s">
        <v>68</v>
      </c>
      <c r="AD202" s="5" t="s">
        <v>68</v>
      </c>
      <c r="AE202" s="5"/>
      <c r="AF202" s="5" t="s">
        <v>4574</v>
      </c>
      <c r="AG202" s="5"/>
      <c r="AH202" s="5"/>
      <c r="AI202" s="5" t="s">
        <v>73</v>
      </c>
      <c r="AJ202" s="5">
        <v>0</v>
      </c>
      <c r="AK202" s="5">
        <v>0</v>
      </c>
      <c r="AL202" s="5"/>
      <c r="AM202" s="5"/>
      <c r="AN202" s="5">
        <v>3</v>
      </c>
      <c r="AO202" s="5">
        <v>4350</v>
      </c>
      <c r="AP202" s="5">
        <v>3.456</v>
      </c>
      <c r="AQ202" s="5" t="s">
        <v>713</v>
      </c>
      <c r="AR202" s="5" t="s">
        <v>1104</v>
      </c>
      <c r="AS202" s="5"/>
      <c r="AT202" s="5"/>
      <c r="AU202" s="5"/>
      <c r="AV202" s="5">
        <v>-1</v>
      </c>
      <c r="AW202" s="5" t="s">
        <v>4926</v>
      </c>
    </row>
    <row r="203" spans="1:49" x14ac:dyDescent="0.55000000000000004">
      <c r="A203" s="5" t="str">
        <f>HYPERLINK("https://www.infodis.net/philips/net/Shipment/Details?InfodisNumber=6479252&amp;DomainCode=PHILIPSR1", "6479252")</f>
        <v>6479252</v>
      </c>
      <c r="B203" s="5" t="s">
        <v>5099</v>
      </c>
      <c r="C203" s="5" t="s">
        <v>4627</v>
      </c>
      <c r="D203" s="5" t="s">
        <v>4628</v>
      </c>
      <c r="E203" s="5" t="s">
        <v>4629</v>
      </c>
      <c r="F203" s="5" t="s">
        <v>5100</v>
      </c>
      <c r="G203" s="5" t="s">
        <v>4630</v>
      </c>
      <c r="H203" s="5" t="s">
        <v>244</v>
      </c>
      <c r="I203" s="5"/>
      <c r="J203" s="5"/>
      <c r="K203" s="5" t="s">
        <v>5101</v>
      </c>
      <c r="L203" s="5" t="s">
        <v>296</v>
      </c>
      <c r="M203" s="5" t="s">
        <v>60</v>
      </c>
      <c r="N203" s="5"/>
      <c r="O203" s="5"/>
      <c r="P203" s="5" t="s">
        <v>250</v>
      </c>
      <c r="Q203" s="5"/>
      <c r="R203" s="5" t="s">
        <v>5102</v>
      </c>
      <c r="S203" s="6">
        <v>43964</v>
      </c>
      <c r="T203" s="6">
        <v>43964</v>
      </c>
      <c r="U203" s="6">
        <v>43964</v>
      </c>
      <c r="V203" s="5"/>
      <c r="W203" s="5"/>
      <c r="X203" s="5"/>
      <c r="Y203" s="5" t="s">
        <v>4750</v>
      </c>
      <c r="Z203" s="5"/>
      <c r="AA203" s="5"/>
      <c r="AB203" s="5" t="s">
        <v>67</v>
      </c>
      <c r="AC203" s="5" t="s">
        <v>68</v>
      </c>
      <c r="AD203" s="5" t="s">
        <v>68</v>
      </c>
      <c r="AE203" s="5"/>
      <c r="AF203" s="5" t="s">
        <v>4574</v>
      </c>
      <c r="AG203" s="5"/>
      <c r="AH203" s="5"/>
      <c r="AI203" s="5" t="s">
        <v>252</v>
      </c>
      <c r="AJ203" s="5">
        <v>0</v>
      </c>
      <c r="AK203" s="5">
        <v>0</v>
      </c>
      <c r="AL203" s="5"/>
      <c r="AM203" s="5"/>
      <c r="AN203" s="5">
        <v>1</v>
      </c>
      <c r="AO203" s="5">
        <v>200</v>
      </c>
      <c r="AP203" s="5">
        <v>1.6319999999999999</v>
      </c>
      <c r="AQ203" s="5" t="s">
        <v>713</v>
      </c>
      <c r="AR203" s="5" t="s">
        <v>1104</v>
      </c>
      <c r="AS203" s="5" t="s">
        <v>713</v>
      </c>
      <c r="AT203" s="6">
        <v>43979</v>
      </c>
      <c r="AU203" s="5" t="s">
        <v>4814</v>
      </c>
      <c r="AV203" s="5">
        <v>183</v>
      </c>
      <c r="AW203" s="5" t="s">
        <v>4751</v>
      </c>
    </row>
    <row r="204" spans="1:49" x14ac:dyDescent="0.55000000000000004">
      <c r="A204" s="5" t="str">
        <f>HYPERLINK("https://www.infodis.net/philips/net/Shipment/Details?InfodisNumber=6838988&amp;DomainCode=PHILIPSR1", "6838988")</f>
        <v>6838988</v>
      </c>
      <c r="B204" s="5" t="s">
        <v>5103</v>
      </c>
      <c r="C204" s="5" t="s">
        <v>4627</v>
      </c>
      <c r="D204" s="5" t="s">
        <v>4628</v>
      </c>
      <c r="E204" s="5" t="s">
        <v>4629</v>
      </c>
      <c r="F204" s="5"/>
      <c r="G204" s="5" t="s">
        <v>4630</v>
      </c>
      <c r="H204" s="5" t="s">
        <v>244</v>
      </c>
      <c r="I204" s="5"/>
      <c r="J204" s="5"/>
      <c r="K204" s="5" t="s">
        <v>4797</v>
      </c>
      <c r="L204" s="5" t="s">
        <v>453</v>
      </c>
      <c r="M204" s="5" t="s">
        <v>60</v>
      </c>
      <c r="N204" s="5"/>
      <c r="O204" s="5"/>
      <c r="P204" s="5" t="s">
        <v>250</v>
      </c>
      <c r="Q204" s="5"/>
      <c r="R204" s="5" t="s">
        <v>4798</v>
      </c>
      <c r="S204" s="6">
        <v>44102</v>
      </c>
      <c r="T204" s="6">
        <v>44102</v>
      </c>
      <c r="U204" s="6">
        <v>44102</v>
      </c>
      <c r="V204" s="5"/>
      <c r="W204" s="5"/>
      <c r="X204" s="5"/>
      <c r="Y204" s="5" t="s">
        <v>4750</v>
      </c>
      <c r="Z204" s="5"/>
      <c r="AA204" s="5"/>
      <c r="AB204" s="5" t="s">
        <v>67</v>
      </c>
      <c r="AC204" s="5" t="s">
        <v>68</v>
      </c>
      <c r="AD204" s="5" t="s">
        <v>68</v>
      </c>
      <c r="AE204" s="5"/>
      <c r="AF204" s="5" t="s">
        <v>4574</v>
      </c>
      <c r="AG204" s="5"/>
      <c r="AH204" s="5"/>
      <c r="AI204" s="5" t="s">
        <v>252</v>
      </c>
      <c r="AJ204" s="5">
        <v>0</v>
      </c>
      <c r="AK204" s="5">
        <v>0</v>
      </c>
      <c r="AL204" s="5"/>
      <c r="AM204" s="5"/>
      <c r="AN204" s="5">
        <v>4</v>
      </c>
      <c r="AO204" s="5">
        <v>560</v>
      </c>
      <c r="AP204" s="5">
        <v>5.9039999999999999</v>
      </c>
      <c r="AQ204" s="5" t="s">
        <v>713</v>
      </c>
      <c r="AR204" s="5" t="s">
        <v>1104</v>
      </c>
      <c r="AS204" s="5"/>
      <c r="AT204" s="5"/>
      <c r="AU204" s="5"/>
      <c r="AV204" s="5">
        <v>-1</v>
      </c>
      <c r="AW204" s="5" t="s">
        <v>4751</v>
      </c>
    </row>
    <row r="205" spans="1:49" x14ac:dyDescent="0.55000000000000004">
      <c r="A205" s="5" t="str">
        <f>HYPERLINK("https://www.infodis.net/philips/net/Shipment/Details?InfodisNumber=6816330&amp;DomainCode=PHILIPSR1", "6816330")</f>
        <v>6816330</v>
      </c>
      <c r="B205" s="5" t="s">
        <v>5104</v>
      </c>
      <c r="C205" s="5" t="s">
        <v>4627</v>
      </c>
      <c r="D205" s="5" t="s">
        <v>4628</v>
      </c>
      <c r="E205" s="5" t="s">
        <v>4629</v>
      </c>
      <c r="F205" s="5"/>
      <c r="G205" s="5" t="s">
        <v>4630</v>
      </c>
      <c r="H205" s="5" t="s">
        <v>244</v>
      </c>
      <c r="I205" s="5"/>
      <c r="J205" s="5"/>
      <c r="K205" s="5" t="s">
        <v>4790</v>
      </c>
      <c r="L205" s="5" t="s">
        <v>4547</v>
      </c>
      <c r="M205" s="5" t="s">
        <v>60</v>
      </c>
      <c r="N205" s="5"/>
      <c r="O205" s="5"/>
      <c r="P205" s="5" t="s">
        <v>250</v>
      </c>
      <c r="Q205" s="5"/>
      <c r="R205" s="5" t="s">
        <v>4791</v>
      </c>
      <c r="S205" s="6">
        <v>44095</v>
      </c>
      <c r="T205" s="6">
        <v>44096</v>
      </c>
      <c r="U205" s="6">
        <v>44096</v>
      </c>
      <c r="V205" s="5"/>
      <c r="W205" s="5"/>
      <c r="X205" s="5"/>
      <c r="Y205" s="5" t="s">
        <v>4750</v>
      </c>
      <c r="Z205" s="5"/>
      <c r="AA205" s="5"/>
      <c r="AB205" s="5" t="s">
        <v>67</v>
      </c>
      <c r="AC205" s="5" t="s">
        <v>68</v>
      </c>
      <c r="AD205" s="5" t="s">
        <v>68</v>
      </c>
      <c r="AE205" s="5"/>
      <c r="AF205" s="5" t="s">
        <v>4574</v>
      </c>
      <c r="AG205" s="5"/>
      <c r="AH205" s="5"/>
      <c r="AI205" s="5" t="s">
        <v>252</v>
      </c>
      <c r="AJ205" s="5">
        <v>0</v>
      </c>
      <c r="AK205" s="5">
        <v>0</v>
      </c>
      <c r="AL205" s="5"/>
      <c r="AM205" s="5"/>
      <c r="AN205" s="5">
        <v>32</v>
      </c>
      <c r="AO205" s="5">
        <v>3580</v>
      </c>
      <c r="AP205" s="5">
        <v>46.11</v>
      </c>
      <c r="AQ205" s="5" t="s">
        <v>713</v>
      </c>
      <c r="AR205" s="5" t="s">
        <v>1104</v>
      </c>
      <c r="AS205" s="5"/>
      <c r="AT205" s="5"/>
      <c r="AU205" s="5"/>
      <c r="AV205" s="5">
        <v>-1</v>
      </c>
      <c r="AW205" s="5" t="s">
        <v>4751</v>
      </c>
    </row>
    <row r="206" spans="1:49" x14ac:dyDescent="0.55000000000000004">
      <c r="A206" s="5" t="str">
        <f>HYPERLINK("https://www.infodis.net/philips/net/Shipment/Details?InfodisNumber=6364695&amp;DomainCode=PHILIPSR1", "6364695")</f>
        <v>6364695</v>
      </c>
      <c r="B206" s="5" t="s">
        <v>5105</v>
      </c>
      <c r="C206" s="5" t="s">
        <v>4627</v>
      </c>
      <c r="D206" s="5" t="s">
        <v>4628</v>
      </c>
      <c r="E206" s="5"/>
      <c r="F206" s="5"/>
      <c r="G206" s="5" t="s">
        <v>5106</v>
      </c>
      <c r="H206" s="5" t="s">
        <v>244</v>
      </c>
      <c r="I206" s="5"/>
      <c r="J206" s="5"/>
      <c r="K206" s="5" t="s">
        <v>5107</v>
      </c>
      <c r="L206" s="5" t="s">
        <v>244</v>
      </c>
      <c r="M206" s="5" t="s">
        <v>60</v>
      </c>
      <c r="N206" s="5"/>
      <c r="O206" s="5"/>
      <c r="P206" s="5" t="s">
        <v>5108</v>
      </c>
      <c r="Q206" s="5"/>
      <c r="R206" s="5" t="s">
        <v>5109</v>
      </c>
      <c r="S206" s="6">
        <v>43920</v>
      </c>
      <c r="T206" s="6">
        <v>43920</v>
      </c>
      <c r="U206" s="6">
        <v>43920</v>
      </c>
      <c r="V206" s="5"/>
      <c r="W206" s="5"/>
      <c r="X206" s="5"/>
      <c r="Y206" s="5" t="s">
        <v>4750</v>
      </c>
      <c r="Z206" s="5"/>
      <c r="AA206" s="5"/>
      <c r="AB206" s="5" t="s">
        <v>67</v>
      </c>
      <c r="AC206" s="5" t="s">
        <v>68</v>
      </c>
      <c r="AD206" s="5" t="s">
        <v>68</v>
      </c>
      <c r="AE206" s="5"/>
      <c r="AF206" s="5" t="s">
        <v>4574</v>
      </c>
      <c r="AG206" s="5"/>
      <c r="AH206" s="5"/>
      <c r="AI206" s="5" t="s">
        <v>252</v>
      </c>
      <c r="AJ206" s="5">
        <v>0</v>
      </c>
      <c r="AK206" s="5">
        <v>0</v>
      </c>
      <c r="AL206" s="5"/>
      <c r="AM206" s="5"/>
      <c r="AN206" s="5">
        <v>1</v>
      </c>
      <c r="AO206" s="5">
        <v>40</v>
      </c>
      <c r="AP206" s="5">
        <v>0.45100000000000001</v>
      </c>
      <c r="AQ206" s="5" t="s">
        <v>713</v>
      </c>
      <c r="AR206" s="5" t="s">
        <v>1104</v>
      </c>
      <c r="AS206" s="5"/>
      <c r="AT206" s="5"/>
      <c r="AU206" s="5"/>
      <c r="AV206" s="5">
        <v>-1</v>
      </c>
      <c r="AW206" s="5" t="s">
        <v>5110</v>
      </c>
    </row>
    <row r="207" spans="1:49" x14ac:dyDescent="0.55000000000000004">
      <c r="A207" s="5" t="str">
        <f>HYPERLINK("https://www.infodis.net/philips/net/Shipment/Details?InfodisNumber=6562887&amp;DomainCode=PHILIPSR1", "6562887")</f>
        <v>6562887</v>
      </c>
      <c r="B207" s="5" t="s">
        <v>5111</v>
      </c>
      <c r="C207" s="5" t="s">
        <v>4627</v>
      </c>
      <c r="D207" s="5" t="s">
        <v>4628</v>
      </c>
      <c r="E207" s="5" t="s">
        <v>242</v>
      </c>
      <c r="F207" s="5" t="s">
        <v>4627</v>
      </c>
      <c r="G207" s="5" t="s">
        <v>5112</v>
      </c>
      <c r="H207" s="5" t="s">
        <v>2204</v>
      </c>
      <c r="I207" s="5"/>
      <c r="J207" s="5"/>
      <c r="K207" s="5" t="s">
        <v>4630</v>
      </c>
      <c r="L207" s="5" t="s">
        <v>244</v>
      </c>
      <c r="M207" s="5" t="s">
        <v>84</v>
      </c>
      <c r="N207" s="5"/>
      <c r="O207" s="5"/>
      <c r="P207" s="5" t="s">
        <v>5113</v>
      </c>
      <c r="Q207" s="5"/>
      <c r="R207" s="5" t="s">
        <v>250</v>
      </c>
      <c r="S207" s="6">
        <v>43998</v>
      </c>
      <c r="T207" s="6">
        <v>43998</v>
      </c>
      <c r="U207" s="6">
        <v>43998</v>
      </c>
      <c r="V207" s="5"/>
      <c r="W207" s="5"/>
      <c r="X207" s="5"/>
      <c r="Y207" s="5" t="s">
        <v>4750</v>
      </c>
      <c r="Z207" s="5"/>
      <c r="AA207" s="5"/>
      <c r="AB207" s="5" t="s">
        <v>67</v>
      </c>
      <c r="AC207" s="5" t="s">
        <v>68</v>
      </c>
      <c r="AD207" s="5" t="s">
        <v>68</v>
      </c>
      <c r="AE207" s="5"/>
      <c r="AF207" s="5" t="s">
        <v>4574</v>
      </c>
      <c r="AG207" s="5"/>
      <c r="AH207" s="5"/>
      <c r="AI207" s="5" t="s">
        <v>252</v>
      </c>
      <c r="AJ207" s="5">
        <v>0</v>
      </c>
      <c r="AK207" s="5">
        <v>0</v>
      </c>
      <c r="AL207" s="5"/>
      <c r="AM207" s="5"/>
      <c r="AN207" s="5">
        <v>18</v>
      </c>
      <c r="AO207" s="5">
        <v>3240</v>
      </c>
      <c r="AP207" s="5">
        <v>30.521000000000001</v>
      </c>
      <c r="AQ207" s="5" t="s">
        <v>713</v>
      </c>
      <c r="AR207" s="5" t="s">
        <v>1104</v>
      </c>
      <c r="AS207" s="5"/>
      <c r="AT207" s="5"/>
      <c r="AU207" s="5"/>
      <c r="AV207" s="5">
        <v>-1</v>
      </c>
      <c r="AW207" s="5" t="s">
        <v>4751</v>
      </c>
    </row>
    <row r="208" spans="1:49" x14ac:dyDescent="0.55000000000000004">
      <c r="A208" s="5" t="str">
        <f>HYPERLINK("https://www.infodis.net/philips/net/Shipment/Details?InfodisNumber=1359277&amp;DomainCode=PHILIPSM1", "1359277")</f>
        <v>1359277</v>
      </c>
      <c r="B208" s="5" t="s">
        <v>5114</v>
      </c>
      <c r="C208" s="5" t="s">
        <v>5115</v>
      </c>
      <c r="D208" s="5" t="s">
        <v>5116</v>
      </c>
      <c r="E208" s="5" t="s">
        <v>5115</v>
      </c>
      <c r="F208" s="5" t="s">
        <v>4674</v>
      </c>
      <c r="G208" s="5" t="s">
        <v>5117</v>
      </c>
      <c r="H208" s="5" t="s">
        <v>881</v>
      </c>
      <c r="I208" s="5"/>
      <c r="J208" s="5"/>
      <c r="K208" s="5" t="s">
        <v>3867</v>
      </c>
      <c r="L208" s="5" t="s">
        <v>55</v>
      </c>
      <c r="M208" s="5" t="s">
        <v>84</v>
      </c>
      <c r="N208" s="5"/>
      <c r="O208" s="5"/>
      <c r="P208" s="5" t="s">
        <v>2935</v>
      </c>
      <c r="Q208" s="5"/>
      <c r="R208" s="5" t="s">
        <v>3868</v>
      </c>
      <c r="S208" s="6">
        <v>43986</v>
      </c>
      <c r="T208" s="6">
        <v>43987</v>
      </c>
      <c r="U208" s="6">
        <v>43990</v>
      </c>
      <c r="V208" s="5"/>
      <c r="W208" s="5"/>
      <c r="X208" s="5"/>
      <c r="Y208" s="5" t="s">
        <v>4624</v>
      </c>
      <c r="Z208" s="5"/>
      <c r="AA208" s="5"/>
      <c r="AB208" s="5" t="s">
        <v>67</v>
      </c>
      <c r="AC208" s="5" t="s">
        <v>68</v>
      </c>
      <c r="AD208" s="5" t="s">
        <v>68</v>
      </c>
      <c r="AE208" s="5"/>
      <c r="AF208" s="5" t="s">
        <v>70</v>
      </c>
      <c r="AG208" s="5"/>
      <c r="AH208" s="5"/>
      <c r="AI208" s="5" t="s">
        <v>3933</v>
      </c>
      <c r="AJ208" s="5">
        <v>0</v>
      </c>
      <c r="AK208" s="5">
        <v>0</v>
      </c>
      <c r="AL208" s="5"/>
      <c r="AM208" s="5"/>
      <c r="AN208" s="5">
        <v>0</v>
      </c>
      <c r="AO208" s="5">
        <v>300</v>
      </c>
      <c r="AP208" s="5">
        <v>0</v>
      </c>
      <c r="AQ208" s="5" t="s">
        <v>713</v>
      </c>
      <c r="AR208" s="5" t="s">
        <v>1104</v>
      </c>
      <c r="AS208" s="5"/>
      <c r="AT208" s="5"/>
      <c r="AU208" s="5"/>
      <c r="AV208" s="5">
        <v>-1</v>
      </c>
      <c r="AW208" s="5" t="s">
        <v>1269</v>
      </c>
    </row>
    <row r="209" spans="1:49" x14ac:dyDescent="0.55000000000000004">
      <c r="A209" s="5" t="str">
        <f>HYPERLINK("https://www.infodis.net/philips/net/Shipment/Details?InfodisNumber=4301304&amp;DomainCode=DAP", "4301304")</f>
        <v>4301304</v>
      </c>
      <c r="B209" s="5" t="s">
        <v>5118</v>
      </c>
      <c r="C209" s="5" t="s">
        <v>4739</v>
      </c>
      <c r="D209" s="5" t="s">
        <v>4740</v>
      </c>
      <c r="E209" s="5" t="s">
        <v>4741</v>
      </c>
      <c r="F209" s="5" t="s">
        <v>4739</v>
      </c>
      <c r="G209" s="5" t="s">
        <v>1262</v>
      </c>
      <c r="H209" s="5" t="s">
        <v>1263</v>
      </c>
      <c r="I209" s="5"/>
      <c r="J209" s="5"/>
      <c r="K209" s="5" t="s">
        <v>4742</v>
      </c>
      <c r="L209" s="5" t="s">
        <v>1263</v>
      </c>
      <c r="M209" s="5" t="s">
        <v>84</v>
      </c>
      <c r="N209" s="5"/>
      <c r="O209" s="5"/>
      <c r="P209" s="5" t="s">
        <v>1264</v>
      </c>
      <c r="Q209" s="5"/>
      <c r="R209" s="5" t="s">
        <v>4743</v>
      </c>
      <c r="S209" s="6">
        <v>43733</v>
      </c>
      <c r="T209" s="6">
        <v>43740</v>
      </c>
      <c r="U209" s="6">
        <v>43738</v>
      </c>
      <c r="V209" s="5"/>
      <c r="W209" s="5"/>
      <c r="X209" s="5"/>
      <c r="Y209" s="5" t="s">
        <v>4643</v>
      </c>
      <c r="Z209" s="5"/>
      <c r="AA209" s="5"/>
      <c r="AB209" s="5" t="s">
        <v>67</v>
      </c>
      <c r="AC209" s="5" t="s">
        <v>68</v>
      </c>
      <c r="AD209" s="5" t="s">
        <v>68</v>
      </c>
      <c r="AE209" s="5"/>
      <c r="AF209" s="5" t="s">
        <v>4574</v>
      </c>
      <c r="AG209" s="5"/>
      <c r="AH209" s="5"/>
      <c r="AI209" s="5" t="s">
        <v>73</v>
      </c>
      <c r="AJ209" s="5">
        <v>0</v>
      </c>
      <c r="AK209" s="5">
        <v>0</v>
      </c>
      <c r="AL209" s="5"/>
      <c r="AM209" s="5"/>
      <c r="AN209" s="5">
        <v>10</v>
      </c>
      <c r="AO209" s="5">
        <v>1448</v>
      </c>
      <c r="AP209" s="5">
        <v>16.512</v>
      </c>
      <c r="AQ209" s="5" t="s">
        <v>713</v>
      </c>
      <c r="AR209" s="5" t="s">
        <v>1104</v>
      </c>
      <c r="AS209" s="5"/>
      <c r="AT209" s="5"/>
      <c r="AU209" s="5"/>
      <c r="AV209" s="5">
        <v>-1</v>
      </c>
      <c r="AW209" s="5" t="s">
        <v>4926</v>
      </c>
    </row>
    <row r="210" spans="1:49" x14ac:dyDescent="0.55000000000000004">
      <c r="A210" s="5" t="str">
        <f>HYPERLINK("https://www.infodis.net/philips/net/Shipment/Details?InfodisNumber=4390588&amp;DomainCode=DAP", "4390588")</f>
        <v>4390588</v>
      </c>
      <c r="B210" s="5" t="s">
        <v>5119</v>
      </c>
      <c r="C210" s="5" t="s">
        <v>4739</v>
      </c>
      <c r="D210" s="5" t="s">
        <v>4740</v>
      </c>
      <c r="E210" s="5" t="s">
        <v>4741</v>
      </c>
      <c r="F210" s="5" t="s">
        <v>4739</v>
      </c>
      <c r="G210" s="5" t="s">
        <v>1262</v>
      </c>
      <c r="H210" s="5" t="s">
        <v>1263</v>
      </c>
      <c r="I210" s="5"/>
      <c r="J210" s="5"/>
      <c r="K210" s="5" t="s">
        <v>4742</v>
      </c>
      <c r="L210" s="5" t="s">
        <v>1263</v>
      </c>
      <c r="M210" s="5" t="s">
        <v>84</v>
      </c>
      <c r="N210" s="5"/>
      <c r="O210" s="5"/>
      <c r="P210" s="5" t="s">
        <v>1264</v>
      </c>
      <c r="Q210" s="5"/>
      <c r="R210" s="5" t="s">
        <v>4743</v>
      </c>
      <c r="S210" s="6">
        <v>43872</v>
      </c>
      <c r="T210" s="6">
        <v>43875</v>
      </c>
      <c r="U210" s="6">
        <v>43875</v>
      </c>
      <c r="V210" s="5"/>
      <c r="W210" s="5"/>
      <c r="X210" s="5"/>
      <c r="Y210" s="5" t="s">
        <v>4643</v>
      </c>
      <c r="Z210" s="5"/>
      <c r="AA210" s="5"/>
      <c r="AB210" s="5" t="s">
        <v>67</v>
      </c>
      <c r="AC210" s="5" t="s">
        <v>68</v>
      </c>
      <c r="AD210" s="5" t="s">
        <v>68</v>
      </c>
      <c r="AE210" s="5"/>
      <c r="AF210" s="5" t="s">
        <v>4574</v>
      </c>
      <c r="AG210" s="5"/>
      <c r="AH210" s="5"/>
      <c r="AI210" s="5" t="s">
        <v>73</v>
      </c>
      <c r="AJ210" s="5">
        <v>0</v>
      </c>
      <c r="AK210" s="5">
        <v>0</v>
      </c>
      <c r="AL210" s="5"/>
      <c r="AM210" s="5"/>
      <c r="AN210" s="5">
        <v>24</v>
      </c>
      <c r="AO210" s="5">
        <v>6000</v>
      </c>
      <c r="AP210" s="5">
        <v>41.472000000000001</v>
      </c>
      <c r="AQ210" s="5" t="s">
        <v>713</v>
      </c>
      <c r="AR210" s="5" t="s">
        <v>1104</v>
      </c>
      <c r="AS210" s="5"/>
      <c r="AT210" s="5"/>
      <c r="AU210" s="5"/>
      <c r="AV210" s="5">
        <v>-1</v>
      </c>
      <c r="AW210" s="5" t="s">
        <v>4926</v>
      </c>
    </row>
    <row r="211" spans="1:49" x14ac:dyDescent="0.55000000000000004">
      <c r="A211" s="5" t="str">
        <f>HYPERLINK("https://www.infodis.net/philips/net/Shipment/Details?InfodisNumber=3975815&amp;DomainCode=DAP", "3975815")</f>
        <v>3975815</v>
      </c>
      <c r="B211" s="5" t="s">
        <v>5120</v>
      </c>
      <c r="C211" s="5" t="s">
        <v>4909</v>
      </c>
      <c r="D211" s="5" t="s">
        <v>4910</v>
      </c>
      <c r="E211" s="5" t="s">
        <v>4629</v>
      </c>
      <c r="F211" s="5" t="s">
        <v>5121</v>
      </c>
      <c r="G211" s="5" t="s">
        <v>4630</v>
      </c>
      <c r="H211" s="5" t="s">
        <v>244</v>
      </c>
      <c r="I211" s="5"/>
      <c r="J211" s="5"/>
      <c r="K211" s="5" t="s">
        <v>5122</v>
      </c>
      <c r="L211" s="5" t="s">
        <v>244</v>
      </c>
      <c r="M211" s="5" t="s">
        <v>60</v>
      </c>
      <c r="N211" s="5"/>
      <c r="O211" s="5"/>
      <c r="P211" s="5" t="s">
        <v>250</v>
      </c>
      <c r="Q211" s="5"/>
      <c r="R211" s="5" t="s">
        <v>5123</v>
      </c>
      <c r="S211" s="6">
        <v>43474</v>
      </c>
      <c r="T211" s="6">
        <v>43474</v>
      </c>
      <c r="U211" s="6">
        <v>43474</v>
      </c>
      <c r="V211" s="5"/>
      <c r="W211" s="5"/>
      <c r="X211" s="5"/>
      <c r="Y211" s="5" t="s">
        <v>4914</v>
      </c>
      <c r="Z211" s="5"/>
      <c r="AA211" s="5"/>
      <c r="AB211" s="5" t="s">
        <v>67</v>
      </c>
      <c r="AC211" s="5" t="s">
        <v>68</v>
      </c>
      <c r="AD211" s="5" t="s">
        <v>68</v>
      </c>
      <c r="AE211" s="5"/>
      <c r="AF211" s="5" t="s">
        <v>4574</v>
      </c>
      <c r="AG211" s="5"/>
      <c r="AH211" s="5"/>
      <c r="AI211" s="5" t="s">
        <v>73</v>
      </c>
      <c r="AJ211" s="5">
        <v>0</v>
      </c>
      <c r="AK211" s="5">
        <v>0</v>
      </c>
      <c r="AL211" s="5"/>
      <c r="AM211" s="5"/>
      <c r="AN211" s="5">
        <v>10</v>
      </c>
      <c r="AO211" s="5">
        <v>2200</v>
      </c>
      <c r="AP211" s="5">
        <v>15.637</v>
      </c>
      <c r="AQ211" s="5" t="s">
        <v>713</v>
      </c>
      <c r="AR211" s="5" t="s">
        <v>1104</v>
      </c>
      <c r="AS211" s="5"/>
      <c r="AT211" s="5"/>
      <c r="AU211" s="5"/>
      <c r="AV211" s="5">
        <v>-1</v>
      </c>
      <c r="AW211" s="5" t="s">
        <v>2301</v>
      </c>
    </row>
    <row r="212" spans="1:49" x14ac:dyDescent="0.55000000000000004">
      <c r="A212" s="5" t="str">
        <f>HYPERLINK("https://www.infodis.net/philips/net/Shipment/Details?InfodisNumber=6888038&amp;DomainCode=PHILIPSR1", "6888038")</f>
        <v>6888038</v>
      </c>
      <c r="B212" s="5" t="s">
        <v>5124</v>
      </c>
      <c r="C212" s="5" t="s">
        <v>4627</v>
      </c>
      <c r="D212" s="5" t="s">
        <v>4628</v>
      </c>
      <c r="E212" s="5" t="s">
        <v>4629</v>
      </c>
      <c r="F212" s="5" t="s">
        <v>915</v>
      </c>
      <c r="G212" s="5" t="s">
        <v>4630</v>
      </c>
      <c r="H212" s="5" t="s">
        <v>244</v>
      </c>
      <c r="I212" s="5"/>
      <c r="J212" s="5"/>
      <c r="K212" s="5" t="s">
        <v>918</v>
      </c>
      <c r="L212" s="5" t="s">
        <v>881</v>
      </c>
      <c r="M212" s="5" t="s">
        <v>60</v>
      </c>
      <c r="N212" s="5"/>
      <c r="O212" s="5"/>
      <c r="P212" s="5" t="s">
        <v>250</v>
      </c>
      <c r="Q212" s="5"/>
      <c r="R212" s="5" t="s">
        <v>888</v>
      </c>
      <c r="S212" s="6">
        <v>44117</v>
      </c>
      <c r="T212" s="6">
        <v>44118</v>
      </c>
      <c r="U212" s="6">
        <v>44118</v>
      </c>
      <c r="V212" s="5"/>
      <c r="W212" s="5"/>
      <c r="X212" s="5"/>
      <c r="Y212" s="5" t="s">
        <v>4750</v>
      </c>
      <c r="Z212" s="5"/>
      <c r="AA212" s="5"/>
      <c r="AB212" s="5" t="s">
        <v>67</v>
      </c>
      <c r="AC212" s="5" t="s">
        <v>68</v>
      </c>
      <c r="AD212" s="5" t="s">
        <v>68</v>
      </c>
      <c r="AE212" s="5"/>
      <c r="AF212" s="5" t="s">
        <v>4574</v>
      </c>
      <c r="AG212" s="5"/>
      <c r="AH212" s="5"/>
      <c r="AI212" s="5" t="s">
        <v>252</v>
      </c>
      <c r="AJ212" s="5">
        <v>0</v>
      </c>
      <c r="AK212" s="5">
        <v>0</v>
      </c>
      <c r="AL212" s="5"/>
      <c r="AM212" s="5"/>
      <c r="AN212" s="5">
        <v>8</v>
      </c>
      <c r="AO212" s="5">
        <v>1160</v>
      </c>
      <c r="AP212" s="5">
        <v>11.808</v>
      </c>
      <c r="AQ212" s="5" t="s">
        <v>713</v>
      </c>
      <c r="AR212" s="5" t="s">
        <v>1104</v>
      </c>
      <c r="AS212" s="5"/>
      <c r="AT212" s="5"/>
      <c r="AU212" s="5"/>
      <c r="AV212" s="5">
        <v>-1</v>
      </c>
      <c r="AW212" s="5" t="s">
        <v>4760</v>
      </c>
    </row>
    <row r="213" spans="1:49" x14ac:dyDescent="0.55000000000000004">
      <c r="A213" s="5" t="str">
        <f>HYPERLINK("https://www.infodis.net/philips/net/Shipment/Details?InfodisNumber=4499963&amp;DomainCode=DAP", "4499963")</f>
        <v>4499963</v>
      </c>
      <c r="B213" s="5" t="s">
        <v>5125</v>
      </c>
      <c r="C213" s="5" t="s">
        <v>5126</v>
      </c>
      <c r="D213" s="5" t="s">
        <v>5127</v>
      </c>
      <c r="E213" s="5" t="s">
        <v>2269</v>
      </c>
      <c r="F213" s="5" t="s">
        <v>2826</v>
      </c>
      <c r="G213" s="5" t="s">
        <v>5042</v>
      </c>
      <c r="H213" s="5" t="s">
        <v>260</v>
      </c>
      <c r="I213" s="5"/>
      <c r="J213" s="5"/>
      <c r="K213" s="5" t="s">
        <v>356</v>
      </c>
      <c r="L213" s="5" t="s">
        <v>357</v>
      </c>
      <c r="M213" s="5" t="s">
        <v>358</v>
      </c>
      <c r="N213" s="5"/>
      <c r="O213" s="5"/>
      <c r="P213" s="5" t="s">
        <v>5043</v>
      </c>
      <c r="Q213" s="5"/>
      <c r="R213" s="5" t="s">
        <v>361</v>
      </c>
      <c r="S213" s="6">
        <v>44070</v>
      </c>
      <c r="T213" s="6">
        <v>44053</v>
      </c>
      <c r="U213" s="6">
        <v>44070</v>
      </c>
      <c r="V213" s="5"/>
      <c r="W213" s="5"/>
      <c r="X213" s="5"/>
      <c r="Y213" s="5" t="s">
        <v>4804</v>
      </c>
      <c r="Z213" s="5"/>
      <c r="AA213" s="5"/>
      <c r="AB213" s="5" t="s">
        <v>67</v>
      </c>
      <c r="AC213" s="5" t="s">
        <v>68</v>
      </c>
      <c r="AD213" s="5" t="s">
        <v>68</v>
      </c>
      <c r="AE213" s="5"/>
      <c r="AF213" s="5" t="s">
        <v>5128</v>
      </c>
      <c r="AG213" s="5"/>
      <c r="AH213" s="5"/>
      <c r="AI213" s="5" t="s">
        <v>73</v>
      </c>
      <c r="AJ213" s="5">
        <v>0</v>
      </c>
      <c r="AK213" s="5">
        <v>0</v>
      </c>
      <c r="AL213" s="5"/>
      <c r="AM213" s="5"/>
      <c r="AN213" s="5">
        <v>24</v>
      </c>
      <c r="AO213" s="5">
        <v>3229.39</v>
      </c>
      <c r="AP213" s="5">
        <v>33.753999999999998</v>
      </c>
      <c r="AQ213" s="5" t="s">
        <v>713</v>
      </c>
      <c r="AR213" s="5" t="s">
        <v>1104</v>
      </c>
      <c r="AS213" s="5"/>
      <c r="AT213" s="5"/>
      <c r="AU213" s="5"/>
      <c r="AV213" s="5">
        <v>-1</v>
      </c>
      <c r="AW213" s="5" t="s">
        <v>5129</v>
      </c>
    </row>
    <row r="214" spans="1:49" x14ac:dyDescent="0.55000000000000004">
      <c r="A214" s="5" t="str">
        <f>HYPERLINK("https://www.infodis.net/philips/net/Shipment/Details?InfodisNumber=4406387&amp;DomainCode=DAP", "4406387")</f>
        <v>4406387</v>
      </c>
      <c r="B214" s="5" t="s">
        <v>5130</v>
      </c>
      <c r="C214" s="5" t="s">
        <v>212</v>
      </c>
      <c r="D214" s="5" t="s">
        <v>213</v>
      </c>
      <c r="E214" s="5" t="s">
        <v>214</v>
      </c>
      <c r="F214" s="5" t="s">
        <v>4969</v>
      </c>
      <c r="G214" s="5" t="s">
        <v>216</v>
      </c>
      <c r="H214" s="5" t="s">
        <v>55</v>
      </c>
      <c r="I214" s="5"/>
      <c r="J214" s="5"/>
      <c r="K214" s="5" t="s">
        <v>3334</v>
      </c>
      <c r="L214" s="5" t="s">
        <v>380</v>
      </c>
      <c r="M214" s="5" t="s">
        <v>60</v>
      </c>
      <c r="N214" s="5"/>
      <c r="O214" s="5"/>
      <c r="P214" s="5" t="s">
        <v>2369</v>
      </c>
      <c r="Q214" s="5"/>
      <c r="R214" s="5" t="s">
        <v>662</v>
      </c>
      <c r="S214" s="6">
        <v>43887</v>
      </c>
      <c r="T214" s="6">
        <v>43893</v>
      </c>
      <c r="U214" s="5"/>
      <c r="V214" s="5"/>
      <c r="W214" s="5"/>
      <c r="X214" s="5"/>
      <c r="Y214" s="5" t="s">
        <v>5096</v>
      </c>
      <c r="Z214" s="5"/>
      <c r="AA214" s="5"/>
      <c r="AB214" s="5" t="s">
        <v>68</v>
      </c>
      <c r="AC214" s="5" t="s">
        <v>68</v>
      </c>
      <c r="AD214" s="5" t="s">
        <v>68</v>
      </c>
      <c r="AE214" s="5"/>
      <c r="AF214" s="5" t="s">
        <v>70</v>
      </c>
      <c r="AG214" s="5"/>
      <c r="AH214" s="5"/>
      <c r="AI214" s="5" t="s">
        <v>73</v>
      </c>
      <c r="AJ214" s="5">
        <v>0</v>
      </c>
      <c r="AK214" s="5">
        <v>0</v>
      </c>
      <c r="AL214" s="5"/>
      <c r="AM214" s="5"/>
      <c r="AN214" s="5">
        <v>0</v>
      </c>
      <c r="AO214" s="5">
        <v>76.744</v>
      </c>
      <c r="AP214" s="5">
        <v>1.073</v>
      </c>
      <c r="AQ214" s="5" t="s">
        <v>713</v>
      </c>
      <c r="AR214" s="5" t="s">
        <v>1104</v>
      </c>
      <c r="AS214" s="5"/>
      <c r="AT214" s="5"/>
      <c r="AU214" s="5"/>
      <c r="AV214" s="5">
        <v>-1</v>
      </c>
      <c r="AW214" s="5" t="s">
        <v>4807</v>
      </c>
    </row>
    <row r="215" spans="1:49" x14ac:dyDescent="0.55000000000000004">
      <c r="A215" s="5" t="str">
        <f>HYPERLINK("https://www.infodis.net/philips/net/Shipment/Details?InfodisNumber=6982711&amp;DomainCode=PHILIPSR1", "6982711")</f>
        <v>6982711</v>
      </c>
      <c r="B215" s="5" t="s">
        <v>5131</v>
      </c>
      <c r="C215" s="5" t="s">
        <v>4627</v>
      </c>
      <c r="D215" s="5" t="s">
        <v>4628</v>
      </c>
      <c r="E215" s="5" t="s">
        <v>4629</v>
      </c>
      <c r="F215" s="5" t="s">
        <v>609</v>
      </c>
      <c r="G215" s="5" t="s">
        <v>4630</v>
      </c>
      <c r="H215" s="5" t="s">
        <v>244</v>
      </c>
      <c r="I215" s="5"/>
      <c r="J215" s="5"/>
      <c r="K215" s="5" t="s">
        <v>611</v>
      </c>
      <c r="L215" s="5" t="s">
        <v>55</v>
      </c>
      <c r="M215" s="5" t="s">
        <v>60</v>
      </c>
      <c r="N215" s="5"/>
      <c r="O215" s="5"/>
      <c r="P215" s="5" t="s">
        <v>250</v>
      </c>
      <c r="Q215" s="5"/>
      <c r="R215" s="5" t="s">
        <v>615</v>
      </c>
      <c r="S215" s="6">
        <v>44151</v>
      </c>
      <c r="T215" s="6">
        <v>44152</v>
      </c>
      <c r="U215" s="5"/>
      <c r="V215" s="5"/>
      <c r="W215" s="5"/>
      <c r="X215" s="5"/>
      <c r="Y215" s="5" t="s">
        <v>4631</v>
      </c>
      <c r="Z215" s="5"/>
      <c r="AA215" s="5"/>
      <c r="AB215" s="5" t="s">
        <v>67</v>
      </c>
      <c r="AC215" s="5" t="s">
        <v>68</v>
      </c>
      <c r="AD215" s="5" t="s">
        <v>68</v>
      </c>
      <c r="AE215" s="5"/>
      <c r="AF215" s="5" t="s">
        <v>4574</v>
      </c>
      <c r="AG215" s="5"/>
      <c r="AH215" s="5"/>
      <c r="AI215" s="5" t="s">
        <v>252</v>
      </c>
      <c r="AJ215" s="5">
        <v>0</v>
      </c>
      <c r="AK215" s="5">
        <v>0</v>
      </c>
      <c r="AL215" s="5"/>
      <c r="AM215" s="5"/>
      <c r="AN215" s="5">
        <v>25</v>
      </c>
      <c r="AO215" s="5">
        <v>2735</v>
      </c>
      <c r="AP215" s="5">
        <v>35.965000000000003</v>
      </c>
      <c r="AQ215" s="5" t="s">
        <v>713</v>
      </c>
      <c r="AR215" s="5" t="s">
        <v>1104</v>
      </c>
      <c r="AS215" s="5"/>
      <c r="AT215" s="5"/>
      <c r="AU215" s="5"/>
      <c r="AV215" s="5">
        <v>-1</v>
      </c>
      <c r="AW215" s="5" t="s">
        <v>4760</v>
      </c>
    </row>
    <row r="216" spans="1:49" x14ac:dyDescent="0.55000000000000004">
      <c r="A216" s="5" t="str">
        <f>HYPERLINK("https://www.infodis.net/philips/net/Shipment/Details?InfodisNumber=4524976&amp;DomainCode=DAP", "4524976")</f>
        <v>4524976</v>
      </c>
      <c r="B216" s="5" t="s">
        <v>5132</v>
      </c>
      <c r="C216" s="5" t="s">
        <v>5133</v>
      </c>
      <c r="D216" s="5" t="s">
        <v>5134</v>
      </c>
      <c r="E216" s="5" t="s">
        <v>304</v>
      </c>
      <c r="F216" s="5" t="s">
        <v>796</v>
      </c>
      <c r="G216" s="5" t="s">
        <v>495</v>
      </c>
      <c r="H216" s="5" t="s">
        <v>55</v>
      </c>
      <c r="I216" s="5"/>
      <c r="J216" s="5"/>
      <c r="K216" s="5" t="s">
        <v>797</v>
      </c>
      <c r="L216" s="5" t="s">
        <v>55</v>
      </c>
      <c r="M216" s="5" t="s">
        <v>60</v>
      </c>
      <c r="N216" s="5"/>
      <c r="O216" s="5"/>
      <c r="P216" s="5" t="s">
        <v>495</v>
      </c>
      <c r="Q216" s="5"/>
      <c r="R216" s="5" t="s">
        <v>615</v>
      </c>
      <c r="S216" s="6">
        <v>44103</v>
      </c>
      <c r="T216" s="6">
        <v>44103</v>
      </c>
      <c r="U216" s="5"/>
      <c r="V216" s="5"/>
      <c r="W216" s="5"/>
      <c r="X216" s="5"/>
      <c r="Y216" s="5" t="s">
        <v>65</v>
      </c>
      <c r="Z216" s="5"/>
      <c r="AA216" s="5"/>
      <c r="AB216" s="5" t="s">
        <v>67</v>
      </c>
      <c r="AC216" s="5" t="s">
        <v>68</v>
      </c>
      <c r="AD216" s="5" t="s">
        <v>68</v>
      </c>
      <c r="AE216" s="5"/>
      <c r="AF216" s="5" t="s">
        <v>70</v>
      </c>
      <c r="AG216" s="5"/>
      <c r="AH216" s="5"/>
      <c r="AI216" s="5" t="s">
        <v>73</v>
      </c>
      <c r="AJ216" s="5">
        <v>0</v>
      </c>
      <c r="AK216" s="5">
        <v>0</v>
      </c>
      <c r="AL216" s="5"/>
      <c r="AM216" s="5"/>
      <c r="AN216" s="5">
        <v>1</v>
      </c>
      <c r="AO216" s="5">
        <v>1000</v>
      </c>
      <c r="AP216" s="5">
        <v>1.44</v>
      </c>
      <c r="AQ216" s="5" t="s">
        <v>713</v>
      </c>
      <c r="AR216" s="5" t="s">
        <v>1104</v>
      </c>
      <c r="AS216" s="5"/>
      <c r="AT216" s="5"/>
      <c r="AU216" s="5"/>
      <c r="AV216" s="5">
        <v>-1</v>
      </c>
      <c r="AW216" s="5" t="s">
        <v>5135</v>
      </c>
    </row>
    <row r="217" spans="1:49" x14ac:dyDescent="0.55000000000000004">
      <c r="A217" s="5" t="str">
        <f>HYPERLINK("https://www.infodis.net/philips/net/Shipment/Details?InfodisNumber=4021989&amp;DomainCode=DAP", "4021989")</f>
        <v>4021989</v>
      </c>
      <c r="B217" s="5" t="s">
        <v>5136</v>
      </c>
      <c r="C217" s="5" t="s">
        <v>4509</v>
      </c>
      <c r="D217" s="5" t="s">
        <v>4510</v>
      </c>
      <c r="E217" s="5" t="s">
        <v>4511</v>
      </c>
      <c r="F217" s="5" t="s">
        <v>5137</v>
      </c>
      <c r="G217" s="5" t="s">
        <v>4513</v>
      </c>
      <c r="H217" s="5" t="s">
        <v>881</v>
      </c>
      <c r="I217" s="5"/>
      <c r="J217" s="5"/>
      <c r="K217" s="5" t="s">
        <v>5138</v>
      </c>
      <c r="L217" s="5" t="s">
        <v>2204</v>
      </c>
      <c r="M217" s="5" t="s">
        <v>60</v>
      </c>
      <c r="N217" s="5"/>
      <c r="O217" s="5"/>
      <c r="P217" s="5" t="s">
        <v>4514</v>
      </c>
      <c r="Q217" s="5"/>
      <c r="R217" s="5" t="s">
        <v>5139</v>
      </c>
      <c r="S217" s="6">
        <v>43503</v>
      </c>
      <c r="T217" s="6">
        <v>43504</v>
      </c>
      <c r="U217" s="6">
        <v>43504</v>
      </c>
      <c r="V217" s="5"/>
      <c r="W217" s="5"/>
      <c r="X217" s="5"/>
      <c r="Y217" s="5" t="s">
        <v>5140</v>
      </c>
      <c r="Z217" s="5"/>
      <c r="AA217" s="5"/>
      <c r="AB217" s="5" t="s">
        <v>68</v>
      </c>
      <c r="AC217" s="5" t="s">
        <v>68</v>
      </c>
      <c r="AD217" s="5" t="s">
        <v>68</v>
      </c>
      <c r="AE217" s="5"/>
      <c r="AF217" s="5" t="s">
        <v>4574</v>
      </c>
      <c r="AG217" s="5"/>
      <c r="AH217" s="5"/>
      <c r="AI217" s="5" t="s">
        <v>73</v>
      </c>
      <c r="AJ217" s="5">
        <v>0</v>
      </c>
      <c r="AK217" s="5">
        <v>0</v>
      </c>
      <c r="AL217" s="5"/>
      <c r="AM217" s="5"/>
      <c r="AN217" s="5">
        <v>0</v>
      </c>
      <c r="AO217" s="5">
        <v>400</v>
      </c>
      <c r="AP217" s="5">
        <v>0</v>
      </c>
      <c r="AQ217" s="5" t="s">
        <v>713</v>
      </c>
      <c r="AR217" s="5" t="s">
        <v>1104</v>
      </c>
      <c r="AS217" s="5"/>
      <c r="AT217" s="5"/>
      <c r="AU217" s="5"/>
      <c r="AV217" s="5">
        <v>-1</v>
      </c>
      <c r="AW217" s="5" t="s">
        <v>4807</v>
      </c>
    </row>
    <row r="218" spans="1:49" x14ac:dyDescent="0.55000000000000004">
      <c r="A218" s="5" t="str">
        <f>HYPERLINK("https://www.infodis.net/philips/net/Shipment/Details?InfodisNumber=4406388&amp;DomainCode=DAP", "4406388")</f>
        <v>4406388</v>
      </c>
      <c r="B218" s="5" t="s">
        <v>5141</v>
      </c>
      <c r="C218" s="5" t="s">
        <v>212</v>
      </c>
      <c r="D218" s="5" t="s">
        <v>213</v>
      </c>
      <c r="E218" s="5" t="s">
        <v>214</v>
      </c>
      <c r="F218" s="5" t="s">
        <v>4969</v>
      </c>
      <c r="G218" s="5" t="s">
        <v>216</v>
      </c>
      <c r="H218" s="5" t="s">
        <v>55</v>
      </c>
      <c r="I218" s="5"/>
      <c r="J218" s="5"/>
      <c r="K218" s="5" t="s">
        <v>3334</v>
      </c>
      <c r="L218" s="5" t="s">
        <v>380</v>
      </c>
      <c r="M218" s="5" t="s">
        <v>60</v>
      </c>
      <c r="N218" s="5"/>
      <c r="O218" s="5"/>
      <c r="P218" s="5" t="s">
        <v>2369</v>
      </c>
      <c r="Q218" s="5"/>
      <c r="R218" s="5" t="s">
        <v>662</v>
      </c>
      <c r="S218" s="6">
        <v>43887</v>
      </c>
      <c r="T218" s="6">
        <v>43893</v>
      </c>
      <c r="U218" s="5"/>
      <c r="V218" s="5"/>
      <c r="W218" s="5"/>
      <c r="X218" s="5"/>
      <c r="Y218" s="5" t="s">
        <v>5096</v>
      </c>
      <c r="Z218" s="5"/>
      <c r="AA218" s="5"/>
      <c r="AB218" s="5" t="s">
        <v>68</v>
      </c>
      <c r="AC218" s="5" t="s">
        <v>68</v>
      </c>
      <c r="AD218" s="5" t="s">
        <v>68</v>
      </c>
      <c r="AE218" s="5"/>
      <c r="AF218" s="5" t="s">
        <v>70</v>
      </c>
      <c r="AG218" s="5"/>
      <c r="AH218" s="5"/>
      <c r="AI218" s="5" t="s">
        <v>73</v>
      </c>
      <c r="AJ218" s="5">
        <v>0</v>
      </c>
      <c r="AK218" s="5">
        <v>0</v>
      </c>
      <c r="AL218" s="5"/>
      <c r="AM218" s="5"/>
      <c r="AN218" s="5">
        <v>0</v>
      </c>
      <c r="AO218" s="5">
        <v>76.744</v>
      </c>
      <c r="AP218" s="5">
        <v>1.073</v>
      </c>
      <c r="AQ218" s="5" t="s">
        <v>713</v>
      </c>
      <c r="AR218" s="5" t="s">
        <v>1104</v>
      </c>
      <c r="AS218" s="5"/>
      <c r="AT218" s="5"/>
      <c r="AU218" s="5"/>
      <c r="AV218" s="5">
        <v>-1</v>
      </c>
      <c r="AW218" s="5" t="s">
        <v>4807</v>
      </c>
    </row>
    <row r="219" spans="1:49" x14ac:dyDescent="0.55000000000000004">
      <c r="A219" s="5" t="str">
        <f>HYPERLINK("https://www.infodis.net/philips/net/Shipment/Details?InfodisNumber=4406385&amp;DomainCode=DAP", "4406385")</f>
        <v>4406385</v>
      </c>
      <c r="B219" s="5" t="s">
        <v>5142</v>
      </c>
      <c r="C219" s="5" t="s">
        <v>212</v>
      </c>
      <c r="D219" s="5" t="s">
        <v>213</v>
      </c>
      <c r="E219" s="5" t="s">
        <v>214</v>
      </c>
      <c r="F219" s="5" t="s">
        <v>4969</v>
      </c>
      <c r="G219" s="5" t="s">
        <v>216</v>
      </c>
      <c r="H219" s="5" t="s">
        <v>55</v>
      </c>
      <c r="I219" s="5"/>
      <c r="J219" s="5"/>
      <c r="K219" s="5" t="s">
        <v>3334</v>
      </c>
      <c r="L219" s="5" t="s">
        <v>380</v>
      </c>
      <c r="M219" s="5" t="s">
        <v>60</v>
      </c>
      <c r="N219" s="5"/>
      <c r="O219" s="5"/>
      <c r="P219" s="5" t="s">
        <v>2369</v>
      </c>
      <c r="Q219" s="5"/>
      <c r="R219" s="5" t="s">
        <v>662</v>
      </c>
      <c r="S219" s="6">
        <v>43887</v>
      </c>
      <c r="T219" s="6">
        <v>43893</v>
      </c>
      <c r="U219" s="5"/>
      <c r="V219" s="5"/>
      <c r="W219" s="5"/>
      <c r="X219" s="5"/>
      <c r="Y219" s="5" t="s">
        <v>5096</v>
      </c>
      <c r="Z219" s="5"/>
      <c r="AA219" s="5"/>
      <c r="AB219" s="5" t="s">
        <v>68</v>
      </c>
      <c r="AC219" s="5" t="s">
        <v>68</v>
      </c>
      <c r="AD219" s="5" t="s">
        <v>68</v>
      </c>
      <c r="AE219" s="5"/>
      <c r="AF219" s="5" t="s">
        <v>70</v>
      </c>
      <c r="AG219" s="5"/>
      <c r="AH219" s="5"/>
      <c r="AI219" s="5" t="s">
        <v>73</v>
      </c>
      <c r="AJ219" s="5">
        <v>0</v>
      </c>
      <c r="AK219" s="5">
        <v>0</v>
      </c>
      <c r="AL219" s="5"/>
      <c r="AM219" s="5"/>
      <c r="AN219" s="5">
        <v>0</v>
      </c>
      <c r="AO219" s="5">
        <v>126.80800000000001</v>
      </c>
      <c r="AP219" s="5">
        <v>1.1439999999999999</v>
      </c>
      <c r="AQ219" s="5" t="s">
        <v>713</v>
      </c>
      <c r="AR219" s="5" t="s">
        <v>1104</v>
      </c>
      <c r="AS219" s="5"/>
      <c r="AT219" s="5"/>
      <c r="AU219" s="5"/>
      <c r="AV219" s="5">
        <v>-1</v>
      </c>
      <c r="AW219" s="5" t="s">
        <v>4807</v>
      </c>
    </row>
    <row r="220" spans="1:49" x14ac:dyDescent="0.55000000000000004">
      <c r="A220" s="5" t="str">
        <f>HYPERLINK("https://www.infodis.net/philips/net/Shipment/Details?InfodisNumber=1375246&amp;DomainCode=PHILIPSM1", "1375246")</f>
        <v>1375246</v>
      </c>
      <c r="B220" s="5" t="s">
        <v>5143</v>
      </c>
      <c r="C220" s="5" t="s">
        <v>4686</v>
      </c>
      <c r="D220" s="5" t="s">
        <v>4687</v>
      </c>
      <c r="E220" s="5" t="s">
        <v>4686</v>
      </c>
      <c r="F220" s="5" t="s">
        <v>4674</v>
      </c>
      <c r="G220" s="5" t="s">
        <v>4688</v>
      </c>
      <c r="H220" s="5" t="s">
        <v>244</v>
      </c>
      <c r="I220" s="5"/>
      <c r="J220" s="5"/>
      <c r="K220" s="5" t="s">
        <v>3867</v>
      </c>
      <c r="L220" s="5" t="s">
        <v>55</v>
      </c>
      <c r="M220" s="5" t="s">
        <v>84</v>
      </c>
      <c r="N220" s="5"/>
      <c r="O220" s="5"/>
      <c r="P220" s="5" t="s">
        <v>4689</v>
      </c>
      <c r="Q220" s="5"/>
      <c r="R220" s="5" t="s">
        <v>3868</v>
      </c>
      <c r="S220" s="6">
        <v>44039</v>
      </c>
      <c r="T220" s="6">
        <v>44040</v>
      </c>
      <c r="U220" s="6">
        <v>44043</v>
      </c>
      <c r="V220" s="5"/>
      <c r="W220" s="5"/>
      <c r="X220" s="5"/>
      <c r="Y220" s="5" t="s">
        <v>4624</v>
      </c>
      <c r="Z220" s="5"/>
      <c r="AA220" s="5"/>
      <c r="AB220" s="5" t="s">
        <v>67</v>
      </c>
      <c r="AC220" s="5" t="s">
        <v>68</v>
      </c>
      <c r="AD220" s="5" t="s">
        <v>68</v>
      </c>
      <c r="AE220" s="5"/>
      <c r="AF220" s="5" t="s">
        <v>70</v>
      </c>
      <c r="AG220" s="5"/>
      <c r="AH220" s="5"/>
      <c r="AI220" s="5" t="s">
        <v>3933</v>
      </c>
      <c r="AJ220" s="5">
        <v>0</v>
      </c>
      <c r="AK220" s="5">
        <v>0</v>
      </c>
      <c r="AL220" s="5"/>
      <c r="AM220" s="5"/>
      <c r="AN220" s="5">
        <v>1</v>
      </c>
      <c r="AO220" s="5">
        <v>211</v>
      </c>
      <c r="AP220" s="5">
        <v>1.621</v>
      </c>
      <c r="AQ220" s="5" t="s">
        <v>713</v>
      </c>
      <c r="AR220" s="5" t="s">
        <v>1104</v>
      </c>
      <c r="AS220" s="5"/>
      <c r="AT220" s="5"/>
      <c r="AU220" s="5"/>
      <c r="AV220" s="5">
        <v>-1</v>
      </c>
      <c r="AW220" s="5" t="s">
        <v>1269</v>
      </c>
    </row>
    <row r="221" spans="1:49" x14ac:dyDescent="0.55000000000000004">
      <c r="A221" s="5" t="str">
        <f>HYPERLINK("https://www.infodis.net/philips/net/Shipment/Details?InfodisNumber=4564069&amp;DomainCode=DAP", "4564069")</f>
        <v>4564069</v>
      </c>
      <c r="B221" s="5" t="s">
        <v>5144</v>
      </c>
      <c r="C221" s="5" t="s">
        <v>4592</v>
      </c>
      <c r="D221" s="5" t="s">
        <v>4593</v>
      </c>
      <c r="E221" s="5" t="s">
        <v>214</v>
      </c>
      <c r="F221" s="5" t="s">
        <v>214</v>
      </c>
      <c r="G221" s="5" t="s">
        <v>4594</v>
      </c>
      <c r="H221" s="5" t="s">
        <v>244</v>
      </c>
      <c r="I221" s="5"/>
      <c r="J221" s="5"/>
      <c r="K221" s="5" t="s">
        <v>216</v>
      </c>
      <c r="L221" s="5" t="s">
        <v>55</v>
      </c>
      <c r="M221" s="5" t="s">
        <v>84</v>
      </c>
      <c r="N221" s="5"/>
      <c r="O221" s="5"/>
      <c r="P221" s="5" t="s">
        <v>4595</v>
      </c>
      <c r="Q221" s="5"/>
      <c r="R221" s="5" t="s">
        <v>496</v>
      </c>
      <c r="S221" s="6">
        <v>44155</v>
      </c>
      <c r="T221" s="6">
        <v>44159</v>
      </c>
      <c r="U221" s="6">
        <v>44159</v>
      </c>
      <c r="V221" s="5"/>
      <c r="W221" s="5"/>
      <c r="X221" s="5"/>
      <c r="Y221" s="5" t="s">
        <v>4576</v>
      </c>
      <c r="Z221" s="5"/>
      <c r="AA221" s="5"/>
      <c r="AB221" s="5" t="s">
        <v>67</v>
      </c>
      <c r="AC221" s="5" t="s">
        <v>68</v>
      </c>
      <c r="AD221" s="5" t="s">
        <v>68</v>
      </c>
      <c r="AE221" s="5"/>
      <c r="AF221" s="5" t="s">
        <v>4574</v>
      </c>
      <c r="AG221" s="5"/>
      <c r="AH221" s="5"/>
      <c r="AI221" s="5" t="s">
        <v>73</v>
      </c>
      <c r="AJ221" s="5">
        <v>0</v>
      </c>
      <c r="AK221" s="5">
        <v>0</v>
      </c>
      <c r="AL221" s="5"/>
      <c r="AM221" s="5"/>
      <c r="AN221" s="5">
        <v>3</v>
      </c>
      <c r="AO221" s="5">
        <v>1470</v>
      </c>
      <c r="AP221" s="5">
        <v>1.9119999999999999</v>
      </c>
      <c r="AQ221" s="5" t="s">
        <v>713</v>
      </c>
      <c r="AR221" s="5" t="s">
        <v>1104</v>
      </c>
      <c r="AS221" s="5"/>
      <c r="AT221" s="5"/>
      <c r="AU221" s="5"/>
      <c r="AV221" s="5">
        <v>-1</v>
      </c>
      <c r="AW221" s="5" t="s">
        <v>1269</v>
      </c>
    </row>
    <row r="222" spans="1:49" x14ac:dyDescent="0.55000000000000004">
      <c r="A222" s="5" t="str">
        <f>HYPERLINK("https://www.infodis.net/philips/net/Shipment/Details?InfodisNumber=7002026&amp;DomainCode=PHILIPSR1", "7002026")</f>
        <v>7002026</v>
      </c>
      <c r="B222" s="5" t="s">
        <v>5145</v>
      </c>
      <c r="C222" s="5" t="s">
        <v>4627</v>
      </c>
      <c r="D222" s="5" t="s">
        <v>4628</v>
      </c>
      <c r="E222" s="5" t="s">
        <v>4629</v>
      </c>
      <c r="F222" s="5" t="s">
        <v>609</v>
      </c>
      <c r="G222" s="5" t="s">
        <v>4630</v>
      </c>
      <c r="H222" s="5" t="s">
        <v>244</v>
      </c>
      <c r="I222" s="5"/>
      <c r="J222" s="5"/>
      <c r="K222" s="5" t="s">
        <v>611</v>
      </c>
      <c r="L222" s="5" t="s">
        <v>55</v>
      </c>
      <c r="M222" s="5" t="s">
        <v>60</v>
      </c>
      <c r="N222" s="5"/>
      <c r="O222" s="5"/>
      <c r="P222" s="5" t="s">
        <v>250</v>
      </c>
      <c r="Q222" s="5"/>
      <c r="R222" s="5" t="s">
        <v>615</v>
      </c>
      <c r="S222" s="6">
        <v>44155</v>
      </c>
      <c r="T222" s="6">
        <v>44158</v>
      </c>
      <c r="U222" s="5"/>
      <c r="V222" s="5"/>
      <c r="W222" s="5"/>
      <c r="X222" s="5"/>
      <c r="Y222" s="5" t="s">
        <v>4631</v>
      </c>
      <c r="Z222" s="5"/>
      <c r="AA222" s="5"/>
      <c r="AB222" s="5" t="s">
        <v>67</v>
      </c>
      <c r="AC222" s="5" t="s">
        <v>68</v>
      </c>
      <c r="AD222" s="5" t="s">
        <v>68</v>
      </c>
      <c r="AE222" s="5"/>
      <c r="AF222" s="5" t="s">
        <v>4574</v>
      </c>
      <c r="AG222" s="5"/>
      <c r="AH222" s="5"/>
      <c r="AI222" s="5" t="s">
        <v>252</v>
      </c>
      <c r="AJ222" s="5">
        <v>0</v>
      </c>
      <c r="AK222" s="5">
        <v>0</v>
      </c>
      <c r="AL222" s="5"/>
      <c r="AM222" s="5"/>
      <c r="AN222" s="5">
        <v>28</v>
      </c>
      <c r="AO222" s="5">
        <v>3040</v>
      </c>
      <c r="AP222" s="5">
        <v>41.111999999999988</v>
      </c>
      <c r="AQ222" s="5" t="s">
        <v>713</v>
      </c>
      <c r="AR222" s="5" t="s">
        <v>1104</v>
      </c>
      <c r="AS222" s="5"/>
      <c r="AT222" s="5"/>
      <c r="AU222" s="5"/>
      <c r="AV222" s="5">
        <v>-1</v>
      </c>
      <c r="AW222" s="5" t="s">
        <v>4751</v>
      </c>
    </row>
    <row r="223" spans="1:49" x14ac:dyDescent="0.55000000000000004">
      <c r="A223" s="5" t="str">
        <f>HYPERLINK("https://www.infodis.net/philips/net/Shipment/Details?InfodisNumber=6946427&amp;DomainCode=PHILIPSR1", "6946427")</f>
        <v>6946427</v>
      </c>
      <c r="B223" s="5" t="s">
        <v>5146</v>
      </c>
      <c r="C223" s="5" t="s">
        <v>2580</v>
      </c>
      <c r="D223" s="5" t="s">
        <v>2581</v>
      </c>
      <c r="E223" s="5" t="s">
        <v>1187</v>
      </c>
      <c r="F223" s="5" t="s">
        <v>5147</v>
      </c>
      <c r="G223" s="5" t="s">
        <v>880</v>
      </c>
      <c r="H223" s="5" t="s">
        <v>881</v>
      </c>
      <c r="I223" s="5"/>
      <c r="J223" s="5"/>
      <c r="K223" s="5" t="s">
        <v>2696</v>
      </c>
      <c r="L223" s="5" t="s">
        <v>881</v>
      </c>
      <c r="M223" s="5" t="s">
        <v>1489</v>
      </c>
      <c r="N223" s="5"/>
      <c r="O223" s="5"/>
      <c r="P223" s="5" t="s">
        <v>888</v>
      </c>
      <c r="Q223" s="5"/>
      <c r="R223" s="5" t="s">
        <v>4906</v>
      </c>
      <c r="S223" s="6">
        <v>44138</v>
      </c>
      <c r="T223" s="6">
        <v>44138</v>
      </c>
      <c r="U223" s="5"/>
      <c r="V223" s="5"/>
      <c r="W223" s="5"/>
      <c r="X223" s="5"/>
      <c r="Y223" s="5" t="s">
        <v>4776</v>
      </c>
      <c r="Z223" s="5"/>
      <c r="AA223" s="5"/>
      <c r="AB223" s="5" t="s">
        <v>67</v>
      </c>
      <c r="AC223" s="5" t="s">
        <v>68</v>
      </c>
      <c r="AD223" s="5" t="s">
        <v>68</v>
      </c>
      <c r="AE223" s="5"/>
      <c r="AF223" s="5" t="s">
        <v>4574</v>
      </c>
      <c r="AG223" s="5"/>
      <c r="AH223" s="5"/>
      <c r="AI223" s="5" t="s">
        <v>252</v>
      </c>
      <c r="AJ223" s="5">
        <v>0</v>
      </c>
      <c r="AK223" s="5">
        <v>0</v>
      </c>
      <c r="AL223" s="5"/>
      <c r="AM223" s="5"/>
      <c r="AN223" s="5">
        <v>0</v>
      </c>
      <c r="AO223" s="5">
        <v>32.200000000000003</v>
      </c>
      <c r="AP223" s="5">
        <v>1.002</v>
      </c>
      <c r="AQ223" s="5" t="s">
        <v>713</v>
      </c>
      <c r="AR223" s="5" t="s">
        <v>1104</v>
      </c>
      <c r="AS223" s="5"/>
      <c r="AT223" s="5"/>
      <c r="AU223" s="5"/>
      <c r="AV223" s="5">
        <v>-1</v>
      </c>
      <c r="AW223" s="5" t="s">
        <v>4777</v>
      </c>
    </row>
    <row r="224" spans="1:49" x14ac:dyDescent="0.55000000000000004">
      <c r="A224" s="5" t="str">
        <f>HYPERLINK("https://www.infodis.net/philips/net/Shipment/Details?InfodisNumber=4558667&amp;DomainCode=DAP", "4558667")</f>
        <v>4558667</v>
      </c>
      <c r="B224" s="5" t="s">
        <v>5148</v>
      </c>
      <c r="C224" s="5" t="s">
        <v>5046</v>
      </c>
      <c r="D224" s="5" t="s">
        <v>5047</v>
      </c>
      <c r="E224" s="5" t="s">
        <v>5046</v>
      </c>
      <c r="F224" s="5" t="s">
        <v>214</v>
      </c>
      <c r="G224" s="5" t="s">
        <v>5048</v>
      </c>
      <c r="H224" s="5" t="s">
        <v>881</v>
      </c>
      <c r="I224" s="5"/>
      <c r="J224" s="5"/>
      <c r="K224" s="5" t="s">
        <v>216</v>
      </c>
      <c r="L224" s="5" t="s">
        <v>55</v>
      </c>
      <c r="M224" s="5" t="s">
        <v>84</v>
      </c>
      <c r="N224" s="5"/>
      <c r="O224" s="5"/>
      <c r="P224" s="5" t="s">
        <v>5049</v>
      </c>
      <c r="Q224" s="5"/>
      <c r="R224" s="5" t="s">
        <v>3238</v>
      </c>
      <c r="S224" s="6">
        <v>44151</v>
      </c>
      <c r="T224" s="6">
        <v>44152</v>
      </c>
      <c r="U224" s="6">
        <v>44152</v>
      </c>
      <c r="V224" s="5"/>
      <c r="W224" s="5"/>
      <c r="X224" s="5"/>
      <c r="Y224" s="5" t="s">
        <v>4576</v>
      </c>
      <c r="Z224" s="5"/>
      <c r="AA224" s="5"/>
      <c r="AB224" s="5" t="s">
        <v>67</v>
      </c>
      <c r="AC224" s="5" t="s">
        <v>68</v>
      </c>
      <c r="AD224" s="5" t="s">
        <v>68</v>
      </c>
      <c r="AE224" s="5"/>
      <c r="AF224" s="5" t="s">
        <v>70</v>
      </c>
      <c r="AG224" s="5"/>
      <c r="AH224" s="5"/>
      <c r="AI224" s="5" t="s">
        <v>73</v>
      </c>
      <c r="AJ224" s="5">
        <v>0</v>
      </c>
      <c r="AK224" s="5">
        <v>0</v>
      </c>
      <c r="AL224" s="5"/>
      <c r="AM224" s="5"/>
      <c r="AN224" s="5">
        <v>4</v>
      </c>
      <c r="AO224" s="5">
        <v>500</v>
      </c>
      <c r="AP224" s="5">
        <v>6.72</v>
      </c>
      <c r="AQ224" s="5" t="s">
        <v>713</v>
      </c>
      <c r="AR224" s="5" t="s">
        <v>1104</v>
      </c>
      <c r="AS224" s="5"/>
      <c r="AT224" s="5"/>
      <c r="AU224" s="5"/>
      <c r="AV224" s="5">
        <v>-1</v>
      </c>
      <c r="AW224" s="5" t="s">
        <v>1269</v>
      </c>
    </row>
    <row r="225" spans="1:49" x14ac:dyDescent="0.55000000000000004">
      <c r="A225" s="5" t="str">
        <f>HYPERLINK("https://www.infodis.net/philips/net/Shipment/Details?InfodisNumber=6946257&amp;DomainCode=PHILIPSR1", "6946257")</f>
        <v>6946257</v>
      </c>
      <c r="B225" s="5" t="s">
        <v>5149</v>
      </c>
      <c r="C225" s="5" t="s">
        <v>4627</v>
      </c>
      <c r="D225" s="5" t="s">
        <v>4628</v>
      </c>
      <c r="E225" s="5" t="s">
        <v>4629</v>
      </c>
      <c r="F225" s="5"/>
      <c r="G225" s="5" t="s">
        <v>4630</v>
      </c>
      <c r="H225" s="5" t="s">
        <v>244</v>
      </c>
      <c r="I225" s="5"/>
      <c r="J225" s="5"/>
      <c r="K225" s="5" t="s">
        <v>4758</v>
      </c>
      <c r="L225" s="5" t="s">
        <v>244</v>
      </c>
      <c r="M225" s="5" t="s">
        <v>60</v>
      </c>
      <c r="N225" s="5"/>
      <c r="O225" s="5"/>
      <c r="P225" s="5" t="s">
        <v>250</v>
      </c>
      <c r="Q225" s="5"/>
      <c r="R225" s="5" t="s">
        <v>4759</v>
      </c>
      <c r="S225" s="6">
        <v>44138</v>
      </c>
      <c r="T225" s="6">
        <v>44139</v>
      </c>
      <c r="U225" s="6">
        <v>44139</v>
      </c>
      <c r="V225" s="5"/>
      <c r="W225" s="5"/>
      <c r="X225" s="5"/>
      <c r="Y225" s="5" t="s">
        <v>4750</v>
      </c>
      <c r="Z225" s="5"/>
      <c r="AA225" s="5"/>
      <c r="AB225" s="5" t="s">
        <v>67</v>
      </c>
      <c r="AC225" s="5" t="s">
        <v>68</v>
      </c>
      <c r="AD225" s="5" t="s">
        <v>68</v>
      </c>
      <c r="AE225" s="5"/>
      <c r="AF225" s="5" t="s">
        <v>4574</v>
      </c>
      <c r="AG225" s="5"/>
      <c r="AH225" s="5"/>
      <c r="AI225" s="5" t="s">
        <v>252</v>
      </c>
      <c r="AJ225" s="5">
        <v>0</v>
      </c>
      <c r="AK225" s="5">
        <v>0</v>
      </c>
      <c r="AL225" s="5"/>
      <c r="AM225" s="5"/>
      <c r="AN225" s="5">
        <v>31</v>
      </c>
      <c r="AO225" s="5">
        <v>3920</v>
      </c>
      <c r="AP225" s="5">
        <v>48.863999999999997</v>
      </c>
      <c r="AQ225" s="5" t="s">
        <v>713</v>
      </c>
      <c r="AR225" s="5" t="s">
        <v>1104</v>
      </c>
      <c r="AS225" s="5"/>
      <c r="AT225" s="5"/>
      <c r="AU225" s="5"/>
      <c r="AV225" s="5">
        <v>-1</v>
      </c>
      <c r="AW225" s="5" t="s">
        <v>4751</v>
      </c>
    </row>
    <row r="226" spans="1:49" x14ac:dyDescent="0.55000000000000004">
      <c r="A226" s="5" t="str">
        <f>HYPERLINK("https://www.infodis.net/philips/net/Shipment/Details?InfodisNumber=4546059&amp;DomainCode=DAP", "4546059")</f>
        <v>4546059</v>
      </c>
      <c r="B226" s="5" t="s">
        <v>5150</v>
      </c>
      <c r="C226" s="5" t="s">
        <v>2207</v>
      </c>
      <c r="D226" s="5" t="s">
        <v>2208</v>
      </c>
      <c r="E226" s="5" t="s">
        <v>214</v>
      </c>
      <c r="F226" s="5" t="s">
        <v>214</v>
      </c>
      <c r="G226" s="5" t="s">
        <v>259</v>
      </c>
      <c r="H226" s="5" t="s">
        <v>260</v>
      </c>
      <c r="I226" s="5"/>
      <c r="J226" s="5"/>
      <c r="K226" s="5" t="s">
        <v>5031</v>
      </c>
      <c r="L226" s="5" t="s">
        <v>55</v>
      </c>
      <c r="M226" s="5" t="s">
        <v>60</v>
      </c>
      <c r="N226" s="5"/>
      <c r="O226" s="5"/>
      <c r="P226" s="5" t="s">
        <v>2211</v>
      </c>
      <c r="Q226" s="5"/>
      <c r="R226" s="5" t="s">
        <v>5032</v>
      </c>
      <c r="S226" s="6">
        <v>44134</v>
      </c>
      <c r="T226" s="6">
        <v>44137</v>
      </c>
      <c r="U226" s="6">
        <v>44138</v>
      </c>
      <c r="V226" s="5"/>
      <c r="W226" s="5"/>
      <c r="X226" s="5"/>
      <c r="Y226" s="5" t="s">
        <v>4566</v>
      </c>
      <c r="Z226" s="5"/>
      <c r="AA226" s="5"/>
      <c r="AB226" s="5" t="s">
        <v>67</v>
      </c>
      <c r="AC226" s="5" t="s">
        <v>68</v>
      </c>
      <c r="AD226" s="5" t="s">
        <v>68</v>
      </c>
      <c r="AE226" s="5"/>
      <c r="AF226" s="5" t="s">
        <v>70</v>
      </c>
      <c r="AG226" s="5"/>
      <c r="AH226" s="5"/>
      <c r="AI226" s="5" t="s">
        <v>73</v>
      </c>
      <c r="AJ226" s="5">
        <v>0</v>
      </c>
      <c r="AK226" s="5">
        <v>0</v>
      </c>
      <c r="AL226" s="5"/>
      <c r="AM226" s="5"/>
      <c r="AN226" s="5">
        <v>33</v>
      </c>
      <c r="AO226" s="5">
        <v>1526</v>
      </c>
      <c r="AP226" s="5">
        <v>72.695999999999998</v>
      </c>
      <c r="AQ226" s="5" t="s">
        <v>713</v>
      </c>
      <c r="AR226" s="5" t="s">
        <v>1104</v>
      </c>
      <c r="AS226" s="5"/>
      <c r="AT226" s="5"/>
      <c r="AU226" s="5"/>
      <c r="AV226" s="5">
        <v>-1</v>
      </c>
      <c r="AW226" s="5" t="s">
        <v>1269</v>
      </c>
    </row>
    <row r="227" spans="1:49" x14ac:dyDescent="0.55000000000000004">
      <c r="A227" s="5" t="str">
        <f>HYPERLINK("https://www.infodis.net/philips/net/Shipment/Details?InfodisNumber=4542688&amp;DomainCode=DAP", "4542688")</f>
        <v>4542688</v>
      </c>
      <c r="B227" s="5" t="s">
        <v>5151</v>
      </c>
      <c r="C227" s="5" t="s">
        <v>5046</v>
      </c>
      <c r="D227" s="5" t="s">
        <v>5047</v>
      </c>
      <c r="E227" s="5" t="s">
        <v>5046</v>
      </c>
      <c r="F227" s="5" t="s">
        <v>214</v>
      </c>
      <c r="G227" s="5" t="s">
        <v>5048</v>
      </c>
      <c r="H227" s="5" t="s">
        <v>881</v>
      </c>
      <c r="I227" s="5"/>
      <c r="J227" s="5"/>
      <c r="K227" s="5" t="s">
        <v>216</v>
      </c>
      <c r="L227" s="5" t="s">
        <v>55</v>
      </c>
      <c r="M227" s="5" t="s">
        <v>84</v>
      </c>
      <c r="N227" s="5"/>
      <c r="O227" s="5"/>
      <c r="P227" s="5" t="s">
        <v>5049</v>
      </c>
      <c r="Q227" s="5"/>
      <c r="R227" s="5" t="s">
        <v>3238</v>
      </c>
      <c r="S227" s="6">
        <v>44130</v>
      </c>
      <c r="T227" s="6">
        <v>44133</v>
      </c>
      <c r="U227" s="6">
        <v>44133</v>
      </c>
      <c r="V227" s="5"/>
      <c r="W227" s="5"/>
      <c r="X227" s="5"/>
      <c r="Y227" s="5" t="s">
        <v>4576</v>
      </c>
      <c r="Z227" s="5"/>
      <c r="AA227" s="5"/>
      <c r="AB227" s="5" t="s">
        <v>67</v>
      </c>
      <c r="AC227" s="5" t="s">
        <v>68</v>
      </c>
      <c r="AD227" s="5" t="s">
        <v>68</v>
      </c>
      <c r="AE227" s="5"/>
      <c r="AF227" s="5" t="s">
        <v>70</v>
      </c>
      <c r="AG227" s="5"/>
      <c r="AH227" s="5"/>
      <c r="AI227" s="5" t="s">
        <v>73</v>
      </c>
      <c r="AJ227" s="5">
        <v>0</v>
      </c>
      <c r="AK227" s="5">
        <v>0</v>
      </c>
      <c r="AL227" s="5"/>
      <c r="AM227" s="5"/>
      <c r="AN227" s="5">
        <v>10</v>
      </c>
      <c r="AO227" s="5">
        <v>5500</v>
      </c>
      <c r="AP227" s="5">
        <v>13.2</v>
      </c>
      <c r="AQ227" s="5" t="s">
        <v>713</v>
      </c>
      <c r="AR227" s="5" t="s">
        <v>1104</v>
      </c>
      <c r="AS227" s="5"/>
      <c r="AT227" s="5"/>
      <c r="AU227" s="5"/>
      <c r="AV227" s="5">
        <v>-1</v>
      </c>
      <c r="AW227" s="5" t="s">
        <v>1269</v>
      </c>
    </row>
    <row r="228" spans="1:49" x14ac:dyDescent="0.55000000000000004">
      <c r="A228" s="5" t="str">
        <f>HYPERLINK("https://www.infodis.net/philips/net/Shipment/Details?InfodisNumber=6914689&amp;DomainCode=PHILIPSR1", "6914689")</f>
        <v>6914689</v>
      </c>
      <c r="B228" s="5" t="s">
        <v>5152</v>
      </c>
      <c r="C228" s="5" t="s">
        <v>4627</v>
      </c>
      <c r="D228" s="5" t="s">
        <v>4628</v>
      </c>
      <c r="E228" s="5" t="s">
        <v>4629</v>
      </c>
      <c r="F228" s="5" t="s">
        <v>915</v>
      </c>
      <c r="G228" s="5" t="s">
        <v>4630</v>
      </c>
      <c r="H228" s="5" t="s">
        <v>244</v>
      </c>
      <c r="I228" s="5"/>
      <c r="J228" s="5"/>
      <c r="K228" s="5" t="s">
        <v>918</v>
      </c>
      <c r="L228" s="5" t="s">
        <v>881</v>
      </c>
      <c r="M228" s="5" t="s">
        <v>60</v>
      </c>
      <c r="N228" s="5"/>
      <c r="O228" s="5"/>
      <c r="P228" s="5" t="s">
        <v>250</v>
      </c>
      <c r="Q228" s="5"/>
      <c r="R228" s="5" t="s">
        <v>888</v>
      </c>
      <c r="S228" s="6">
        <v>44125</v>
      </c>
      <c r="T228" s="6">
        <v>44126</v>
      </c>
      <c r="U228" s="6">
        <v>44126</v>
      </c>
      <c r="V228" s="5"/>
      <c r="W228" s="5"/>
      <c r="X228" s="5"/>
      <c r="Y228" s="5" t="s">
        <v>4750</v>
      </c>
      <c r="Z228" s="5"/>
      <c r="AA228" s="5"/>
      <c r="AB228" s="5" t="s">
        <v>67</v>
      </c>
      <c r="AC228" s="5" t="s">
        <v>68</v>
      </c>
      <c r="AD228" s="5" t="s">
        <v>68</v>
      </c>
      <c r="AE228" s="5"/>
      <c r="AF228" s="5" t="s">
        <v>4574</v>
      </c>
      <c r="AG228" s="5"/>
      <c r="AH228" s="5"/>
      <c r="AI228" s="5" t="s">
        <v>252</v>
      </c>
      <c r="AJ228" s="5">
        <v>0</v>
      </c>
      <c r="AK228" s="5">
        <v>0</v>
      </c>
      <c r="AL228" s="5"/>
      <c r="AM228" s="5"/>
      <c r="AN228" s="5">
        <v>11</v>
      </c>
      <c r="AO228" s="5">
        <v>1790</v>
      </c>
      <c r="AP228" s="5">
        <v>16.2</v>
      </c>
      <c r="AQ228" s="5" t="s">
        <v>713</v>
      </c>
      <c r="AR228" s="5" t="s">
        <v>1104</v>
      </c>
      <c r="AS228" s="5"/>
      <c r="AT228" s="5"/>
      <c r="AU228" s="5"/>
      <c r="AV228" s="5">
        <v>-1</v>
      </c>
      <c r="AW228" s="5" t="s">
        <v>4751</v>
      </c>
    </row>
    <row r="229" spans="1:49" x14ac:dyDescent="0.55000000000000004">
      <c r="A229" s="5" t="str">
        <f>HYPERLINK("https://www.infodis.net/philips/net/Shipment/Details?InfodisNumber=6913361&amp;DomainCode=PHILIPSR1", "6913361")</f>
        <v>6913361</v>
      </c>
      <c r="B229" s="5" t="s">
        <v>5153</v>
      </c>
      <c r="C229" s="5" t="s">
        <v>4627</v>
      </c>
      <c r="D229" s="5" t="s">
        <v>4628</v>
      </c>
      <c r="E229" s="5" t="s">
        <v>4629</v>
      </c>
      <c r="F229" s="5" t="s">
        <v>915</v>
      </c>
      <c r="G229" s="5" t="s">
        <v>4630</v>
      </c>
      <c r="H229" s="5" t="s">
        <v>244</v>
      </c>
      <c r="I229" s="5"/>
      <c r="J229" s="5"/>
      <c r="K229" s="5" t="s">
        <v>918</v>
      </c>
      <c r="L229" s="5" t="s">
        <v>881</v>
      </c>
      <c r="M229" s="5" t="s">
        <v>60</v>
      </c>
      <c r="N229" s="5"/>
      <c r="O229" s="5"/>
      <c r="P229" s="5" t="s">
        <v>250</v>
      </c>
      <c r="Q229" s="5"/>
      <c r="R229" s="5" t="s">
        <v>888</v>
      </c>
      <c r="S229" s="6">
        <v>44125</v>
      </c>
      <c r="T229" s="6">
        <v>44125</v>
      </c>
      <c r="U229" s="6">
        <v>44125</v>
      </c>
      <c r="V229" s="5"/>
      <c r="W229" s="5"/>
      <c r="X229" s="5"/>
      <c r="Y229" s="5" t="s">
        <v>4750</v>
      </c>
      <c r="Z229" s="5"/>
      <c r="AA229" s="5"/>
      <c r="AB229" s="5" t="s">
        <v>67</v>
      </c>
      <c r="AC229" s="5" t="s">
        <v>68</v>
      </c>
      <c r="AD229" s="5" t="s">
        <v>68</v>
      </c>
      <c r="AE229" s="5"/>
      <c r="AF229" s="5" t="s">
        <v>4574</v>
      </c>
      <c r="AG229" s="5"/>
      <c r="AH229" s="5"/>
      <c r="AI229" s="5" t="s">
        <v>252</v>
      </c>
      <c r="AJ229" s="5">
        <v>0</v>
      </c>
      <c r="AK229" s="5">
        <v>0</v>
      </c>
      <c r="AL229" s="5"/>
      <c r="AM229" s="5"/>
      <c r="AN229" s="5">
        <v>6</v>
      </c>
      <c r="AO229" s="5">
        <v>690</v>
      </c>
      <c r="AP229" s="5">
        <v>8.8559999999999999</v>
      </c>
      <c r="AQ229" s="5" t="s">
        <v>713</v>
      </c>
      <c r="AR229" s="5" t="s">
        <v>1104</v>
      </c>
      <c r="AS229" s="5"/>
      <c r="AT229" s="5"/>
      <c r="AU229" s="5"/>
      <c r="AV229" s="5">
        <v>-1</v>
      </c>
      <c r="AW229" s="5" t="s">
        <v>4751</v>
      </c>
    </row>
    <row r="230" spans="1:49" x14ac:dyDescent="0.55000000000000004">
      <c r="A230" s="5" t="str">
        <f>HYPERLINK("https://www.infodis.net/philips/net/Shipment/Details?InfodisNumber=4538437&amp;DomainCode=DAP", "4538437")</f>
        <v>4538437</v>
      </c>
      <c r="B230" s="5" t="s">
        <v>5154</v>
      </c>
      <c r="C230" s="5" t="s">
        <v>5046</v>
      </c>
      <c r="D230" s="5" t="s">
        <v>5047</v>
      </c>
      <c r="E230" s="5" t="s">
        <v>5046</v>
      </c>
      <c r="F230" s="5" t="s">
        <v>214</v>
      </c>
      <c r="G230" s="5" t="s">
        <v>5048</v>
      </c>
      <c r="H230" s="5" t="s">
        <v>881</v>
      </c>
      <c r="I230" s="5"/>
      <c r="J230" s="5"/>
      <c r="K230" s="5" t="s">
        <v>216</v>
      </c>
      <c r="L230" s="5" t="s">
        <v>55</v>
      </c>
      <c r="M230" s="5" t="s">
        <v>84</v>
      </c>
      <c r="N230" s="5"/>
      <c r="O230" s="5"/>
      <c r="P230" s="5" t="s">
        <v>5049</v>
      </c>
      <c r="Q230" s="5"/>
      <c r="R230" s="5" t="s">
        <v>3238</v>
      </c>
      <c r="S230" s="6">
        <v>44124</v>
      </c>
      <c r="T230" s="6">
        <v>44130</v>
      </c>
      <c r="U230" s="6">
        <v>44125</v>
      </c>
      <c r="V230" s="5"/>
      <c r="W230" s="5"/>
      <c r="X230" s="5"/>
      <c r="Y230" s="5" t="s">
        <v>4576</v>
      </c>
      <c r="Z230" s="5"/>
      <c r="AA230" s="5"/>
      <c r="AB230" s="5" t="s">
        <v>67</v>
      </c>
      <c r="AC230" s="5" t="s">
        <v>68</v>
      </c>
      <c r="AD230" s="5" t="s">
        <v>68</v>
      </c>
      <c r="AE230" s="5"/>
      <c r="AF230" s="5" t="s">
        <v>70</v>
      </c>
      <c r="AG230" s="5"/>
      <c r="AH230" s="5"/>
      <c r="AI230" s="5" t="s">
        <v>73</v>
      </c>
      <c r="AJ230" s="5">
        <v>0</v>
      </c>
      <c r="AK230" s="5">
        <v>0</v>
      </c>
      <c r="AL230" s="5"/>
      <c r="AM230" s="5"/>
      <c r="AN230" s="5">
        <v>23</v>
      </c>
      <c r="AO230" s="5">
        <v>11500</v>
      </c>
      <c r="AP230" s="5">
        <v>38.64</v>
      </c>
      <c r="AQ230" s="5" t="s">
        <v>713</v>
      </c>
      <c r="AR230" s="5" t="s">
        <v>1104</v>
      </c>
      <c r="AS230" s="5"/>
      <c r="AT230" s="5"/>
      <c r="AU230" s="5"/>
      <c r="AV230" s="5">
        <v>-1</v>
      </c>
      <c r="AW230" s="5" t="s">
        <v>1269</v>
      </c>
    </row>
    <row r="231" spans="1:49" x14ac:dyDescent="0.55000000000000004">
      <c r="A231" s="5" t="str">
        <f>HYPERLINK("https://www.infodis.net/philips/net/Shipment/Details?InfodisNumber=6905994&amp;DomainCode=PHILIPSR1", "6905994")</f>
        <v>6905994</v>
      </c>
      <c r="B231" s="5" t="s">
        <v>5155</v>
      </c>
      <c r="C231" s="5" t="s">
        <v>4627</v>
      </c>
      <c r="D231" s="5" t="s">
        <v>4628</v>
      </c>
      <c r="E231" s="5" t="s">
        <v>5156</v>
      </c>
      <c r="F231" s="5" t="s">
        <v>5156</v>
      </c>
      <c r="G231" s="5" t="s">
        <v>5157</v>
      </c>
      <c r="H231" s="5" t="s">
        <v>244</v>
      </c>
      <c r="I231" s="5"/>
      <c r="J231" s="5"/>
      <c r="K231" s="5" t="s">
        <v>4630</v>
      </c>
      <c r="L231" s="5" t="s">
        <v>244</v>
      </c>
      <c r="M231" s="5" t="s">
        <v>309</v>
      </c>
      <c r="N231" s="5"/>
      <c r="O231" s="5"/>
      <c r="P231" s="5" t="s">
        <v>5158</v>
      </c>
      <c r="Q231" s="5"/>
      <c r="R231" s="5" t="s">
        <v>250</v>
      </c>
      <c r="S231" s="6">
        <v>44123</v>
      </c>
      <c r="T231" s="6">
        <v>44125</v>
      </c>
      <c r="U231" s="6">
        <v>44125</v>
      </c>
      <c r="V231" s="5"/>
      <c r="W231" s="5"/>
      <c r="X231" s="5"/>
      <c r="Y231" s="5" t="s">
        <v>4750</v>
      </c>
      <c r="Z231" s="5"/>
      <c r="AA231" s="5"/>
      <c r="AB231" s="5" t="s">
        <v>67</v>
      </c>
      <c r="AC231" s="5" t="s">
        <v>68</v>
      </c>
      <c r="AD231" s="5" t="s">
        <v>68</v>
      </c>
      <c r="AE231" s="5"/>
      <c r="AF231" s="5" t="s">
        <v>70</v>
      </c>
      <c r="AG231" s="5"/>
      <c r="AH231" s="5"/>
      <c r="AI231" s="5" t="s">
        <v>252</v>
      </c>
      <c r="AJ231" s="5">
        <v>0</v>
      </c>
      <c r="AK231" s="5">
        <v>0</v>
      </c>
      <c r="AL231" s="5"/>
      <c r="AM231" s="5"/>
      <c r="AN231" s="5">
        <v>14</v>
      </c>
      <c r="AO231" s="5">
        <v>2800</v>
      </c>
      <c r="AP231" s="5">
        <v>24.192</v>
      </c>
      <c r="AQ231" s="5" t="s">
        <v>713</v>
      </c>
      <c r="AR231" s="5" t="s">
        <v>1104</v>
      </c>
      <c r="AS231" s="5"/>
      <c r="AT231" s="5"/>
      <c r="AU231" s="5"/>
      <c r="AV231" s="5">
        <v>-1</v>
      </c>
      <c r="AW231" s="5" t="s">
        <v>1110</v>
      </c>
    </row>
    <row r="232" spans="1:49" x14ac:dyDescent="0.55000000000000004">
      <c r="A232" s="5" t="str">
        <f>HYPERLINK("https://www.infodis.net/philips/net/Shipment/Details?InfodisNumber=4535360&amp;DomainCode=DAP", "4535360")</f>
        <v>4535360</v>
      </c>
      <c r="B232" s="5" t="s">
        <v>5159</v>
      </c>
      <c r="C232" s="5" t="s">
        <v>5046</v>
      </c>
      <c r="D232" s="5" t="s">
        <v>5047</v>
      </c>
      <c r="E232" s="5" t="s">
        <v>5046</v>
      </c>
      <c r="F232" s="5" t="s">
        <v>214</v>
      </c>
      <c r="G232" s="5" t="s">
        <v>5048</v>
      </c>
      <c r="H232" s="5" t="s">
        <v>881</v>
      </c>
      <c r="I232" s="5"/>
      <c r="J232" s="5"/>
      <c r="K232" s="5" t="s">
        <v>216</v>
      </c>
      <c r="L232" s="5" t="s">
        <v>55</v>
      </c>
      <c r="M232" s="5" t="s">
        <v>84</v>
      </c>
      <c r="N232" s="5"/>
      <c r="O232" s="5"/>
      <c r="P232" s="5" t="s">
        <v>5049</v>
      </c>
      <c r="Q232" s="5"/>
      <c r="R232" s="5" t="s">
        <v>3238</v>
      </c>
      <c r="S232" s="6">
        <v>44119</v>
      </c>
      <c r="T232" s="6">
        <v>44123</v>
      </c>
      <c r="U232" s="6">
        <v>44123</v>
      </c>
      <c r="V232" s="5"/>
      <c r="W232" s="5"/>
      <c r="X232" s="5"/>
      <c r="Y232" s="5" t="s">
        <v>4576</v>
      </c>
      <c r="Z232" s="5"/>
      <c r="AA232" s="5"/>
      <c r="AB232" s="5" t="s">
        <v>67</v>
      </c>
      <c r="AC232" s="5" t="s">
        <v>68</v>
      </c>
      <c r="AD232" s="5" t="s">
        <v>68</v>
      </c>
      <c r="AE232" s="5"/>
      <c r="AF232" s="5" t="s">
        <v>70</v>
      </c>
      <c r="AG232" s="5"/>
      <c r="AH232" s="5"/>
      <c r="AI232" s="5" t="s">
        <v>73</v>
      </c>
      <c r="AJ232" s="5">
        <v>0</v>
      </c>
      <c r="AK232" s="5">
        <v>0</v>
      </c>
      <c r="AL232" s="5"/>
      <c r="AM232" s="5"/>
      <c r="AN232" s="5">
        <v>26</v>
      </c>
      <c r="AO232" s="5">
        <v>2500</v>
      </c>
      <c r="AP232" s="5">
        <v>31.2</v>
      </c>
      <c r="AQ232" s="5" t="s">
        <v>713</v>
      </c>
      <c r="AR232" s="5" t="s">
        <v>1104</v>
      </c>
      <c r="AS232" s="5"/>
      <c r="AT232" s="5"/>
      <c r="AU232" s="5"/>
      <c r="AV232" s="5">
        <v>-1</v>
      </c>
      <c r="AW232" s="5" t="s">
        <v>1269</v>
      </c>
    </row>
    <row r="233" spans="1:49" x14ac:dyDescent="0.55000000000000004">
      <c r="A233" s="5" t="str">
        <f>HYPERLINK("https://www.infodis.net/philips/net/Shipment/Details?InfodisNumber=6898479&amp;DomainCode=PHILIPSR1", "6898479")</f>
        <v>6898479</v>
      </c>
      <c r="B233" s="5" t="s">
        <v>5160</v>
      </c>
      <c r="C233" s="5" t="s">
        <v>4627</v>
      </c>
      <c r="D233" s="5" t="s">
        <v>4628</v>
      </c>
      <c r="E233" s="5" t="s">
        <v>4629</v>
      </c>
      <c r="F233" s="5"/>
      <c r="G233" s="5" t="s">
        <v>4630</v>
      </c>
      <c r="H233" s="5" t="s">
        <v>244</v>
      </c>
      <c r="I233" s="5"/>
      <c r="J233" s="5"/>
      <c r="K233" s="5" t="s">
        <v>5053</v>
      </c>
      <c r="L233" s="5" t="s">
        <v>244</v>
      </c>
      <c r="M233" s="5" t="s">
        <v>60</v>
      </c>
      <c r="N233" s="5"/>
      <c r="O233" s="5"/>
      <c r="P233" s="5" t="s">
        <v>250</v>
      </c>
      <c r="Q233" s="5"/>
      <c r="R233" s="5" t="s">
        <v>4759</v>
      </c>
      <c r="S233" s="6">
        <v>44119</v>
      </c>
      <c r="T233" s="6">
        <v>44123</v>
      </c>
      <c r="U233" s="6">
        <v>44120</v>
      </c>
      <c r="V233" s="5"/>
      <c r="W233" s="5"/>
      <c r="X233" s="5"/>
      <c r="Y233" s="5" t="s">
        <v>4750</v>
      </c>
      <c r="Z233" s="5"/>
      <c r="AA233" s="5"/>
      <c r="AB233" s="5" t="s">
        <v>67</v>
      </c>
      <c r="AC233" s="5" t="s">
        <v>68</v>
      </c>
      <c r="AD233" s="5" t="s">
        <v>68</v>
      </c>
      <c r="AE233" s="5"/>
      <c r="AF233" s="5" t="s">
        <v>4574</v>
      </c>
      <c r="AG233" s="5"/>
      <c r="AH233" s="5"/>
      <c r="AI233" s="5" t="s">
        <v>252</v>
      </c>
      <c r="AJ233" s="5">
        <v>0</v>
      </c>
      <c r="AK233" s="5">
        <v>0</v>
      </c>
      <c r="AL233" s="5"/>
      <c r="AM233" s="5"/>
      <c r="AN233" s="5">
        <v>32</v>
      </c>
      <c r="AO233" s="5">
        <v>3230</v>
      </c>
      <c r="AP233" s="5">
        <v>48.738999999999997</v>
      </c>
      <c r="AQ233" s="5" t="s">
        <v>713</v>
      </c>
      <c r="AR233" s="5" t="s">
        <v>1104</v>
      </c>
      <c r="AS233" s="5"/>
      <c r="AT233" s="5"/>
      <c r="AU233" s="5"/>
      <c r="AV233" s="5">
        <v>-1</v>
      </c>
      <c r="AW233" s="5" t="s">
        <v>4751</v>
      </c>
    </row>
    <row r="234" spans="1:49" x14ac:dyDescent="0.55000000000000004">
      <c r="A234" s="5" t="str">
        <f>HYPERLINK("https://www.infodis.net/philips/net/Shipment/Details?InfodisNumber=4534919&amp;DomainCode=DAP", "4534919")</f>
        <v>4534919</v>
      </c>
      <c r="B234" s="5" t="s">
        <v>5161</v>
      </c>
      <c r="C234" s="5" t="s">
        <v>212</v>
      </c>
      <c r="D234" s="5" t="s">
        <v>213</v>
      </c>
      <c r="E234" s="5" t="s">
        <v>304</v>
      </c>
      <c r="F234" s="5" t="s">
        <v>2114</v>
      </c>
      <c r="G234" s="5" t="s">
        <v>216</v>
      </c>
      <c r="H234" s="5" t="s">
        <v>55</v>
      </c>
      <c r="I234" s="5"/>
      <c r="J234" s="5"/>
      <c r="K234" s="5" t="s">
        <v>306</v>
      </c>
      <c r="L234" s="5" t="s">
        <v>307</v>
      </c>
      <c r="M234" s="5" t="s">
        <v>60</v>
      </c>
      <c r="N234" s="5"/>
      <c r="O234" s="5"/>
      <c r="P234" s="5" t="s">
        <v>222</v>
      </c>
      <c r="Q234" s="5"/>
      <c r="R234" s="5" t="s">
        <v>312</v>
      </c>
      <c r="S234" s="6">
        <v>44119</v>
      </c>
      <c r="T234" s="6">
        <v>44123</v>
      </c>
      <c r="U234" s="6">
        <v>44123</v>
      </c>
      <c r="V234" s="5"/>
      <c r="W234" s="5"/>
      <c r="X234" s="5"/>
      <c r="Y234" s="5" t="s">
        <v>940</v>
      </c>
      <c r="Z234" s="5"/>
      <c r="AA234" s="5"/>
      <c r="AB234" s="5" t="s">
        <v>67</v>
      </c>
      <c r="AC234" s="5" t="s">
        <v>68</v>
      </c>
      <c r="AD234" s="5" t="s">
        <v>68</v>
      </c>
      <c r="AE234" s="5"/>
      <c r="AF234" s="5" t="s">
        <v>70</v>
      </c>
      <c r="AG234" s="5"/>
      <c r="AH234" s="5"/>
      <c r="AI234" s="5" t="s">
        <v>73</v>
      </c>
      <c r="AJ234" s="5">
        <v>0</v>
      </c>
      <c r="AK234" s="5">
        <v>0</v>
      </c>
      <c r="AL234" s="5"/>
      <c r="AM234" s="5"/>
      <c r="AN234" s="5">
        <v>0</v>
      </c>
      <c r="AO234" s="5">
        <v>121</v>
      </c>
      <c r="AP234" s="5">
        <v>1.028</v>
      </c>
      <c r="AQ234" s="5" t="s">
        <v>713</v>
      </c>
      <c r="AR234" s="5" t="s">
        <v>1104</v>
      </c>
      <c r="AS234" s="5"/>
      <c r="AT234" s="5"/>
      <c r="AU234" s="5"/>
      <c r="AV234" s="5">
        <v>-1</v>
      </c>
      <c r="AW234" s="5" t="s">
        <v>4766</v>
      </c>
    </row>
    <row r="235" spans="1:49" x14ac:dyDescent="0.55000000000000004">
      <c r="A235" s="5" t="str">
        <f>HYPERLINK("https://www.infodis.net/philips/net/Shipment/Details?InfodisNumber=6571177&amp;DomainCode=PHILIPSR1", "6571177")</f>
        <v>6571177</v>
      </c>
      <c r="B235" s="5" t="s">
        <v>5162</v>
      </c>
      <c r="C235" s="5" t="s">
        <v>4627</v>
      </c>
      <c r="D235" s="5" t="s">
        <v>4628</v>
      </c>
      <c r="E235" s="5" t="s">
        <v>242</v>
      </c>
      <c r="F235" s="5" t="s">
        <v>4754</v>
      </c>
      <c r="G235" s="5" t="s">
        <v>4630</v>
      </c>
      <c r="H235" s="5" t="s">
        <v>244</v>
      </c>
      <c r="I235" s="5"/>
      <c r="J235" s="5"/>
      <c r="K235" s="5" t="s">
        <v>4755</v>
      </c>
      <c r="L235" s="5" t="s">
        <v>244</v>
      </c>
      <c r="M235" s="5" t="s">
        <v>309</v>
      </c>
      <c r="N235" s="5"/>
      <c r="O235" s="5"/>
      <c r="P235" s="5" t="s">
        <v>250</v>
      </c>
      <c r="Q235" s="5"/>
      <c r="R235" s="5" t="s">
        <v>4756</v>
      </c>
      <c r="S235" s="6">
        <v>44000</v>
      </c>
      <c r="T235" s="6">
        <v>44000</v>
      </c>
      <c r="U235" s="6">
        <v>44000</v>
      </c>
      <c r="V235" s="5"/>
      <c r="W235" s="5"/>
      <c r="X235" s="5"/>
      <c r="Y235" s="5" t="s">
        <v>4750</v>
      </c>
      <c r="Z235" s="5"/>
      <c r="AA235" s="5"/>
      <c r="AB235" s="5" t="s">
        <v>67</v>
      </c>
      <c r="AC235" s="5" t="s">
        <v>68</v>
      </c>
      <c r="AD235" s="5" t="s">
        <v>68</v>
      </c>
      <c r="AE235" s="5"/>
      <c r="AF235" s="5" t="s">
        <v>70</v>
      </c>
      <c r="AG235" s="5"/>
      <c r="AH235" s="5"/>
      <c r="AI235" s="5" t="s">
        <v>252</v>
      </c>
      <c r="AJ235" s="5">
        <v>0</v>
      </c>
      <c r="AK235" s="5">
        <v>0</v>
      </c>
      <c r="AL235" s="5"/>
      <c r="AM235" s="5"/>
      <c r="AN235" s="5">
        <v>2</v>
      </c>
      <c r="AO235" s="5">
        <v>230</v>
      </c>
      <c r="AP235" s="5">
        <v>1.248</v>
      </c>
      <c r="AQ235" s="5" t="s">
        <v>713</v>
      </c>
      <c r="AR235" s="5" t="s">
        <v>1104</v>
      </c>
      <c r="AS235" s="5"/>
      <c r="AT235" s="5"/>
      <c r="AU235" s="5"/>
      <c r="AV235" s="5">
        <v>-1</v>
      </c>
      <c r="AW235" s="5" t="s">
        <v>4751</v>
      </c>
    </row>
    <row r="236" spans="1:49" x14ac:dyDescent="0.55000000000000004">
      <c r="A236" s="5" t="str">
        <f>HYPERLINK("https://www.infodis.net/philips/net/Shipment/Details?InfodisNumber=4406384&amp;DomainCode=DAP", "4406384")</f>
        <v>4406384</v>
      </c>
      <c r="B236" s="5" t="s">
        <v>5163</v>
      </c>
      <c r="C236" s="5" t="s">
        <v>212</v>
      </c>
      <c r="D236" s="5" t="s">
        <v>213</v>
      </c>
      <c r="E236" s="5" t="s">
        <v>214</v>
      </c>
      <c r="F236" s="5" t="s">
        <v>4969</v>
      </c>
      <c r="G236" s="5" t="s">
        <v>216</v>
      </c>
      <c r="H236" s="5" t="s">
        <v>55</v>
      </c>
      <c r="I236" s="5"/>
      <c r="J236" s="5"/>
      <c r="K236" s="5" t="s">
        <v>3334</v>
      </c>
      <c r="L236" s="5" t="s">
        <v>380</v>
      </c>
      <c r="M236" s="5" t="s">
        <v>60</v>
      </c>
      <c r="N236" s="5"/>
      <c r="O236" s="5"/>
      <c r="P236" s="5" t="s">
        <v>2369</v>
      </c>
      <c r="Q236" s="5"/>
      <c r="R236" s="5" t="s">
        <v>662</v>
      </c>
      <c r="S236" s="6">
        <v>43887</v>
      </c>
      <c r="T236" s="6">
        <v>43893</v>
      </c>
      <c r="U236" s="5"/>
      <c r="V236" s="5"/>
      <c r="W236" s="5"/>
      <c r="X236" s="5"/>
      <c r="Y236" s="5" t="s">
        <v>5096</v>
      </c>
      <c r="Z236" s="5"/>
      <c r="AA236" s="5"/>
      <c r="AB236" s="5" t="s">
        <v>68</v>
      </c>
      <c r="AC236" s="5" t="s">
        <v>68</v>
      </c>
      <c r="AD236" s="5" t="s">
        <v>68</v>
      </c>
      <c r="AE236" s="5"/>
      <c r="AF236" s="5" t="s">
        <v>70</v>
      </c>
      <c r="AG236" s="5"/>
      <c r="AH236" s="5"/>
      <c r="AI236" s="5" t="s">
        <v>73</v>
      </c>
      <c r="AJ236" s="5">
        <v>0</v>
      </c>
      <c r="AK236" s="5">
        <v>0</v>
      </c>
      <c r="AL236" s="5"/>
      <c r="AM236" s="5"/>
      <c r="AN236" s="5">
        <v>0</v>
      </c>
      <c r="AO236" s="5">
        <v>112.88</v>
      </c>
      <c r="AP236" s="5">
        <v>0.92799999999999994</v>
      </c>
      <c r="AQ236" s="5" t="s">
        <v>713</v>
      </c>
      <c r="AR236" s="5" t="s">
        <v>1104</v>
      </c>
      <c r="AS236" s="5"/>
      <c r="AT236" s="5"/>
      <c r="AU236" s="5"/>
      <c r="AV236" s="5">
        <v>-1</v>
      </c>
      <c r="AW236" s="5" t="s">
        <v>4807</v>
      </c>
    </row>
    <row r="237" spans="1:49" x14ac:dyDescent="0.55000000000000004">
      <c r="A237" s="5" t="str">
        <f>HYPERLINK("https://www.infodis.net/philips/net/Shipment/Details?InfodisNumber=6239773&amp;DomainCode=PHILIPSR1", "6239773")</f>
        <v>6239773</v>
      </c>
      <c r="B237" s="5" t="s">
        <v>5164</v>
      </c>
      <c r="C237" s="5" t="s">
        <v>4627</v>
      </c>
      <c r="D237" s="5" t="s">
        <v>4628</v>
      </c>
      <c r="E237" s="5" t="s">
        <v>4629</v>
      </c>
      <c r="F237" s="5" t="s">
        <v>5165</v>
      </c>
      <c r="G237" s="5" t="s">
        <v>5166</v>
      </c>
      <c r="H237" s="5" t="s">
        <v>244</v>
      </c>
      <c r="I237" s="5"/>
      <c r="J237" s="5"/>
      <c r="K237" s="5" t="s">
        <v>3379</v>
      </c>
      <c r="L237" s="5" t="s">
        <v>244</v>
      </c>
      <c r="M237" s="5" t="s">
        <v>60</v>
      </c>
      <c r="N237" s="5"/>
      <c r="O237" s="5"/>
      <c r="P237" s="5" t="s">
        <v>5167</v>
      </c>
      <c r="Q237" s="5"/>
      <c r="R237" s="5" t="s">
        <v>5168</v>
      </c>
      <c r="S237" s="6">
        <v>43879</v>
      </c>
      <c r="T237" s="6">
        <v>43879</v>
      </c>
      <c r="U237" s="6">
        <v>43879</v>
      </c>
      <c r="V237" s="5"/>
      <c r="W237" s="5"/>
      <c r="X237" s="5"/>
      <c r="Y237" s="5" t="s">
        <v>4750</v>
      </c>
      <c r="Z237" s="5"/>
      <c r="AA237" s="5"/>
      <c r="AB237" s="5" t="s">
        <v>67</v>
      </c>
      <c r="AC237" s="5" t="s">
        <v>68</v>
      </c>
      <c r="AD237" s="5" t="s">
        <v>68</v>
      </c>
      <c r="AE237" s="5"/>
      <c r="AF237" s="5" t="s">
        <v>4574</v>
      </c>
      <c r="AG237" s="5"/>
      <c r="AH237" s="5"/>
      <c r="AI237" s="5" t="s">
        <v>252</v>
      </c>
      <c r="AJ237" s="5">
        <v>0</v>
      </c>
      <c r="AK237" s="5">
        <v>0</v>
      </c>
      <c r="AL237" s="5"/>
      <c r="AM237" s="5"/>
      <c r="AN237" s="5">
        <v>0</v>
      </c>
      <c r="AO237" s="5">
        <v>16</v>
      </c>
      <c r="AP237" s="5">
        <v>0.127</v>
      </c>
      <c r="AQ237" s="5" t="s">
        <v>713</v>
      </c>
      <c r="AR237" s="5" t="s">
        <v>1104</v>
      </c>
      <c r="AS237" s="5" t="s">
        <v>713</v>
      </c>
      <c r="AT237" s="6">
        <v>43880</v>
      </c>
      <c r="AU237" s="5" t="s">
        <v>5169</v>
      </c>
      <c r="AV237" s="5">
        <v>282</v>
      </c>
      <c r="AW237" s="5" t="s">
        <v>5170</v>
      </c>
    </row>
    <row r="238" spans="1:49" x14ac:dyDescent="0.55000000000000004">
      <c r="A238" s="5" t="str">
        <f>HYPERLINK("https://www.infodis.net/philips/net/Shipment/Details?InfodisNumber=1416113&amp;DomainCode=PHILIPSM1", "1416113")</f>
        <v>1416113</v>
      </c>
      <c r="B238" s="5" t="s">
        <v>5171</v>
      </c>
      <c r="C238" s="5" t="s">
        <v>4570</v>
      </c>
      <c r="D238" s="5" t="s">
        <v>4571</v>
      </c>
      <c r="E238" s="5" t="s">
        <v>4570</v>
      </c>
      <c r="F238" s="5" t="s">
        <v>5172</v>
      </c>
      <c r="G238" s="5" t="s">
        <v>1430</v>
      </c>
      <c r="H238" s="5" t="s">
        <v>244</v>
      </c>
      <c r="I238" s="5"/>
      <c r="J238" s="5"/>
      <c r="K238" s="5" t="s">
        <v>4734</v>
      </c>
      <c r="L238" s="5" t="s">
        <v>244</v>
      </c>
      <c r="M238" s="5" t="s">
        <v>60</v>
      </c>
      <c r="N238" s="5"/>
      <c r="O238" s="5"/>
      <c r="P238" s="5" t="s">
        <v>1432</v>
      </c>
      <c r="Q238" s="5"/>
      <c r="R238" s="5" t="s">
        <v>4735</v>
      </c>
      <c r="S238" s="6">
        <v>44005</v>
      </c>
      <c r="T238" s="6">
        <v>44005</v>
      </c>
      <c r="U238" s="5"/>
      <c r="V238" s="5"/>
      <c r="W238" s="5"/>
      <c r="X238" s="5"/>
      <c r="Y238" s="5" t="s">
        <v>4736</v>
      </c>
      <c r="Z238" s="5"/>
      <c r="AA238" s="5"/>
      <c r="AB238" s="5" t="s">
        <v>67</v>
      </c>
      <c r="AC238" s="5" t="s">
        <v>68</v>
      </c>
      <c r="AD238" s="5" t="s">
        <v>68</v>
      </c>
      <c r="AE238" s="5"/>
      <c r="AF238" s="5" t="s">
        <v>70</v>
      </c>
      <c r="AG238" s="5"/>
      <c r="AH238" s="5"/>
      <c r="AI238" s="5" t="s">
        <v>605</v>
      </c>
      <c r="AJ238" s="5">
        <v>0</v>
      </c>
      <c r="AK238" s="5">
        <v>0</v>
      </c>
      <c r="AL238" s="5"/>
      <c r="AM238" s="5"/>
      <c r="AN238" s="5">
        <v>0</v>
      </c>
      <c r="AO238" s="5">
        <v>788.8</v>
      </c>
      <c r="AP238" s="5">
        <v>0</v>
      </c>
      <c r="AQ238" s="5" t="s">
        <v>713</v>
      </c>
      <c r="AR238" s="5" t="s">
        <v>1104</v>
      </c>
      <c r="AS238" s="5"/>
      <c r="AT238" s="5"/>
      <c r="AU238" s="5"/>
      <c r="AV238" s="5">
        <v>-1</v>
      </c>
      <c r="AW238" s="5" t="s">
        <v>4737</v>
      </c>
    </row>
    <row r="239" spans="1:49" x14ac:dyDescent="0.55000000000000004">
      <c r="A239" s="5" t="str">
        <f>HYPERLINK("https://www.infodis.net/philips/net/Shipment/Details?InfodisNumber=7001900&amp;DomainCode=PHILIPSR1", "7001900")</f>
        <v>7001900</v>
      </c>
      <c r="B239" s="5" t="s">
        <v>5173</v>
      </c>
      <c r="C239" s="5" t="s">
        <v>4627</v>
      </c>
      <c r="D239" s="5" t="s">
        <v>4628</v>
      </c>
      <c r="E239" s="5" t="s">
        <v>4629</v>
      </c>
      <c r="F239" s="5" t="s">
        <v>915</v>
      </c>
      <c r="G239" s="5" t="s">
        <v>4630</v>
      </c>
      <c r="H239" s="5" t="s">
        <v>244</v>
      </c>
      <c r="I239" s="5"/>
      <c r="J239" s="5"/>
      <c r="K239" s="5" t="s">
        <v>1161</v>
      </c>
      <c r="L239" s="5" t="s">
        <v>881</v>
      </c>
      <c r="M239" s="5" t="s">
        <v>60</v>
      </c>
      <c r="N239" s="5"/>
      <c r="O239" s="5"/>
      <c r="P239" s="5" t="s">
        <v>250</v>
      </c>
      <c r="Q239" s="5"/>
      <c r="R239" s="5" t="s">
        <v>888</v>
      </c>
      <c r="S239" s="6">
        <v>44155</v>
      </c>
      <c r="T239" s="6">
        <v>44158</v>
      </c>
      <c r="U239" s="5"/>
      <c r="V239" s="5"/>
      <c r="W239" s="5"/>
      <c r="X239" s="5"/>
      <c r="Y239" s="5" t="s">
        <v>4608</v>
      </c>
      <c r="Z239" s="5"/>
      <c r="AA239" s="5"/>
      <c r="AB239" s="5" t="s">
        <v>67</v>
      </c>
      <c r="AC239" s="5" t="s">
        <v>68</v>
      </c>
      <c r="AD239" s="5" t="s">
        <v>68</v>
      </c>
      <c r="AE239" s="5"/>
      <c r="AF239" s="5" t="s">
        <v>4574</v>
      </c>
      <c r="AG239" s="5"/>
      <c r="AH239" s="5"/>
      <c r="AI239" s="5" t="s">
        <v>252</v>
      </c>
      <c r="AJ239" s="5">
        <v>0</v>
      </c>
      <c r="AK239" s="5">
        <v>0</v>
      </c>
      <c r="AL239" s="5"/>
      <c r="AM239" s="5"/>
      <c r="AN239" s="5">
        <v>16</v>
      </c>
      <c r="AO239" s="5">
        <v>2280</v>
      </c>
      <c r="AP239" s="5">
        <v>22.716000000000001</v>
      </c>
      <c r="AQ239" s="5" t="s">
        <v>713</v>
      </c>
      <c r="AR239" s="5" t="s">
        <v>1104</v>
      </c>
      <c r="AS239" s="5"/>
      <c r="AT239" s="5"/>
      <c r="AU239" s="5"/>
      <c r="AV239" s="5">
        <v>-1</v>
      </c>
      <c r="AW239" s="5" t="s">
        <v>4751</v>
      </c>
    </row>
    <row r="240" spans="1:49" x14ac:dyDescent="0.55000000000000004">
      <c r="A240" s="5" t="str">
        <f>HYPERLINK("https://www.infodis.net/philips/net/Shipment/Details?InfodisNumber=6971744&amp;DomainCode=PHILIPSR1", "6971744")</f>
        <v>6971744</v>
      </c>
      <c r="B240" s="5" t="s">
        <v>5174</v>
      </c>
      <c r="C240" s="5" t="s">
        <v>4627</v>
      </c>
      <c r="D240" s="5" t="s">
        <v>4628</v>
      </c>
      <c r="E240" s="5" t="s">
        <v>4629</v>
      </c>
      <c r="F240" s="5" t="s">
        <v>609</v>
      </c>
      <c r="G240" s="5" t="s">
        <v>4630</v>
      </c>
      <c r="H240" s="5" t="s">
        <v>244</v>
      </c>
      <c r="I240" s="5"/>
      <c r="J240" s="5"/>
      <c r="K240" s="5" t="s">
        <v>611</v>
      </c>
      <c r="L240" s="5" t="s">
        <v>55</v>
      </c>
      <c r="M240" s="5" t="s">
        <v>60</v>
      </c>
      <c r="N240" s="5"/>
      <c r="O240" s="5"/>
      <c r="P240" s="5" t="s">
        <v>250</v>
      </c>
      <c r="Q240" s="5"/>
      <c r="R240" s="5" t="s">
        <v>615</v>
      </c>
      <c r="S240" s="6">
        <v>44146</v>
      </c>
      <c r="T240" s="6">
        <v>44147</v>
      </c>
      <c r="U240" s="5"/>
      <c r="V240" s="5"/>
      <c r="W240" s="5"/>
      <c r="X240" s="5"/>
      <c r="Y240" s="5" t="s">
        <v>4631</v>
      </c>
      <c r="Z240" s="5"/>
      <c r="AA240" s="5"/>
      <c r="AB240" s="5" t="s">
        <v>67</v>
      </c>
      <c r="AC240" s="5" t="s">
        <v>68</v>
      </c>
      <c r="AD240" s="5" t="s">
        <v>68</v>
      </c>
      <c r="AE240" s="5"/>
      <c r="AF240" s="5" t="s">
        <v>4574</v>
      </c>
      <c r="AG240" s="5"/>
      <c r="AH240" s="5"/>
      <c r="AI240" s="5" t="s">
        <v>252</v>
      </c>
      <c r="AJ240" s="5">
        <v>0</v>
      </c>
      <c r="AK240" s="5">
        <v>0</v>
      </c>
      <c r="AL240" s="5"/>
      <c r="AM240" s="5"/>
      <c r="AN240" s="5">
        <v>32</v>
      </c>
      <c r="AO240" s="5">
        <v>3535</v>
      </c>
      <c r="AP240" s="5">
        <v>47.478000000000002</v>
      </c>
      <c r="AQ240" s="5" t="s">
        <v>713</v>
      </c>
      <c r="AR240" s="5" t="s">
        <v>1104</v>
      </c>
      <c r="AS240" s="5"/>
      <c r="AT240" s="5"/>
      <c r="AU240" s="5"/>
      <c r="AV240" s="5">
        <v>-1</v>
      </c>
      <c r="AW240" s="5" t="s">
        <v>4751</v>
      </c>
    </row>
    <row r="241" spans="1:49" x14ac:dyDescent="0.55000000000000004">
      <c r="A241" s="5" t="str">
        <f>HYPERLINK("https://www.infodis.net/philips/net/Shipment/Details?InfodisNumber=6336664&amp;DomainCode=PHILIPSR1", "6336664")</f>
        <v>6336664</v>
      </c>
      <c r="B241" s="5" t="s">
        <v>5175</v>
      </c>
      <c r="C241" s="5" t="s">
        <v>4627</v>
      </c>
      <c r="D241" s="5" t="s">
        <v>4628</v>
      </c>
      <c r="E241" s="5" t="s">
        <v>4629</v>
      </c>
      <c r="F241" s="5" t="s">
        <v>915</v>
      </c>
      <c r="G241" s="5" t="s">
        <v>4630</v>
      </c>
      <c r="H241" s="5" t="s">
        <v>244</v>
      </c>
      <c r="I241" s="5"/>
      <c r="J241" s="5"/>
      <c r="K241" s="5" t="s">
        <v>918</v>
      </c>
      <c r="L241" s="5" t="s">
        <v>881</v>
      </c>
      <c r="M241" s="5" t="s">
        <v>60</v>
      </c>
      <c r="N241" s="5"/>
      <c r="O241" s="5"/>
      <c r="P241" s="5" t="s">
        <v>250</v>
      </c>
      <c r="Q241" s="5"/>
      <c r="R241" s="5" t="s">
        <v>888</v>
      </c>
      <c r="S241" s="6">
        <v>43909</v>
      </c>
      <c r="T241" s="6">
        <v>43910</v>
      </c>
      <c r="U241" s="6">
        <v>43909</v>
      </c>
      <c r="V241" s="5"/>
      <c r="W241" s="5"/>
      <c r="X241" s="5"/>
      <c r="Y241" s="5" t="s">
        <v>4750</v>
      </c>
      <c r="Z241" s="5"/>
      <c r="AA241" s="5"/>
      <c r="AB241" s="5" t="s">
        <v>67</v>
      </c>
      <c r="AC241" s="5" t="s">
        <v>68</v>
      </c>
      <c r="AD241" s="5" t="s">
        <v>68</v>
      </c>
      <c r="AE241" s="5"/>
      <c r="AF241" s="5" t="s">
        <v>4574</v>
      </c>
      <c r="AG241" s="5"/>
      <c r="AH241" s="5"/>
      <c r="AI241" s="5" t="s">
        <v>252</v>
      </c>
      <c r="AJ241" s="5">
        <v>0</v>
      </c>
      <c r="AK241" s="5">
        <v>0</v>
      </c>
      <c r="AL241" s="5"/>
      <c r="AM241" s="5"/>
      <c r="AN241" s="5">
        <v>22</v>
      </c>
      <c r="AO241" s="5">
        <v>2900</v>
      </c>
      <c r="AP241" s="5">
        <v>32.146999999999998</v>
      </c>
      <c r="AQ241" s="5" t="s">
        <v>713</v>
      </c>
      <c r="AR241" s="5" t="s">
        <v>1104</v>
      </c>
      <c r="AS241" s="5"/>
      <c r="AT241" s="5"/>
      <c r="AU241" s="5"/>
      <c r="AV241" s="5">
        <v>-1</v>
      </c>
      <c r="AW241" s="5" t="s">
        <v>4938</v>
      </c>
    </row>
    <row r="242" spans="1:49" x14ac:dyDescent="0.55000000000000004">
      <c r="A242" s="5" t="str">
        <f>HYPERLINK("https://www.infodis.net/philips/net/Shipment/Details?InfodisNumber=4475641&amp;DomainCode=DAP", "4475641")</f>
        <v>4475641</v>
      </c>
      <c r="B242" s="5" t="s">
        <v>5176</v>
      </c>
      <c r="C242" s="5" t="s">
        <v>933</v>
      </c>
      <c r="D242" s="5" t="s">
        <v>934</v>
      </c>
      <c r="E242" s="5" t="s">
        <v>304</v>
      </c>
      <c r="F242" s="5" t="s">
        <v>121</v>
      </c>
      <c r="G242" s="5" t="s">
        <v>295</v>
      </c>
      <c r="H242" s="5" t="s">
        <v>296</v>
      </c>
      <c r="I242" s="5"/>
      <c r="J242" s="5"/>
      <c r="K242" s="5" t="s">
        <v>306</v>
      </c>
      <c r="L242" s="5" t="s">
        <v>307</v>
      </c>
      <c r="M242" s="5" t="s">
        <v>309</v>
      </c>
      <c r="N242" s="5"/>
      <c r="O242" s="5"/>
      <c r="P242" s="5" t="s">
        <v>300</v>
      </c>
      <c r="Q242" s="5"/>
      <c r="R242" s="5" t="s">
        <v>312</v>
      </c>
      <c r="S242" s="6">
        <v>44029</v>
      </c>
      <c r="T242" s="6">
        <v>44033</v>
      </c>
      <c r="U242" s="5"/>
      <c r="V242" s="5"/>
      <c r="W242" s="5"/>
      <c r="X242" s="5"/>
      <c r="Y242" s="5" t="s">
        <v>940</v>
      </c>
      <c r="Z242" s="5"/>
      <c r="AA242" s="5"/>
      <c r="AB242" s="5" t="s">
        <v>67</v>
      </c>
      <c r="AC242" s="5" t="s">
        <v>68</v>
      </c>
      <c r="AD242" s="5" t="s">
        <v>68</v>
      </c>
      <c r="AE242" s="5"/>
      <c r="AF242" s="5" t="s">
        <v>70</v>
      </c>
      <c r="AG242" s="5"/>
      <c r="AH242" s="5"/>
      <c r="AI242" s="5" t="s">
        <v>73</v>
      </c>
      <c r="AJ242" s="5">
        <v>0</v>
      </c>
      <c r="AK242" s="5">
        <v>0</v>
      </c>
      <c r="AL242" s="5"/>
      <c r="AM242" s="5"/>
      <c r="AN242" s="5">
        <v>0</v>
      </c>
      <c r="AO242" s="5">
        <v>1</v>
      </c>
      <c r="AP242" s="5">
        <v>0</v>
      </c>
      <c r="AQ242" s="5" t="s">
        <v>713</v>
      </c>
      <c r="AR242" s="5" t="s">
        <v>1104</v>
      </c>
      <c r="AS242" s="5"/>
      <c r="AT242" s="5"/>
      <c r="AU242" s="5"/>
      <c r="AV242" s="5">
        <v>-1</v>
      </c>
      <c r="AW242" s="5" t="s">
        <v>4205</v>
      </c>
    </row>
    <row r="243" spans="1:49" x14ac:dyDescent="0.55000000000000004">
      <c r="A243" s="5" t="str">
        <f>HYPERLINK("https://www.infodis.net/philips/net/Shipment/Details?InfodisNumber=1380444&amp;DomainCode=PHILIPSM1", "1380444")</f>
        <v>1380444</v>
      </c>
      <c r="B243" s="5" t="s">
        <v>5177</v>
      </c>
      <c r="C243" s="5" t="s">
        <v>5011</v>
      </c>
      <c r="D243" s="5" t="s">
        <v>5012</v>
      </c>
      <c r="E243" s="5" t="s">
        <v>5011</v>
      </c>
      <c r="F243" s="5" t="s">
        <v>4674</v>
      </c>
      <c r="G243" s="5" t="s">
        <v>5178</v>
      </c>
      <c r="H243" s="5" t="s">
        <v>5014</v>
      </c>
      <c r="I243" s="5"/>
      <c r="J243" s="5"/>
      <c r="K243" s="5" t="s">
        <v>3867</v>
      </c>
      <c r="L243" s="5" t="s">
        <v>55</v>
      </c>
      <c r="M243" s="5" t="s">
        <v>84</v>
      </c>
      <c r="N243" s="5"/>
      <c r="O243" s="5"/>
      <c r="P243" s="5" t="s">
        <v>5179</v>
      </c>
      <c r="Q243" s="5"/>
      <c r="R243" s="5" t="s">
        <v>3868</v>
      </c>
      <c r="S243" s="6">
        <v>44053</v>
      </c>
      <c r="T243" s="6">
        <v>44054</v>
      </c>
      <c r="U243" s="6">
        <v>44055</v>
      </c>
      <c r="V243" s="5"/>
      <c r="W243" s="5"/>
      <c r="X243" s="5"/>
      <c r="Y243" s="5" t="s">
        <v>4624</v>
      </c>
      <c r="Z243" s="5"/>
      <c r="AA243" s="5"/>
      <c r="AB243" s="5" t="s">
        <v>67</v>
      </c>
      <c r="AC243" s="5" t="s">
        <v>68</v>
      </c>
      <c r="AD243" s="5" t="s">
        <v>68</v>
      </c>
      <c r="AE243" s="5"/>
      <c r="AF243" s="5" t="s">
        <v>70</v>
      </c>
      <c r="AG243" s="5"/>
      <c r="AH243" s="5"/>
      <c r="AI243" s="5" t="s">
        <v>3933</v>
      </c>
      <c r="AJ243" s="5">
        <v>0</v>
      </c>
      <c r="AK243" s="5">
        <v>0</v>
      </c>
      <c r="AL243" s="5"/>
      <c r="AM243" s="5"/>
      <c r="AN243" s="5">
        <v>1</v>
      </c>
      <c r="AO243" s="5">
        <v>30</v>
      </c>
      <c r="AP243" s="5">
        <v>0.74199999999999999</v>
      </c>
      <c r="AQ243" s="5" t="s">
        <v>713</v>
      </c>
      <c r="AR243" s="5" t="s">
        <v>1104</v>
      </c>
      <c r="AS243" s="5"/>
      <c r="AT243" s="5"/>
      <c r="AU243" s="5"/>
      <c r="AV243" s="5">
        <v>-1</v>
      </c>
      <c r="AW243" s="5" t="s">
        <v>1269</v>
      </c>
    </row>
    <row r="244" spans="1:49" x14ac:dyDescent="0.55000000000000004">
      <c r="A244" s="5" t="str">
        <f>HYPERLINK("https://www.infodis.net/philips/net/Shipment/Details?InfodisNumber=6692708&amp;DomainCode=PHILIPSR1", "6692708")</f>
        <v>6692708</v>
      </c>
      <c r="B244" s="5" t="s">
        <v>5180</v>
      </c>
      <c r="C244" s="5" t="s">
        <v>4627</v>
      </c>
      <c r="D244" s="5" t="s">
        <v>4628</v>
      </c>
      <c r="E244" s="5" t="s">
        <v>4629</v>
      </c>
      <c r="F244" s="5" t="s">
        <v>915</v>
      </c>
      <c r="G244" s="5" t="s">
        <v>4630</v>
      </c>
      <c r="H244" s="5" t="s">
        <v>244</v>
      </c>
      <c r="I244" s="5"/>
      <c r="J244" s="5"/>
      <c r="K244" s="5" t="s">
        <v>918</v>
      </c>
      <c r="L244" s="5" t="s">
        <v>881</v>
      </c>
      <c r="M244" s="5" t="s">
        <v>60</v>
      </c>
      <c r="N244" s="5"/>
      <c r="O244" s="5"/>
      <c r="P244" s="5" t="s">
        <v>250</v>
      </c>
      <c r="Q244" s="5"/>
      <c r="R244" s="5" t="s">
        <v>888</v>
      </c>
      <c r="S244" s="6">
        <v>44048</v>
      </c>
      <c r="T244" s="6">
        <v>44049</v>
      </c>
      <c r="U244" s="6">
        <v>44049</v>
      </c>
      <c r="V244" s="5"/>
      <c r="W244" s="5"/>
      <c r="X244" s="5"/>
      <c r="Y244" s="5" t="s">
        <v>4750</v>
      </c>
      <c r="Z244" s="5"/>
      <c r="AA244" s="5"/>
      <c r="AB244" s="5" t="s">
        <v>67</v>
      </c>
      <c r="AC244" s="5" t="s">
        <v>68</v>
      </c>
      <c r="AD244" s="5" t="s">
        <v>68</v>
      </c>
      <c r="AE244" s="5"/>
      <c r="AF244" s="5" t="s">
        <v>4574</v>
      </c>
      <c r="AG244" s="5"/>
      <c r="AH244" s="5"/>
      <c r="AI244" s="5" t="s">
        <v>252</v>
      </c>
      <c r="AJ244" s="5">
        <v>0</v>
      </c>
      <c r="AK244" s="5">
        <v>0</v>
      </c>
      <c r="AL244" s="5"/>
      <c r="AM244" s="5"/>
      <c r="AN244" s="5">
        <v>8</v>
      </c>
      <c r="AO244" s="5">
        <v>1050</v>
      </c>
      <c r="AP244" s="5">
        <v>11.72</v>
      </c>
      <c r="AQ244" s="5" t="s">
        <v>713</v>
      </c>
      <c r="AR244" s="5" t="s">
        <v>1104</v>
      </c>
      <c r="AS244" s="5"/>
      <c r="AT244" s="5"/>
      <c r="AU244" s="5"/>
      <c r="AV244" s="5">
        <v>-1</v>
      </c>
      <c r="AW244" s="5" t="s">
        <v>4751</v>
      </c>
    </row>
    <row r="245" spans="1:49" x14ac:dyDescent="0.55000000000000004">
      <c r="A245" s="5" t="str">
        <f>HYPERLINK("https://www.infodis.net/philips/net/Shipment/Details?InfodisNumber=4537511&amp;DomainCode=DAP", "4537511")</f>
        <v>4537511</v>
      </c>
      <c r="B245" s="5" t="s">
        <v>5181</v>
      </c>
      <c r="C245" s="5" t="s">
        <v>4739</v>
      </c>
      <c r="D245" s="5" t="s">
        <v>4740</v>
      </c>
      <c r="E245" s="5" t="s">
        <v>2048</v>
      </c>
      <c r="F245" s="5" t="s">
        <v>4739</v>
      </c>
      <c r="G245" s="5" t="s">
        <v>1262</v>
      </c>
      <c r="H245" s="5" t="s">
        <v>1263</v>
      </c>
      <c r="I245" s="5"/>
      <c r="J245" s="5"/>
      <c r="K245" s="5" t="s">
        <v>4742</v>
      </c>
      <c r="L245" s="5" t="s">
        <v>1263</v>
      </c>
      <c r="M245" s="5" t="s">
        <v>84</v>
      </c>
      <c r="N245" s="5"/>
      <c r="O245" s="5"/>
      <c r="P245" s="5" t="s">
        <v>1264</v>
      </c>
      <c r="Q245" s="5"/>
      <c r="R245" s="5" t="s">
        <v>4743</v>
      </c>
      <c r="S245" s="6">
        <v>44123</v>
      </c>
      <c r="T245" s="6">
        <v>44124</v>
      </c>
      <c r="U245" s="6">
        <v>44131</v>
      </c>
      <c r="V245" s="5"/>
      <c r="W245" s="5"/>
      <c r="X245" s="5"/>
      <c r="Y245" s="5" t="s">
        <v>4643</v>
      </c>
      <c r="Z245" s="5"/>
      <c r="AA245" s="5"/>
      <c r="AB245" s="5" t="s">
        <v>67</v>
      </c>
      <c r="AC245" s="5" t="s">
        <v>68</v>
      </c>
      <c r="AD245" s="5" t="s">
        <v>68</v>
      </c>
      <c r="AE245" s="5"/>
      <c r="AF245" s="5" t="s">
        <v>4574</v>
      </c>
      <c r="AG245" s="5"/>
      <c r="AH245" s="5"/>
      <c r="AI245" s="5" t="s">
        <v>73</v>
      </c>
      <c r="AJ245" s="5">
        <v>0</v>
      </c>
      <c r="AK245" s="5">
        <v>0</v>
      </c>
      <c r="AL245" s="5"/>
      <c r="AM245" s="5"/>
      <c r="AN245" s="5">
        <v>33</v>
      </c>
      <c r="AO245" s="5">
        <v>6000</v>
      </c>
      <c r="AP245" s="5">
        <v>57.023999999999987</v>
      </c>
      <c r="AQ245" s="5" t="s">
        <v>713</v>
      </c>
      <c r="AR245" s="5" t="s">
        <v>1104</v>
      </c>
      <c r="AS245" s="5"/>
      <c r="AT245" s="5"/>
      <c r="AU245" s="5"/>
      <c r="AV245" s="5">
        <v>-1</v>
      </c>
      <c r="AW245" s="5" t="s">
        <v>1110</v>
      </c>
    </row>
    <row r="246" spans="1:49" x14ac:dyDescent="0.55000000000000004">
      <c r="A246" s="5" t="str">
        <f>HYPERLINK("https://www.infodis.net/philips/net/Shipment/Details?InfodisNumber=6885662&amp;DomainCode=PHILIPSR1", "6885662")</f>
        <v>6885662</v>
      </c>
      <c r="B246" s="5" t="s">
        <v>5182</v>
      </c>
      <c r="C246" s="5" t="s">
        <v>4627</v>
      </c>
      <c r="D246" s="5" t="s">
        <v>4628</v>
      </c>
      <c r="E246" s="5" t="s">
        <v>4627</v>
      </c>
      <c r="F246" s="5" t="s">
        <v>5183</v>
      </c>
      <c r="G246" s="5" t="s">
        <v>4630</v>
      </c>
      <c r="H246" s="5" t="s">
        <v>244</v>
      </c>
      <c r="I246" s="5"/>
      <c r="J246" s="5"/>
      <c r="K246" s="5" t="s">
        <v>2974</v>
      </c>
      <c r="L246" s="5" t="s">
        <v>244</v>
      </c>
      <c r="M246" s="5" t="s">
        <v>309</v>
      </c>
      <c r="N246" s="5"/>
      <c r="O246" s="5"/>
      <c r="P246" s="5" t="s">
        <v>250</v>
      </c>
      <c r="Q246" s="5"/>
      <c r="R246" s="5" t="s">
        <v>5184</v>
      </c>
      <c r="S246" s="6">
        <v>44117</v>
      </c>
      <c r="T246" s="6">
        <v>44117</v>
      </c>
      <c r="U246" s="6">
        <v>44117</v>
      </c>
      <c r="V246" s="5"/>
      <c r="W246" s="5"/>
      <c r="X246" s="5"/>
      <c r="Y246" s="5" t="s">
        <v>4750</v>
      </c>
      <c r="Z246" s="5"/>
      <c r="AA246" s="5"/>
      <c r="AB246" s="5" t="s">
        <v>67</v>
      </c>
      <c r="AC246" s="5" t="s">
        <v>68</v>
      </c>
      <c r="AD246" s="5" t="s">
        <v>68</v>
      </c>
      <c r="AE246" s="5"/>
      <c r="AF246" s="5" t="s">
        <v>70</v>
      </c>
      <c r="AG246" s="5"/>
      <c r="AH246" s="5"/>
      <c r="AI246" s="5" t="s">
        <v>252</v>
      </c>
      <c r="AJ246" s="5">
        <v>0</v>
      </c>
      <c r="AK246" s="5">
        <v>0</v>
      </c>
      <c r="AL246" s="5"/>
      <c r="AM246" s="5"/>
      <c r="AN246" s="5">
        <v>1</v>
      </c>
      <c r="AO246" s="5">
        <v>170</v>
      </c>
      <c r="AP246" s="5">
        <v>0.8640000000000001</v>
      </c>
      <c r="AQ246" s="5" t="s">
        <v>713</v>
      </c>
      <c r="AR246" s="5" t="s">
        <v>1104</v>
      </c>
      <c r="AS246" s="5"/>
      <c r="AT246" s="5"/>
      <c r="AU246" s="5"/>
      <c r="AV246" s="5">
        <v>-1</v>
      </c>
      <c r="AW246" s="5" t="s">
        <v>4760</v>
      </c>
    </row>
    <row r="247" spans="1:49" x14ac:dyDescent="0.55000000000000004">
      <c r="A247" s="5" t="str">
        <f>HYPERLINK("https://www.infodis.net/philips/net/Shipment/Details?InfodisNumber=6945882&amp;DomainCode=PHILIPSR1", "6945882")</f>
        <v>6945882</v>
      </c>
      <c r="B247" s="5" t="s">
        <v>5185</v>
      </c>
      <c r="C247" s="5" t="s">
        <v>4627</v>
      </c>
      <c r="D247" s="5" t="s">
        <v>4628</v>
      </c>
      <c r="E247" s="5" t="s">
        <v>4629</v>
      </c>
      <c r="F247" s="5" t="s">
        <v>609</v>
      </c>
      <c r="G247" s="5" t="s">
        <v>4630</v>
      </c>
      <c r="H247" s="5" t="s">
        <v>244</v>
      </c>
      <c r="I247" s="5"/>
      <c r="J247" s="5"/>
      <c r="K247" s="5" t="s">
        <v>611</v>
      </c>
      <c r="L247" s="5" t="s">
        <v>55</v>
      </c>
      <c r="M247" s="5" t="s">
        <v>60</v>
      </c>
      <c r="N247" s="5"/>
      <c r="O247" s="5"/>
      <c r="P247" s="5" t="s">
        <v>250</v>
      </c>
      <c r="Q247" s="5"/>
      <c r="R247" s="5" t="s">
        <v>615</v>
      </c>
      <c r="S247" s="6">
        <v>44138</v>
      </c>
      <c r="T247" s="6">
        <v>44139</v>
      </c>
      <c r="U247" s="5"/>
      <c r="V247" s="5"/>
      <c r="W247" s="5"/>
      <c r="X247" s="5"/>
      <c r="Y247" s="5" t="s">
        <v>4631</v>
      </c>
      <c r="Z247" s="5"/>
      <c r="AA247" s="5"/>
      <c r="AB247" s="5" t="s">
        <v>67</v>
      </c>
      <c r="AC247" s="5" t="s">
        <v>68</v>
      </c>
      <c r="AD247" s="5" t="s">
        <v>68</v>
      </c>
      <c r="AE247" s="5"/>
      <c r="AF247" s="5" t="s">
        <v>4574</v>
      </c>
      <c r="AG247" s="5"/>
      <c r="AH247" s="5"/>
      <c r="AI247" s="5" t="s">
        <v>252</v>
      </c>
      <c r="AJ247" s="5">
        <v>0</v>
      </c>
      <c r="AK247" s="5">
        <v>0</v>
      </c>
      <c r="AL247" s="5"/>
      <c r="AM247" s="5"/>
      <c r="AN247" s="5">
        <v>15</v>
      </c>
      <c r="AO247" s="5">
        <v>2190</v>
      </c>
      <c r="AP247" s="5">
        <v>21.058</v>
      </c>
      <c r="AQ247" s="5" t="s">
        <v>713</v>
      </c>
      <c r="AR247" s="5" t="s">
        <v>1104</v>
      </c>
      <c r="AS247" s="5"/>
      <c r="AT247" s="5"/>
      <c r="AU247" s="5"/>
      <c r="AV247" s="5">
        <v>-1</v>
      </c>
      <c r="AW247" s="5" t="s">
        <v>4751</v>
      </c>
    </row>
    <row r="248" spans="1:49" x14ac:dyDescent="0.55000000000000004">
      <c r="A248" s="5" t="str">
        <f>HYPERLINK("https://www.infodis.net/philips/net/Shipment/Details?InfodisNumber=6512720&amp;DomainCode=PHILIPSR1", "6512720")</f>
        <v>6512720</v>
      </c>
      <c r="B248" s="5" t="s">
        <v>5186</v>
      </c>
      <c r="C248" s="5" t="s">
        <v>4627</v>
      </c>
      <c r="D248" s="5" t="s">
        <v>4628</v>
      </c>
      <c r="E248" s="5" t="s">
        <v>4629</v>
      </c>
      <c r="F248" s="5" t="s">
        <v>915</v>
      </c>
      <c r="G248" s="5" t="s">
        <v>4630</v>
      </c>
      <c r="H248" s="5" t="s">
        <v>244</v>
      </c>
      <c r="I248" s="5"/>
      <c r="J248" s="5"/>
      <c r="K248" s="5" t="s">
        <v>918</v>
      </c>
      <c r="L248" s="5" t="s">
        <v>881</v>
      </c>
      <c r="M248" s="5" t="s">
        <v>60</v>
      </c>
      <c r="N248" s="5"/>
      <c r="O248" s="5"/>
      <c r="P248" s="5" t="s">
        <v>250</v>
      </c>
      <c r="Q248" s="5"/>
      <c r="R248" s="5" t="s">
        <v>888</v>
      </c>
      <c r="S248" s="6">
        <v>43978</v>
      </c>
      <c r="T248" s="6">
        <v>43979</v>
      </c>
      <c r="U248" s="6">
        <v>43979</v>
      </c>
      <c r="V248" s="5"/>
      <c r="W248" s="5"/>
      <c r="X248" s="5"/>
      <c r="Y248" s="5" t="s">
        <v>4750</v>
      </c>
      <c r="Z248" s="5"/>
      <c r="AA248" s="5"/>
      <c r="AB248" s="5" t="s">
        <v>67</v>
      </c>
      <c r="AC248" s="5" t="s">
        <v>68</v>
      </c>
      <c r="AD248" s="5" t="s">
        <v>68</v>
      </c>
      <c r="AE248" s="5"/>
      <c r="AF248" s="5" t="s">
        <v>4574</v>
      </c>
      <c r="AG248" s="5"/>
      <c r="AH248" s="5"/>
      <c r="AI248" s="5" t="s">
        <v>252</v>
      </c>
      <c r="AJ248" s="5">
        <v>0</v>
      </c>
      <c r="AK248" s="5">
        <v>0</v>
      </c>
      <c r="AL248" s="5"/>
      <c r="AM248" s="5"/>
      <c r="AN248" s="5">
        <v>10</v>
      </c>
      <c r="AO248" s="5">
        <v>1000</v>
      </c>
      <c r="AP248" s="5">
        <v>14.375999999999999</v>
      </c>
      <c r="AQ248" s="5" t="s">
        <v>713</v>
      </c>
      <c r="AR248" s="5" t="s">
        <v>1104</v>
      </c>
      <c r="AS248" s="5" t="s">
        <v>713</v>
      </c>
      <c r="AT248" s="6">
        <v>43979</v>
      </c>
      <c r="AU248" s="5" t="s">
        <v>4814</v>
      </c>
      <c r="AV248" s="5">
        <v>183</v>
      </c>
      <c r="AW248" s="5" t="s">
        <v>4751</v>
      </c>
    </row>
    <row r="249" spans="1:49" x14ac:dyDescent="0.55000000000000004">
      <c r="A249" s="5" t="str">
        <f>HYPERLINK("https://www.infodis.net/philips/net/Shipment/Details?InfodisNumber=6942838&amp;DomainCode=PHILIPSR1", "6942838")</f>
        <v>6942838</v>
      </c>
      <c r="B249" s="5" t="s">
        <v>5187</v>
      </c>
      <c r="C249" s="5" t="s">
        <v>4627</v>
      </c>
      <c r="D249" s="5" t="s">
        <v>4628</v>
      </c>
      <c r="E249" s="5" t="s">
        <v>4629</v>
      </c>
      <c r="F249" s="5"/>
      <c r="G249" s="5" t="s">
        <v>4630</v>
      </c>
      <c r="H249" s="5" t="s">
        <v>244</v>
      </c>
      <c r="I249" s="5"/>
      <c r="J249" s="5"/>
      <c r="K249" s="5" t="s">
        <v>5053</v>
      </c>
      <c r="L249" s="5" t="s">
        <v>244</v>
      </c>
      <c r="M249" s="5" t="s">
        <v>60</v>
      </c>
      <c r="N249" s="5"/>
      <c r="O249" s="5"/>
      <c r="P249" s="5" t="s">
        <v>250</v>
      </c>
      <c r="Q249" s="5"/>
      <c r="R249" s="5" t="s">
        <v>4759</v>
      </c>
      <c r="S249" s="6">
        <v>44137</v>
      </c>
      <c r="T249" s="6">
        <v>44138</v>
      </c>
      <c r="U249" s="6">
        <v>44137</v>
      </c>
      <c r="V249" s="5"/>
      <c r="W249" s="5"/>
      <c r="X249" s="5"/>
      <c r="Y249" s="5" t="s">
        <v>4750</v>
      </c>
      <c r="Z249" s="5"/>
      <c r="AA249" s="5"/>
      <c r="AB249" s="5" t="s">
        <v>67</v>
      </c>
      <c r="AC249" s="5" t="s">
        <v>68</v>
      </c>
      <c r="AD249" s="5" t="s">
        <v>68</v>
      </c>
      <c r="AE249" s="5"/>
      <c r="AF249" s="5" t="s">
        <v>4574</v>
      </c>
      <c r="AG249" s="5"/>
      <c r="AH249" s="5"/>
      <c r="AI249" s="5" t="s">
        <v>252</v>
      </c>
      <c r="AJ249" s="5">
        <v>0</v>
      </c>
      <c r="AK249" s="5">
        <v>0</v>
      </c>
      <c r="AL249" s="5"/>
      <c r="AM249" s="5"/>
      <c r="AN249" s="5">
        <v>32</v>
      </c>
      <c r="AO249" s="5">
        <v>4160</v>
      </c>
      <c r="AP249" s="5">
        <v>41.472000000000001</v>
      </c>
      <c r="AQ249" s="5" t="s">
        <v>713</v>
      </c>
      <c r="AR249" s="5" t="s">
        <v>1104</v>
      </c>
      <c r="AS249" s="5"/>
      <c r="AT249" s="5"/>
      <c r="AU249" s="5"/>
      <c r="AV249" s="5">
        <v>-1</v>
      </c>
      <c r="AW249" s="5" t="s">
        <v>4751</v>
      </c>
    </row>
    <row r="250" spans="1:49" x14ac:dyDescent="0.55000000000000004">
      <c r="A250" s="5" t="str">
        <f>HYPERLINK("https://www.infodis.net/philips/net/Shipment/Details?InfodisNumber=6939188&amp;DomainCode=PHILIPSR1", "6939188")</f>
        <v>6939188</v>
      </c>
      <c r="B250" s="5" t="s">
        <v>5188</v>
      </c>
      <c r="C250" s="5" t="s">
        <v>4627</v>
      </c>
      <c r="D250" s="5" t="s">
        <v>4628</v>
      </c>
      <c r="E250" s="5" t="s">
        <v>4627</v>
      </c>
      <c r="F250" s="5" t="s">
        <v>5189</v>
      </c>
      <c r="G250" s="5" t="s">
        <v>4630</v>
      </c>
      <c r="H250" s="5" t="s">
        <v>244</v>
      </c>
      <c r="I250" s="5"/>
      <c r="J250" s="5"/>
      <c r="K250" s="5" t="s">
        <v>5190</v>
      </c>
      <c r="L250" s="5" t="s">
        <v>4781</v>
      </c>
      <c r="M250" s="5" t="s">
        <v>309</v>
      </c>
      <c r="N250" s="5"/>
      <c r="O250" s="5"/>
      <c r="P250" s="5" t="s">
        <v>250</v>
      </c>
      <c r="Q250" s="5"/>
      <c r="R250" s="5" t="s">
        <v>5191</v>
      </c>
      <c r="S250" s="6">
        <v>44134</v>
      </c>
      <c r="T250" s="6">
        <v>44134</v>
      </c>
      <c r="U250" s="6">
        <v>44134</v>
      </c>
      <c r="V250" s="5"/>
      <c r="W250" s="5"/>
      <c r="X250" s="5"/>
      <c r="Y250" s="5" t="s">
        <v>4750</v>
      </c>
      <c r="Z250" s="5"/>
      <c r="AA250" s="5"/>
      <c r="AB250" s="5" t="s">
        <v>67</v>
      </c>
      <c r="AC250" s="5" t="s">
        <v>68</v>
      </c>
      <c r="AD250" s="5" t="s">
        <v>68</v>
      </c>
      <c r="AE250" s="5"/>
      <c r="AF250" s="5" t="s">
        <v>4574</v>
      </c>
      <c r="AG250" s="5"/>
      <c r="AH250" s="5"/>
      <c r="AI250" s="5" t="s">
        <v>252</v>
      </c>
      <c r="AJ250" s="5">
        <v>0</v>
      </c>
      <c r="AK250" s="5">
        <v>0</v>
      </c>
      <c r="AL250" s="5"/>
      <c r="AM250" s="5"/>
      <c r="AN250" s="5">
        <v>1</v>
      </c>
      <c r="AO250" s="5">
        <v>60</v>
      </c>
      <c r="AP250" s="5">
        <v>0.38400000000000001</v>
      </c>
      <c r="AQ250" s="5" t="s">
        <v>713</v>
      </c>
      <c r="AR250" s="5" t="s">
        <v>1104</v>
      </c>
      <c r="AS250" s="5"/>
      <c r="AT250" s="5"/>
      <c r="AU250" s="5"/>
      <c r="AV250" s="5">
        <v>-1</v>
      </c>
      <c r="AW250" s="5" t="s">
        <v>4751</v>
      </c>
    </row>
    <row r="251" spans="1:49" x14ac:dyDescent="0.55000000000000004">
      <c r="A251" s="5" t="str">
        <f>HYPERLINK("https://www.infodis.net/philips/net/Shipment/Details?InfodisNumber=6774333&amp;DomainCode=PHILIPSR1", "6774333")</f>
        <v>6774333</v>
      </c>
      <c r="B251" s="5" t="s">
        <v>5192</v>
      </c>
      <c r="C251" s="5" t="s">
        <v>4627</v>
      </c>
      <c r="D251" s="5" t="s">
        <v>4628</v>
      </c>
      <c r="E251" s="5" t="s">
        <v>4629</v>
      </c>
      <c r="F251" s="5" t="s">
        <v>915</v>
      </c>
      <c r="G251" s="5" t="s">
        <v>4630</v>
      </c>
      <c r="H251" s="5" t="s">
        <v>244</v>
      </c>
      <c r="I251" s="5"/>
      <c r="J251" s="5"/>
      <c r="K251" s="5" t="s">
        <v>918</v>
      </c>
      <c r="L251" s="5" t="s">
        <v>881</v>
      </c>
      <c r="M251" s="5" t="s">
        <v>60</v>
      </c>
      <c r="N251" s="5"/>
      <c r="O251" s="5"/>
      <c r="P251" s="5" t="s">
        <v>250</v>
      </c>
      <c r="Q251" s="5"/>
      <c r="R251" s="5" t="s">
        <v>888</v>
      </c>
      <c r="S251" s="6">
        <v>44081</v>
      </c>
      <c r="T251" s="6">
        <v>44081</v>
      </c>
      <c r="U251" s="6">
        <v>44081</v>
      </c>
      <c r="V251" s="5"/>
      <c r="W251" s="5"/>
      <c r="X251" s="5"/>
      <c r="Y251" s="5" t="s">
        <v>4750</v>
      </c>
      <c r="Z251" s="5"/>
      <c r="AA251" s="5"/>
      <c r="AB251" s="5" t="s">
        <v>67</v>
      </c>
      <c r="AC251" s="5" t="s">
        <v>68</v>
      </c>
      <c r="AD251" s="5" t="s">
        <v>68</v>
      </c>
      <c r="AE251" s="5"/>
      <c r="AF251" s="5" t="s">
        <v>4574</v>
      </c>
      <c r="AG251" s="5"/>
      <c r="AH251" s="5"/>
      <c r="AI251" s="5" t="s">
        <v>252</v>
      </c>
      <c r="AJ251" s="5">
        <v>0</v>
      </c>
      <c r="AK251" s="5">
        <v>0</v>
      </c>
      <c r="AL251" s="5"/>
      <c r="AM251" s="5"/>
      <c r="AN251" s="5">
        <v>19</v>
      </c>
      <c r="AO251" s="5">
        <v>1495</v>
      </c>
      <c r="AP251" s="5">
        <v>27.631</v>
      </c>
      <c r="AQ251" s="5" t="s">
        <v>713</v>
      </c>
      <c r="AR251" s="5" t="s">
        <v>1104</v>
      </c>
      <c r="AS251" s="5"/>
      <c r="AT251" s="5"/>
      <c r="AU251" s="5"/>
      <c r="AV251" s="5">
        <v>-1</v>
      </c>
      <c r="AW251" s="5" t="s">
        <v>4751</v>
      </c>
    </row>
    <row r="252" spans="1:49" x14ac:dyDescent="0.55000000000000004">
      <c r="A252" s="5" t="str">
        <f>HYPERLINK("https://www.infodis.net/philips/net/Shipment/Details?InfodisNumber=6739403&amp;DomainCode=PHILIPSR1", "6739403")</f>
        <v>6739403</v>
      </c>
      <c r="B252" s="5" t="s">
        <v>5193</v>
      </c>
      <c r="C252" s="5" t="s">
        <v>4627</v>
      </c>
      <c r="D252" s="5" t="s">
        <v>4628</v>
      </c>
      <c r="E252" s="5" t="s">
        <v>4629</v>
      </c>
      <c r="F252" s="5" t="s">
        <v>915</v>
      </c>
      <c r="G252" s="5" t="s">
        <v>4630</v>
      </c>
      <c r="H252" s="5" t="s">
        <v>244</v>
      </c>
      <c r="I252" s="5"/>
      <c r="J252" s="5"/>
      <c r="K252" s="5" t="s">
        <v>918</v>
      </c>
      <c r="L252" s="5" t="s">
        <v>881</v>
      </c>
      <c r="M252" s="5" t="s">
        <v>60</v>
      </c>
      <c r="N252" s="5"/>
      <c r="O252" s="5"/>
      <c r="P252" s="5" t="s">
        <v>250</v>
      </c>
      <c r="Q252" s="5"/>
      <c r="R252" s="5" t="s">
        <v>888</v>
      </c>
      <c r="S252" s="6">
        <v>44067</v>
      </c>
      <c r="T252" s="6">
        <v>44068</v>
      </c>
      <c r="U252" s="6">
        <v>44068</v>
      </c>
      <c r="V252" s="5"/>
      <c r="W252" s="5"/>
      <c r="X252" s="5"/>
      <c r="Y252" s="5" t="s">
        <v>4750</v>
      </c>
      <c r="Z252" s="5"/>
      <c r="AA252" s="5"/>
      <c r="AB252" s="5" t="s">
        <v>67</v>
      </c>
      <c r="AC252" s="5" t="s">
        <v>68</v>
      </c>
      <c r="AD252" s="5" t="s">
        <v>68</v>
      </c>
      <c r="AE252" s="5"/>
      <c r="AF252" s="5" t="s">
        <v>4574</v>
      </c>
      <c r="AG252" s="5"/>
      <c r="AH252" s="5"/>
      <c r="AI252" s="5" t="s">
        <v>252</v>
      </c>
      <c r="AJ252" s="5">
        <v>0</v>
      </c>
      <c r="AK252" s="5">
        <v>0</v>
      </c>
      <c r="AL252" s="5"/>
      <c r="AM252" s="5"/>
      <c r="AN252" s="5">
        <v>9</v>
      </c>
      <c r="AO252" s="5">
        <v>1170</v>
      </c>
      <c r="AP252" s="5">
        <v>13.608000000000001</v>
      </c>
      <c r="AQ252" s="5" t="s">
        <v>713</v>
      </c>
      <c r="AR252" s="5" t="s">
        <v>1104</v>
      </c>
      <c r="AS252" s="5"/>
      <c r="AT252" s="5"/>
      <c r="AU252" s="5"/>
      <c r="AV252" s="5">
        <v>-1</v>
      </c>
      <c r="AW252" s="5" t="s">
        <v>4751</v>
      </c>
    </row>
    <row r="253" spans="1:49" x14ac:dyDescent="0.55000000000000004">
      <c r="A253" s="5" t="str">
        <f>HYPERLINK("https://www.infodis.net/philips/net/Shipment/Details?InfodisNumber=6992224&amp;DomainCode=PHILIPSR1", "6992224")</f>
        <v>6992224</v>
      </c>
      <c r="B253" s="5" t="s">
        <v>5194</v>
      </c>
      <c r="C253" s="5" t="s">
        <v>4627</v>
      </c>
      <c r="D253" s="5" t="s">
        <v>4628</v>
      </c>
      <c r="E253" s="5" t="s">
        <v>4629</v>
      </c>
      <c r="F253" s="5" t="s">
        <v>609</v>
      </c>
      <c r="G253" s="5" t="s">
        <v>4630</v>
      </c>
      <c r="H253" s="5" t="s">
        <v>244</v>
      </c>
      <c r="I253" s="5"/>
      <c r="J253" s="5"/>
      <c r="K253" s="5" t="s">
        <v>611</v>
      </c>
      <c r="L253" s="5" t="s">
        <v>55</v>
      </c>
      <c r="M253" s="5" t="s">
        <v>60</v>
      </c>
      <c r="N253" s="5"/>
      <c r="O253" s="5"/>
      <c r="P253" s="5" t="s">
        <v>250</v>
      </c>
      <c r="Q253" s="5"/>
      <c r="R253" s="5" t="s">
        <v>615</v>
      </c>
      <c r="S253" s="6">
        <v>44153</v>
      </c>
      <c r="T253" s="6">
        <v>44154</v>
      </c>
      <c r="U253" s="5"/>
      <c r="V253" s="5"/>
      <c r="W253" s="5"/>
      <c r="X253" s="5"/>
      <c r="Y253" s="5" t="s">
        <v>4631</v>
      </c>
      <c r="Z253" s="5"/>
      <c r="AA253" s="5"/>
      <c r="AB253" s="5" t="s">
        <v>67</v>
      </c>
      <c r="AC253" s="5" t="s">
        <v>68</v>
      </c>
      <c r="AD253" s="5" t="s">
        <v>68</v>
      </c>
      <c r="AE253" s="5"/>
      <c r="AF253" s="5" t="s">
        <v>4574</v>
      </c>
      <c r="AG253" s="5"/>
      <c r="AH253" s="5"/>
      <c r="AI253" s="5" t="s">
        <v>252</v>
      </c>
      <c r="AJ253" s="5">
        <v>0</v>
      </c>
      <c r="AK253" s="5">
        <v>0</v>
      </c>
      <c r="AL253" s="5"/>
      <c r="AM253" s="5"/>
      <c r="AN253" s="5">
        <v>10</v>
      </c>
      <c r="AO253" s="5">
        <v>1760</v>
      </c>
      <c r="AP253" s="5">
        <v>14.218999999999999</v>
      </c>
      <c r="AQ253" s="5" t="s">
        <v>713</v>
      </c>
      <c r="AR253" s="5" t="s">
        <v>1104</v>
      </c>
      <c r="AS253" s="5"/>
      <c r="AT253" s="5"/>
      <c r="AU253" s="5"/>
      <c r="AV253" s="5">
        <v>-1</v>
      </c>
      <c r="AW253" s="5" t="s">
        <v>4760</v>
      </c>
    </row>
    <row r="254" spans="1:49" x14ac:dyDescent="0.55000000000000004">
      <c r="A254" s="5" t="str">
        <f>HYPERLINK("https://www.infodis.net/philips/net/Shipment/Details?InfodisNumber=6992230&amp;DomainCode=PHILIPSR1", "6992230")</f>
        <v>6992230</v>
      </c>
      <c r="B254" s="5" t="s">
        <v>5195</v>
      </c>
      <c r="C254" s="5" t="s">
        <v>4627</v>
      </c>
      <c r="D254" s="5" t="s">
        <v>4628</v>
      </c>
      <c r="E254" s="5" t="s">
        <v>4629</v>
      </c>
      <c r="F254" s="5" t="s">
        <v>609</v>
      </c>
      <c r="G254" s="5" t="s">
        <v>4630</v>
      </c>
      <c r="H254" s="5" t="s">
        <v>244</v>
      </c>
      <c r="I254" s="5"/>
      <c r="J254" s="5"/>
      <c r="K254" s="5" t="s">
        <v>611</v>
      </c>
      <c r="L254" s="5" t="s">
        <v>55</v>
      </c>
      <c r="M254" s="5" t="s">
        <v>60</v>
      </c>
      <c r="N254" s="5"/>
      <c r="O254" s="5"/>
      <c r="P254" s="5" t="s">
        <v>250</v>
      </c>
      <c r="Q254" s="5"/>
      <c r="R254" s="5" t="s">
        <v>615</v>
      </c>
      <c r="S254" s="6">
        <v>44153</v>
      </c>
      <c r="T254" s="6">
        <v>44154</v>
      </c>
      <c r="U254" s="5"/>
      <c r="V254" s="5"/>
      <c r="W254" s="5"/>
      <c r="X254" s="5"/>
      <c r="Y254" s="5" t="s">
        <v>4631</v>
      </c>
      <c r="Z254" s="5"/>
      <c r="AA254" s="5"/>
      <c r="AB254" s="5" t="s">
        <v>67</v>
      </c>
      <c r="AC254" s="5" t="s">
        <v>68</v>
      </c>
      <c r="AD254" s="5" t="s">
        <v>68</v>
      </c>
      <c r="AE254" s="5"/>
      <c r="AF254" s="5" t="s">
        <v>4574</v>
      </c>
      <c r="AG254" s="5"/>
      <c r="AH254" s="5"/>
      <c r="AI254" s="5" t="s">
        <v>252</v>
      </c>
      <c r="AJ254" s="5">
        <v>0</v>
      </c>
      <c r="AK254" s="5">
        <v>0</v>
      </c>
      <c r="AL254" s="5"/>
      <c r="AM254" s="5"/>
      <c r="AN254" s="5">
        <v>32</v>
      </c>
      <c r="AO254" s="5">
        <v>3060</v>
      </c>
      <c r="AP254" s="5">
        <v>46.066000000000003</v>
      </c>
      <c r="AQ254" s="5" t="s">
        <v>713</v>
      </c>
      <c r="AR254" s="5" t="s">
        <v>1104</v>
      </c>
      <c r="AS254" s="5"/>
      <c r="AT254" s="5"/>
      <c r="AU254" s="5"/>
      <c r="AV254" s="5">
        <v>-1</v>
      </c>
      <c r="AW254" s="5" t="s">
        <v>4760</v>
      </c>
    </row>
    <row r="255" spans="1:49" x14ac:dyDescent="0.55000000000000004">
      <c r="A255" s="5" t="str">
        <f>HYPERLINK("https://www.infodis.net/philips/net/Shipment/Details?InfodisNumber=6392637&amp;DomainCode=PHILIPSR1", "6392637")</f>
        <v>6392637</v>
      </c>
      <c r="B255" s="5" t="s">
        <v>5196</v>
      </c>
      <c r="C255" s="5" t="s">
        <v>2580</v>
      </c>
      <c r="D255" s="5" t="s">
        <v>2581</v>
      </c>
      <c r="E255" s="5" t="s">
        <v>1187</v>
      </c>
      <c r="F255" s="5"/>
      <c r="G255" s="5" t="s">
        <v>880</v>
      </c>
      <c r="H255" s="5" t="s">
        <v>881</v>
      </c>
      <c r="I255" s="5"/>
      <c r="J255" s="5"/>
      <c r="K255" s="5" t="s">
        <v>5197</v>
      </c>
      <c r="L255" s="5" t="s">
        <v>881</v>
      </c>
      <c r="M255" s="5" t="s">
        <v>60</v>
      </c>
      <c r="N255" s="5"/>
      <c r="O255" s="5"/>
      <c r="P255" s="5" t="s">
        <v>888</v>
      </c>
      <c r="Q255" s="5"/>
      <c r="R255" s="5" t="s">
        <v>5198</v>
      </c>
      <c r="S255" s="6">
        <v>43929</v>
      </c>
      <c r="T255" s="6">
        <v>43929</v>
      </c>
      <c r="U255" s="5"/>
      <c r="V255" s="5"/>
      <c r="W255" s="5"/>
      <c r="X255" s="5"/>
      <c r="Y255" s="5" t="s">
        <v>4776</v>
      </c>
      <c r="Z255" s="5"/>
      <c r="AA255" s="5"/>
      <c r="AB255" s="5" t="s">
        <v>67</v>
      </c>
      <c r="AC255" s="5" t="s">
        <v>68</v>
      </c>
      <c r="AD255" s="5" t="s">
        <v>68</v>
      </c>
      <c r="AE255" s="5"/>
      <c r="AF255" s="5" t="s">
        <v>4574</v>
      </c>
      <c r="AG255" s="5"/>
      <c r="AH255" s="5"/>
      <c r="AI255" s="5" t="s">
        <v>252</v>
      </c>
      <c r="AJ255" s="5">
        <v>0</v>
      </c>
      <c r="AK255" s="5">
        <v>0</v>
      </c>
      <c r="AL255" s="5"/>
      <c r="AM255" s="5"/>
      <c r="AN255" s="5">
        <v>1</v>
      </c>
      <c r="AO255" s="5">
        <v>74</v>
      </c>
      <c r="AP255" s="5">
        <v>0.88400000000000001</v>
      </c>
      <c r="AQ255" s="5" t="s">
        <v>713</v>
      </c>
      <c r="AR255" s="5" t="s">
        <v>1104</v>
      </c>
      <c r="AS255" s="5"/>
      <c r="AT255" s="5"/>
      <c r="AU255" s="5"/>
      <c r="AV255" s="5">
        <v>-1</v>
      </c>
      <c r="AW255" s="5" t="s">
        <v>4777</v>
      </c>
    </row>
    <row r="256" spans="1:49" x14ac:dyDescent="0.55000000000000004">
      <c r="A256" s="5" t="str">
        <f>HYPERLINK("https://www.infodis.net/philips/net/Shipment/Details?InfodisNumber=4003690&amp;DomainCode=DAP", "4003690")</f>
        <v>4003690</v>
      </c>
      <c r="B256" s="5" t="s">
        <v>5199</v>
      </c>
      <c r="C256" s="5" t="s">
        <v>4225</v>
      </c>
      <c r="D256" s="5" t="s">
        <v>4226</v>
      </c>
      <c r="E256" s="5" t="s">
        <v>1187</v>
      </c>
      <c r="F256" s="5"/>
      <c r="G256" s="5" t="s">
        <v>880</v>
      </c>
      <c r="H256" s="5" t="s">
        <v>881</v>
      </c>
      <c r="I256" s="5"/>
      <c r="J256" s="5"/>
      <c r="K256" s="5" t="s">
        <v>4943</v>
      </c>
      <c r="L256" s="5" t="s">
        <v>881</v>
      </c>
      <c r="M256" s="5" t="s">
        <v>60</v>
      </c>
      <c r="N256" s="5"/>
      <c r="O256" s="5"/>
      <c r="P256" s="5" t="s">
        <v>888</v>
      </c>
      <c r="Q256" s="5"/>
      <c r="R256" s="5" t="s">
        <v>4944</v>
      </c>
      <c r="S256" s="6">
        <v>43490</v>
      </c>
      <c r="T256" s="6">
        <v>43490</v>
      </c>
      <c r="U256" s="5"/>
      <c r="V256" s="5"/>
      <c r="W256" s="5"/>
      <c r="X256" s="5"/>
      <c r="Y256" s="5" t="s">
        <v>4776</v>
      </c>
      <c r="Z256" s="5"/>
      <c r="AA256" s="5"/>
      <c r="AB256" s="5" t="s">
        <v>67</v>
      </c>
      <c r="AC256" s="5" t="s">
        <v>68</v>
      </c>
      <c r="AD256" s="5" t="s">
        <v>68</v>
      </c>
      <c r="AE256" s="5"/>
      <c r="AF256" s="5" t="s">
        <v>4574</v>
      </c>
      <c r="AG256" s="5"/>
      <c r="AH256" s="5"/>
      <c r="AI256" s="5" t="s">
        <v>73</v>
      </c>
      <c r="AJ256" s="5">
        <v>0</v>
      </c>
      <c r="AK256" s="5">
        <v>0</v>
      </c>
      <c r="AL256" s="5"/>
      <c r="AM256" s="5"/>
      <c r="AN256" s="5">
        <v>1</v>
      </c>
      <c r="AO256" s="5">
        <v>22.2</v>
      </c>
      <c r="AP256" s="5">
        <v>0.22</v>
      </c>
      <c r="AQ256" s="5" t="s">
        <v>713</v>
      </c>
      <c r="AR256" s="5" t="s">
        <v>1104</v>
      </c>
      <c r="AS256" s="5" t="s">
        <v>713</v>
      </c>
      <c r="AT256" s="6">
        <v>43832</v>
      </c>
      <c r="AU256" s="5" t="s">
        <v>4873</v>
      </c>
      <c r="AV256" s="5">
        <v>330</v>
      </c>
      <c r="AW256" s="5" t="s">
        <v>4874</v>
      </c>
    </row>
    <row r="257" spans="1:49" x14ac:dyDescent="0.55000000000000004">
      <c r="A257" s="5" t="str">
        <f>HYPERLINK("https://www.infodis.net/philips/net/Shipment/Details?InfodisNumber=3998693&amp;DomainCode=DAP", "3998693")</f>
        <v>3998693</v>
      </c>
      <c r="B257" s="5" t="s">
        <v>5200</v>
      </c>
      <c r="C257" s="5" t="s">
        <v>4225</v>
      </c>
      <c r="D257" s="5" t="s">
        <v>4226</v>
      </c>
      <c r="E257" s="5" t="s">
        <v>1187</v>
      </c>
      <c r="F257" s="5"/>
      <c r="G257" s="5" t="s">
        <v>880</v>
      </c>
      <c r="H257" s="5" t="s">
        <v>881</v>
      </c>
      <c r="I257" s="5"/>
      <c r="J257" s="5"/>
      <c r="K257" s="5" t="s">
        <v>2696</v>
      </c>
      <c r="L257" s="5" t="s">
        <v>881</v>
      </c>
      <c r="M257" s="5" t="s">
        <v>60</v>
      </c>
      <c r="N257" s="5"/>
      <c r="O257" s="5"/>
      <c r="P257" s="5" t="s">
        <v>888</v>
      </c>
      <c r="Q257" s="5"/>
      <c r="R257" s="5" t="s">
        <v>5201</v>
      </c>
      <c r="S257" s="6">
        <v>43488</v>
      </c>
      <c r="T257" s="6">
        <v>43488</v>
      </c>
      <c r="U257" s="5"/>
      <c r="V257" s="5"/>
      <c r="W257" s="5"/>
      <c r="X257" s="5"/>
      <c r="Y257" s="5" t="s">
        <v>4776</v>
      </c>
      <c r="Z257" s="5"/>
      <c r="AA257" s="5"/>
      <c r="AB257" s="5" t="s">
        <v>67</v>
      </c>
      <c r="AC257" s="5" t="s">
        <v>68</v>
      </c>
      <c r="AD257" s="5" t="s">
        <v>68</v>
      </c>
      <c r="AE257" s="5"/>
      <c r="AF257" s="5" t="s">
        <v>4574</v>
      </c>
      <c r="AG257" s="5"/>
      <c r="AH257" s="5"/>
      <c r="AI257" s="5" t="s">
        <v>73</v>
      </c>
      <c r="AJ257" s="5">
        <v>0</v>
      </c>
      <c r="AK257" s="5">
        <v>0</v>
      </c>
      <c r="AL257" s="5"/>
      <c r="AM257" s="5"/>
      <c r="AN257" s="5">
        <v>0</v>
      </c>
      <c r="AO257" s="5">
        <v>3</v>
      </c>
      <c r="AP257" s="5">
        <v>2.3E-2</v>
      </c>
      <c r="AQ257" s="5" t="s">
        <v>713</v>
      </c>
      <c r="AR257" s="5" t="s">
        <v>1104</v>
      </c>
      <c r="AS257" s="5" t="s">
        <v>713</v>
      </c>
      <c r="AT257" s="6">
        <v>43832</v>
      </c>
      <c r="AU257" s="5" t="s">
        <v>4873</v>
      </c>
      <c r="AV257" s="5">
        <v>330</v>
      </c>
      <c r="AW257" s="5" t="s">
        <v>4874</v>
      </c>
    </row>
    <row r="258" spans="1:49" x14ac:dyDescent="0.55000000000000004">
      <c r="A258" s="5" t="str">
        <f>HYPERLINK("https://www.infodis.net/philips/net/Shipment/Details?InfodisNumber=4210241&amp;DomainCode=DAP", "4210241")</f>
        <v>4210241</v>
      </c>
      <c r="B258" s="5" t="s">
        <v>5202</v>
      </c>
      <c r="C258" s="5" t="s">
        <v>4822</v>
      </c>
      <c r="D258" s="5" t="s">
        <v>4823</v>
      </c>
      <c r="E258" s="5" t="s">
        <v>242</v>
      </c>
      <c r="F258" s="5"/>
      <c r="G258" s="5" t="s">
        <v>611</v>
      </c>
      <c r="H258" s="5" t="s">
        <v>55</v>
      </c>
      <c r="I258" s="5"/>
      <c r="J258" s="5"/>
      <c r="K258" s="5" t="s">
        <v>243</v>
      </c>
      <c r="L258" s="5" t="s">
        <v>244</v>
      </c>
      <c r="M258" s="5" t="s">
        <v>60</v>
      </c>
      <c r="N258" s="5"/>
      <c r="O258" s="5"/>
      <c r="P258" s="5" t="s">
        <v>615</v>
      </c>
      <c r="Q258" s="5"/>
      <c r="R258" s="5" t="s">
        <v>250</v>
      </c>
      <c r="S258" s="6">
        <v>43630</v>
      </c>
      <c r="T258" s="6">
        <v>43633</v>
      </c>
      <c r="U258" s="6">
        <v>43661</v>
      </c>
      <c r="V258" s="5"/>
      <c r="W258" s="5"/>
      <c r="X258" s="5"/>
      <c r="Y258" s="5" t="s">
        <v>4827</v>
      </c>
      <c r="Z258" s="5"/>
      <c r="AA258" s="5"/>
      <c r="AB258" s="5" t="s">
        <v>67</v>
      </c>
      <c r="AC258" s="5" t="s">
        <v>68</v>
      </c>
      <c r="AD258" s="5" t="s">
        <v>68</v>
      </c>
      <c r="AE258" s="5"/>
      <c r="AF258" s="5" t="s">
        <v>4574</v>
      </c>
      <c r="AG258" s="5"/>
      <c r="AH258" s="5"/>
      <c r="AI258" s="5" t="s">
        <v>73</v>
      </c>
      <c r="AJ258" s="5">
        <v>0</v>
      </c>
      <c r="AK258" s="5">
        <v>0</v>
      </c>
      <c r="AL258" s="5"/>
      <c r="AM258" s="5"/>
      <c r="AN258" s="5">
        <v>10</v>
      </c>
      <c r="AO258" s="5">
        <v>1980</v>
      </c>
      <c r="AP258" s="5">
        <v>17.98</v>
      </c>
      <c r="AQ258" s="5" t="s">
        <v>713</v>
      </c>
      <c r="AR258" s="5" t="s">
        <v>1104</v>
      </c>
      <c r="AS258" s="5"/>
      <c r="AT258" s="5"/>
      <c r="AU258" s="5"/>
      <c r="AV258" s="5">
        <v>-1</v>
      </c>
      <c r="AW258" s="5" t="s">
        <v>4828</v>
      </c>
    </row>
    <row r="259" spans="1:49" x14ac:dyDescent="0.55000000000000004">
      <c r="A259" s="5" t="str">
        <f>HYPERLINK("https://www.infodis.net/philips/net/Shipment/Details?InfodisNumber=4548165&amp;DomainCode=DAP", "4548165")</f>
        <v>4548165</v>
      </c>
      <c r="B259" s="5" t="s">
        <v>5203</v>
      </c>
      <c r="C259" s="5" t="s">
        <v>5046</v>
      </c>
      <c r="D259" s="5" t="s">
        <v>5047</v>
      </c>
      <c r="E259" s="5" t="s">
        <v>5046</v>
      </c>
      <c r="F259" s="5" t="s">
        <v>214</v>
      </c>
      <c r="G259" s="5" t="s">
        <v>5048</v>
      </c>
      <c r="H259" s="5" t="s">
        <v>881</v>
      </c>
      <c r="I259" s="5"/>
      <c r="J259" s="5"/>
      <c r="K259" s="5" t="s">
        <v>216</v>
      </c>
      <c r="L259" s="5" t="s">
        <v>55</v>
      </c>
      <c r="M259" s="5" t="s">
        <v>84</v>
      </c>
      <c r="N259" s="5"/>
      <c r="O259" s="5"/>
      <c r="P259" s="5" t="s">
        <v>5049</v>
      </c>
      <c r="Q259" s="5"/>
      <c r="R259" s="5" t="s">
        <v>3238</v>
      </c>
      <c r="S259" s="6">
        <v>44137</v>
      </c>
      <c r="T259" s="6">
        <v>44138</v>
      </c>
      <c r="U259" s="6">
        <v>44139</v>
      </c>
      <c r="V259" s="5"/>
      <c r="W259" s="5"/>
      <c r="X259" s="5"/>
      <c r="Y259" s="5" t="s">
        <v>4576</v>
      </c>
      <c r="Z259" s="5"/>
      <c r="AA259" s="5"/>
      <c r="AB259" s="5" t="s">
        <v>67</v>
      </c>
      <c r="AC259" s="5" t="s">
        <v>68</v>
      </c>
      <c r="AD259" s="5" t="s">
        <v>68</v>
      </c>
      <c r="AE259" s="5"/>
      <c r="AF259" s="5" t="s">
        <v>70</v>
      </c>
      <c r="AG259" s="5"/>
      <c r="AH259" s="5"/>
      <c r="AI259" s="5" t="s">
        <v>73</v>
      </c>
      <c r="AJ259" s="5">
        <v>0</v>
      </c>
      <c r="AK259" s="5">
        <v>0</v>
      </c>
      <c r="AL259" s="5"/>
      <c r="AM259" s="5"/>
      <c r="AN259" s="5">
        <v>2</v>
      </c>
      <c r="AO259" s="5">
        <v>500</v>
      </c>
      <c r="AP259" s="5">
        <v>1.2</v>
      </c>
      <c r="AQ259" s="5" t="s">
        <v>713</v>
      </c>
      <c r="AR259" s="5" t="s">
        <v>1104</v>
      </c>
      <c r="AS259" s="5"/>
      <c r="AT259" s="5"/>
      <c r="AU259" s="5"/>
      <c r="AV259" s="5">
        <v>-1</v>
      </c>
      <c r="AW259" s="5" t="s">
        <v>1269</v>
      </c>
    </row>
    <row r="260" spans="1:49" x14ac:dyDescent="0.55000000000000004">
      <c r="A260" s="5" t="str">
        <f>HYPERLINK("https://www.infodis.net/philips/net/Shipment/Details?InfodisNumber=5932163&amp;DomainCode=PHILIPSR1", "5932163")</f>
        <v>5932163</v>
      </c>
      <c r="B260" s="5" t="s">
        <v>5204</v>
      </c>
      <c r="C260" s="5" t="s">
        <v>2580</v>
      </c>
      <c r="D260" s="5" t="s">
        <v>2581</v>
      </c>
      <c r="E260" s="5" t="s">
        <v>1187</v>
      </c>
      <c r="F260" s="5"/>
      <c r="G260" s="5" t="s">
        <v>880</v>
      </c>
      <c r="H260" s="5" t="s">
        <v>881</v>
      </c>
      <c r="I260" s="5"/>
      <c r="J260" s="5"/>
      <c r="K260" s="5" t="s">
        <v>4888</v>
      </c>
      <c r="L260" s="5" t="s">
        <v>881</v>
      </c>
      <c r="M260" s="5" t="s">
        <v>60</v>
      </c>
      <c r="N260" s="5"/>
      <c r="O260" s="5"/>
      <c r="P260" s="5" t="s">
        <v>888</v>
      </c>
      <c r="Q260" s="5"/>
      <c r="R260" s="5" t="s">
        <v>5205</v>
      </c>
      <c r="S260" s="6">
        <v>43769</v>
      </c>
      <c r="T260" s="6">
        <v>43769</v>
      </c>
      <c r="U260" s="5"/>
      <c r="V260" s="5"/>
      <c r="W260" s="5"/>
      <c r="X260" s="5"/>
      <c r="Y260" s="5" t="s">
        <v>4776</v>
      </c>
      <c r="Z260" s="5"/>
      <c r="AA260" s="5"/>
      <c r="AB260" s="5" t="s">
        <v>67</v>
      </c>
      <c r="AC260" s="5" t="s">
        <v>68</v>
      </c>
      <c r="AD260" s="5" t="s">
        <v>68</v>
      </c>
      <c r="AE260" s="5"/>
      <c r="AF260" s="5" t="s">
        <v>4574</v>
      </c>
      <c r="AG260" s="5"/>
      <c r="AH260" s="5"/>
      <c r="AI260" s="5" t="s">
        <v>252</v>
      </c>
      <c r="AJ260" s="5">
        <v>0</v>
      </c>
      <c r="AK260" s="5">
        <v>0</v>
      </c>
      <c r="AL260" s="5"/>
      <c r="AM260" s="5"/>
      <c r="AN260" s="5">
        <v>0</v>
      </c>
      <c r="AO260" s="5">
        <v>13</v>
      </c>
      <c r="AP260" s="5">
        <v>0.72400000000000009</v>
      </c>
      <c r="AQ260" s="5" t="s">
        <v>713</v>
      </c>
      <c r="AR260" s="5" t="s">
        <v>1104</v>
      </c>
      <c r="AS260" s="5" t="s">
        <v>713</v>
      </c>
      <c r="AT260" s="6">
        <v>43832</v>
      </c>
      <c r="AU260" s="5" t="s">
        <v>4873</v>
      </c>
      <c r="AV260" s="5">
        <v>330</v>
      </c>
      <c r="AW260" s="5" t="s">
        <v>4874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tabSelected="1" zoomScale="75" workbookViewId="0">
      <selection activeCell="B13" sqref="B13"/>
    </sheetView>
  </sheetViews>
  <sheetFormatPr defaultRowHeight="14.4" x14ac:dyDescent="0.55000000000000004"/>
  <cols>
    <col min="1" max="49" width="21.68359375" customWidth="1"/>
  </cols>
  <sheetData>
    <row r="1" spans="1:4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55000000000000004">
      <c r="A2" s="12" t="s">
        <v>5283</v>
      </c>
      <c r="B2" s="12" t="s">
        <v>5215</v>
      </c>
      <c r="C2" s="11" t="s">
        <v>5284</v>
      </c>
      <c r="D2" s="11" t="s">
        <v>5285</v>
      </c>
      <c r="E2" s="11" t="s">
        <v>227</v>
      </c>
      <c r="F2" s="12" t="s">
        <v>458</v>
      </c>
      <c r="G2" s="12" t="s">
        <v>5211</v>
      </c>
      <c r="H2" s="12" t="s">
        <v>180</v>
      </c>
      <c r="I2" s="12"/>
      <c r="J2" s="12"/>
      <c r="K2" s="12" t="s">
        <v>620</v>
      </c>
      <c r="L2" s="12" t="s">
        <v>180</v>
      </c>
      <c r="M2" s="12" t="s">
        <v>84</v>
      </c>
      <c r="N2" s="12"/>
      <c r="O2" s="12"/>
      <c r="P2" s="12" t="s">
        <v>465</v>
      </c>
      <c r="Q2" s="12"/>
      <c r="R2" s="12" t="s">
        <v>613</v>
      </c>
      <c r="S2" s="13">
        <v>44028</v>
      </c>
      <c r="T2" s="13">
        <v>44036</v>
      </c>
      <c r="U2" s="13">
        <v>44035</v>
      </c>
      <c r="V2" s="12"/>
      <c r="W2" s="12"/>
      <c r="X2" s="12"/>
      <c r="Y2" s="12" t="s">
        <v>5206</v>
      </c>
      <c r="Z2" s="12"/>
      <c r="AA2" s="12"/>
      <c r="AB2" s="12" t="s">
        <v>67</v>
      </c>
      <c r="AC2" s="12" t="s">
        <v>68</v>
      </c>
      <c r="AD2" s="12" t="s">
        <v>68</v>
      </c>
      <c r="AE2" s="12"/>
      <c r="AF2" s="12" t="s">
        <v>4941</v>
      </c>
      <c r="AG2" s="12"/>
      <c r="AH2" s="12"/>
      <c r="AI2" s="12" t="s">
        <v>252</v>
      </c>
      <c r="AJ2" s="12">
        <v>0</v>
      </c>
      <c r="AK2" s="12">
        <v>0</v>
      </c>
      <c r="AL2" s="12"/>
      <c r="AM2" s="12"/>
      <c r="AN2" s="12">
        <v>26</v>
      </c>
      <c r="AO2" s="12">
        <v>4493.74</v>
      </c>
      <c r="AP2" s="12">
        <v>36.386000000000003</v>
      </c>
      <c r="AQ2" s="12" t="s">
        <v>5286</v>
      </c>
      <c r="AR2" s="12" t="s">
        <v>5287</v>
      </c>
      <c r="AS2" s="12" t="s">
        <v>713</v>
      </c>
      <c r="AT2" s="13">
        <v>44092</v>
      </c>
      <c r="AU2" s="12" t="s">
        <v>5212</v>
      </c>
      <c r="AV2" s="12">
        <v>70</v>
      </c>
      <c r="AW2" s="12" t="s">
        <v>5213</v>
      </c>
    </row>
    <row r="3" spans="1:49" x14ac:dyDescent="0.55000000000000004">
      <c r="A3" s="12" t="s">
        <v>5288</v>
      </c>
      <c r="B3" s="12" t="s">
        <v>5216</v>
      </c>
      <c r="C3" s="11" t="s">
        <v>5209</v>
      </c>
      <c r="D3" s="11" t="s">
        <v>5210</v>
      </c>
      <c r="E3" s="11" t="s">
        <v>5209</v>
      </c>
      <c r="F3" s="12" t="s">
        <v>458</v>
      </c>
      <c r="G3" s="12" t="s">
        <v>5211</v>
      </c>
      <c r="H3" s="12" t="s">
        <v>180</v>
      </c>
      <c r="I3" s="12"/>
      <c r="J3" s="12"/>
      <c r="K3" s="12" t="s">
        <v>5211</v>
      </c>
      <c r="L3" s="12" t="s">
        <v>180</v>
      </c>
      <c r="M3" s="12" t="s">
        <v>84</v>
      </c>
      <c r="N3" s="12"/>
      <c r="O3" s="12"/>
      <c r="P3" s="12" t="s">
        <v>465</v>
      </c>
      <c r="Q3" s="12"/>
      <c r="R3" s="12" t="s">
        <v>5214</v>
      </c>
      <c r="S3" s="13">
        <v>44099</v>
      </c>
      <c r="T3" s="13">
        <v>44099</v>
      </c>
      <c r="U3" s="13">
        <v>44099</v>
      </c>
      <c r="V3" s="12"/>
      <c r="W3" s="12"/>
      <c r="X3" s="12"/>
      <c r="Y3" s="12" t="s">
        <v>5206</v>
      </c>
      <c r="Z3" s="12"/>
      <c r="AA3" s="12"/>
      <c r="AB3" s="12" t="s">
        <v>67</v>
      </c>
      <c r="AC3" s="12" t="s">
        <v>68</v>
      </c>
      <c r="AD3" s="12" t="s">
        <v>68</v>
      </c>
      <c r="AE3" s="12"/>
      <c r="AF3" s="12" t="s">
        <v>4941</v>
      </c>
      <c r="AG3" s="12"/>
      <c r="AH3" s="12"/>
      <c r="AI3" s="12" t="s">
        <v>252</v>
      </c>
      <c r="AJ3" s="12">
        <v>0</v>
      </c>
      <c r="AK3" s="12">
        <v>0</v>
      </c>
      <c r="AL3" s="12"/>
      <c r="AM3" s="12"/>
      <c r="AN3" s="12">
        <v>26</v>
      </c>
      <c r="AO3" s="12">
        <v>2468.4499999999998</v>
      </c>
      <c r="AP3" s="12">
        <v>39.265999999999998</v>
      </c>
      <c r="AQ3" s="12" t="s">
        <v>5286</v>
      </c>
      <c r="AR3" s="12" t="s">
        <v>5287</v>
      </c>
      <c r="AS3" s="12" t="s">
        <v>713</v>
      </c>
      <c r="AT3" s="13">
        <v>44092</v>
      </c>
      <c r="AU3" s="12" t="s">
        <v>5212</v>
      </c>
      <c r="AV3" s="12">
        <v>70</v>
      </c>
      <c r="AW3" s="12" t="s">
        <v>5213</v>
      </c>
    </row>
    <row r="4" spans="1:49" x14ac:dyDescent="0.55000000000000004">
      <c r="A4" s="12" t="s">
        <v>5289</v>
      </c>
      <c r="B4" s="12" t="s">
        <v>5217</v>
      </c>
      <c r="C4" s="11" t="s">
        <v>5223</v>
      </c>
      <c r="D4" s="11" t="s">
        <v>5224</v>
      </c>
      <c r="E4" s="11" t="s">
        <v>5223</v>
      </c>
      <c r="F4" s="12" t="s">
        <v>458</v>
      </c>
      <c r="G4" s="12" t="s">
        <v>5211</v>
      </c>
      <c r="H4" s="12" t="s">
        <v>180</v>
      </c>
      <c r="I4" s="12"/>
      <c r="J4" s="12"/>
      <c r="K4" s="12" t="s">
        <v>5211</v>
      </c>
      <c r="L4" s="12" t="s">
        <v>180</v>
      </c>
      <c r="M4" s="12" t="s">
        <v>84</v>
      </c>
      <c r="N4" s="12"/>
      <c r="O4" s="12"/>
      <c r="P4" s="12" t="s">
        <v>465</v>
      </c>
      <c r="Q4" s="12"/>
      <c r="R4" s="12" t="s">
        <v>5214</v>
      </c>
      <c r="S4" s="13">
        <v>44067</v>
      </c>
      <c r="T4" s="13">
        <v>44067</v>
      </c>
      <c r="U4" s="13">
        <v>44067</v>
      </c>
      <c r="V4" s="12"/>
      <c r="W4" s="12"/>
      <c r="X4" s="12"/>
      <c r="Y4" s="12" t="s">
        <v>5206</v>
      </c>
      <c r="Z4" s="12"/>
      <c r="AA4" s="12"/>
      <c r="AB4" s="12" t="s">
        <v>67</v>
      </c>
      <c r="AC4" s="12" t="s">
        <v>68</v>
      </c>
      <c r="AD4" s="12" t="s">
        <v>68</v>
      </c>
      <c r="AE4" s="12"/>
      <c r="AF4" s="12" t="s">
        <v>4941</v>
      </c>
      <c r="AG4" s="12"/>
      <c r="AH4" s="12"/>
      <c r="AI4" s="12" t="s">
        <v>252</v>
      </c>
      <c r="AJ4" s="12">
        <v>0</v>
      </c>
      <c r="AK4" s="12">
        <v>0</v>
      </c>
      <c r="AL4" s="12"/>
      <c r="AM4" s="12"/>
      <c r="AN4" s="12">
        <v>26</v>
      </c>
      <c r="AO4" s="12">
        <v>2904.81</v>
      </c>
      <c r="AP4" s="12">
        <v>37.347000000000001</v>
      </c>
      <c r="AQ4" s="12" t="s">
        <v>5286</v>
      </c>
      <c r="AR4" s="12" t="s">
        <v>5287</v>
      </c>
      <c r="AS4" s="12" t="s">
        <v>713</v>
      </c>
      <c r="AT4" s="13">
        <v>44092</v>
      </c>
      <c r="AU4" s="12" t="s">
        <v>5212</v>
      </c>
      <c r="AV4" s="12">
        <v>70</v>
      </c>
      <c r="AW4" s="12" t="s">
        <v>5213</v>
      </c>
    </row>
    <row r="5" spans="1:49" x14ac:dyDescent="0.55000000000000004">
      <c r="A5" s="12" t="s">
        <v>5290</v>
      </c>
      <c r="B5" s="12" t="s">
        <v>5218</v>
      </c>
      <c r="C5" s="11" t="s">
        <v>5284</v>
      </c>
      <c r="D5" s="11" t="s">
        <v>5285</v>
      </c>
      <c r="E5" s="11" t="s">
        <v>227</v>
      </c>
      <c r="F5" s="12" t="s">
        <v>458</v>
      </c>
      <c r="G5" s="12" t="s">
        <v>5211</v>
      </c>
      <c r="H5" s="12" t="s">
        <v>180</v>
      </c>
      <c r="I5" s="12"/>
      <c r="J5" s="12"/>
      <c r="K5" s="12" t="s">
        <v>1052</v>
      </c>
      <c r="L5" s="12" t="s">
        <v>180</v>
      </c>
      <c r="M5" s="12" t="s">
        <v>84</v>
      </c>
      <c r="N5" s="12"/>
      <c r="O5" s="12"/>
      <c r="P5" s="12" t="s">
        <v>465</v>
      </c>
      <c r="Q5" s="12"/>
      <c r="R5" s="12" t="s">
        <v>5214</v>
      </c>
      <c r="S5" s="13">
        <v>44042</v>
      </c>
      <c r="T5" s="13">
        <v>44042</v>
      </c>
      <c r="U5" s="13">
        <v>44042</v>
      </c>
      <c r="V5" s="12"/>
      <c r="W5" s="12"/>
      <c r="X5" s="12"/>
      <c r="Y5" s="12" t="s">
        <v>5206</v>
      </c>
      <c r="Z5" s="12"/>
      <c r="AA5" s="12"/>
      <c r="AB5" s="12" t="s">
        <v>67</v>
      </c>
      <c r="AC5" s="12" t="s">
        <v>68</v>
      </c>
      <c r="AD5" s="12" t="s">
        <v>68</v>
      </c>
      <c r="AE5" s="12"/>
      <c r="AF5" s="12" t="s">
        <v>4941</v>
      </c>
      <c r="AG5" s="12"/>
      <c r="AH5" s="12"/>
      <c r="AI5" s="12" t="s">
        <v>252</v>
      </c>
      <c r="AJ5" s="12">
        <v>0</v>
      </c>
      <c r="AK5" s="12">
        <v>0</v>
      </c>
      <c r="AL5" s="12"/>
      <c r="AM5" s="12"/>
      <c r="AN5" s="12">
        <v>26</v>
      </c>
      <c r="AO5" s="12">
        <v>2601.81</v>
      </c>
      <c r="AP5" s="12">
        <v>32.722000000000001</v>
      </c>
      <c r="AQ5" s="12" t="s">
        <v>5286</v>
      </c>
      <c r="AR5" s="12" t="s">
        <v>5287</v>
      </c>
      <c r="AS5" s="12" t="s">
        <v>713</v>
      </c>
      <c r="AT5" s="13">
        <v>44092</v>
      </c>
      <c r="AU5" s="12" t="s">
        <v>5212</v>
      </c>
      <c r="AV5" s="12">
        <v>70</v>
      </c>
      <c r="AW5" s="12" t="s">
        <v>5213</v>
      </c>
    </row>
    <row r="6" spans="1:49" x14ac:dyDescent="0.55000000000000004">
      <c r="A6" s="12" t="s">
        <v>5291</v>
      </c>
      <c r="B6" s="12" t="s">
        <v>5219</v>
      </c>
      <c r="C6" s="11" t="s">
        <v>5207</v>
      </c>
      <c r="D6" s="11" t="s">
        <v>5208</v>
      </c>
      <c r="E6" s="11" t="s">
        <v>5207</v>
      </c>
      <c r="F6" s="12" t="s">
        <v>458</v>
      </c>
      <c r="G6" s="12" t="s">
        <v>5211</v>
      </c>
      <c r="H6" s="12" t="s">
        <v>180</v>
      </c>
      <c r="I6" s="12"/>
      <c r="J6" s="12"/>
      <c r="K6" s="12" t="s">
        <v>5211</v>
      </c>
      <c r="L6" s="12" t="s">
        <v>180</v>
      </c>
      <c r="M6" s="12" t="s">
        <v>84</v>
      </c>
      <c r="N6" s="12"/>
      <c r="O6" s="12"/>
      <c r="P6" s="12" t="s">
        <v>465</v>
      </c>
      <c r="Q6" s="12"/>
      <c r="R6" s="12" t="s">
        <v>5214</v>
      </c>
      <c r="S6" s="13">
        <v>44116</v>
      </c>
      <c r="T6" s="13">
        <v>44117</v>
      </c>
      <c r="U6" s="13">
        <v>44118</v>
      </c>
      <c r="V6" s="12"/>
      <c r="W6" s="12"/>
      <c r="X6" s="12"/>
      <c r="Y6" s="12" t="s">
        <v>5206</v>
      </c>
      <c r="Z6" s="12"/>
      <c r="AA6" s="12"/>
      <c r="AB6" s="12" t="s">
        <v>67</v>
      </c>
      <c r="AC6" s="12" t="s">
        <v>68</v>
      </c>
      <c r="AD6" s="12" t="s">
        <v>68</v>
      </c>
      <c r="AE6" s="12"/>
      <c r="AF6" s="12" t="s">
        <v>4941</v>
      </c>
      <c r="AG6" s="12"/>
      <c r="AH6" s="12"/>
      <c r="AI6" s="12" t="s">
        <v>252</v>
      </c>
      <c r="AJ6" s="12">
        <v>0</v>
      </c>
      <c r="AK6" s="12">
        <v>0</v>
      </c>
      <c r="AL6" s="12"/>
      <c r="AM6" s="12"/>
      <c r="AN6" s="12">
        <v>1</v>
      </c>
      <c r="AO6" s="12">
        <v>2997.34</v>
      </c>
      <c r="AP6" s="12">
        <v>40.142000000000003</v>
      </c>
      <c r="AQ6" s="12" t="s">
        <v>5286</v>
      </c>
      <c r="AR6" s="12" t="s">
        <v>5287</v>
      </c>
      <c r="AS6" s="12" t="s">
        <v>713</v>
      </c>
      <c r="AT6" s="13">
        <v>44092</v>
      </c>
      <c r="AU6" s="12" t="s">
        <v>5212</v>
      </c>
      <c r="AV6" s="12">
        <v>70</v>
      </c>
      <c r="AW6" s="12" t="s">
        <v>5213</v>
      </c>
    </row>
    <row r="7" spans="1:49" x14ac:dyDescent="0.55000000000000004">
      <c r="A7" s="12" t="s">
        <v>5292</v>
      </c>
      <c r="B7" s="12" t="s">
        <v>5220</v>
      </c>
      <c r="C7" s="11" t="s">
        <v>5221</v>
      </c>
      <c r="D7" s="11" t="s">
        <v>5222</v>
      </c>
      <c r="E7" s="11" t="s">
        <v>191</v>
      </c>
      <c r="F7" s="12" t="s">
        <v>458</v>
      </c>
      <c r="G7" s="12" t="s">
        <v>5211</v>
      </c>
      <c r="H7" s="12" t="s">
        <v>180</v>
      </c>
      <c r="I7" s="12"/>
      <c r="J7" s="12"/>
      <c r="K7" s="12" t="s">
        <v>5211</v>
      </c>
      <c r="L7" s="12" t="s">
        <v>180</v>
      </c>
      <c r="M7" s="12" t="s">
        <v>84</v>
      </c>
      <c r="N7" s="12"/>
      <c r="O7" s="12"/>
      <c r="P7" s="12" t="s">
        <v>465</v>
      </c>
      <c r="Q7" s="12"/>
      <c r="R7" s="12" t="s">
        <v>5214</v>
      </c>
      <c r="S7" s="13">
        <v>44053</v>
      </c>
      <c r="T7" s="13">
        <v>44054</v>
      </c>
      <c r="U7" s="13">
        <v>44054</v>
      </c>
      <c r="V7" s="12"/>
      <c r="W7" s="12"/>
      <c r="X7" s="12"/>
      <c r="Y7" s="12" t="s">
        <v>5206</v>
      </c>
      <c r="Z7" s="12"/>
      <c r="AA7" s="12"/>
      <c r="AB7" s="12" t="s">
        <v>67</v>
      </c>
      <c r="AC7" s="12" t="s">
        <v>68</v>
      </c>
      <c r="AD7" s="12" t="s">
        <v>68</v>
      </c>
      <c r="AE7" s="12"/>
      <c r="AF7" s="12" t="s">
        <v>4941</v>
      </c>
      <c r="AG7" s="12"/>
      <c r="AH7" s="12"/>
      <c r="AI7" s="12" t="s">
        <v>252</v>
      </c>
      <c r="AJ7" s="12">
        <v>0</v>
      </c>
      <c r="AK7" s="12">
        <v>0</v>
      </c>
      <c r="AL7" s="12"/>
      <c r="AM7" s="12"/>
      <c r="AN7" s="12">
        <v>26</v>
      </c>
      <c r="AO7" s="12">
        <v>3022.74</v>
      </c>
      <c r="AP7" s="12">
        <v>43.25</v>
      </c>
      <c r="AQ7" s="12" t="s">
        <v>5286</v>
      </c>
      <c r="AR7" s="12" t="s">
        <v>5287</v>
      </c>
      <c r="AS7" s="12" t="s">
        <v>713</v>
      </c>
      <c r="AT7" s="13">
        <v>44092</v>
      </c>
      <c r="AU7" s="12" t="s">
        <v>5212</v>
      </c>
      <c r="AV7" s="12">
        <v>70</v>
      </c>
      <c r="AW7" s="12" t="s">
        <v>5213</v>
      </c>
    </row>
    <row r="8" spans="1:49" s="10" customFormat="1" x14ac:dyDescent="0.55000000000000004">
      <c r="A8" s="7">
        <v>9644227</v>
      </c>
      <c r="B8" s="8" t="s">
        <v>5267</v>
      </c>
      <c r="C8" s="8" t="s">
        <v>5209</v>
      </c>
      <c r="D8" s="8" t="s">
        <v>5264</v>
      </c>
      <c r="E8" s="8" t="s">
        <v>5265</v>
      </c>
      <c r="F8" s="8" t="s">
        <v>5266</v>
      </c>
      <c r="G8" s="8" t="s">
        <v>3115</v>
      </c>
      <c r="H8" s="8" t="s">
        <v>2134</v>
      </c>
      <c r="I8" s="8"/>
      <c r="J8" s="8"/>
      <c r="K8" s="8" t="s">
        <v>620</v>
      </c>
      <c r="L8" s="8" t="s">
        <v>180</v>
      </c>
      <c r="M8" s="8" t="s">
        <v>84</v>
      </c>
      <c r="N8" s="8"/>
      <c r="O8" s="8"/>
      <c r="P8" s="8" t="s">
        <v>465</v>
      </c>
      <c r="Q8" s="8"/>
      <c r="R8" s="8" t="s">
        <v>613</v>
      </c>
      <c r="S8" s="9">
        <v>44214</v>
      </c>
      <c r="T8" s="9"/>
      <c r="U8" s="9"/>
      <c r="V8" s="8"/>
      <c r="W8" s="8"/>
      <c r="X8" s="8"/>
      <c r="Y8" s="8" t="s">
        <v>5206</v>
      </c>
      <c r="Z8" s="8"/>
      <c r="AA8" s="8"/>
      <c r="AB8" s="8" t="s">
        <v>67</v>
      </c>
      <c r="AC8" s="8" t="s">
        <v>68</v>
      </c>
      <c r="AD8" s="8" t="s">
        <v>68</v>
      </c>
      <c r="AE8" s="8"/>
      <c r="AF8" s="8" t="s">
        <v>4941</v>
      </c>
      <c r="AG8" s="8"/>
      <c r="AH8" s="8"/>
      <c r="AI8" s="8" t="s">
        <v>252</v>
      </c>
      <c r="AJ8" s="8">
        <v>0</v>
      </c>
      <c r="AK8" s="8">
        <v>0</v>
      </c>
      <c r="AL8" s="8"/>
      <c r="AM8" s="8"/>
      <c r="AN8" s="8">
        <v>26</v>
      </c>
      <c r="AO8" s="8">
        <v>4493.74</v>
      </c>
      <c r="AP8" s="8">
        <v>36.386000000000003</v>
      </c>
      <c r="AQ8" s="8"/>
      <c r="AR8" s="8"/>
      <c r="AS8" s="8"/>
      <c r="AT8" s="9"/>
      <c r="AU8" s="8"/>
      <c r="AV8" s="8"/>
      <c r="AW8" s="8"/>
    </row>
    <row r="9" spans="1:49" s="10" customFormat="1" x14ac:dyDescent="0.55000000000000004">
      <c r="A9" s="7">
        <v>9282444</v>
      </c>
      <c r="B9" s="8" t="s">
        <v>5268</v>
      </c>
      <c r="C9" s="8" t="s">
        <v>5209</v>
      </c>
      <c r="D9" s="8" t="s">
        <v>5264</v>
      </c>
      <c r="E9" s="8" t="s">
        <v>5265</v>
      </c>
      <c r="F9" s="8" t="s">
        <v>5266</v>
      </c>
      <c r="G9" s="8" t="s">
        <v>3115</v>
      </c>
      <c r="H9" s="8" t="s">
        <v>2134</v>
      </c>
      <c r="I9" s="8"/>
      <c r="J9" s="8"/>
      <c r="K9" s="8" t="s">
        <v>620</v>
      </c>
      <c r="L9" s="8" t="s">
        <v>180</v>
      </c>
      <c r="M9" s="8" t="s">
        <v>84</v>
      </c>
      <c r="N9" s="8"/>
      <c r="O9" s="8"/>
      <c r="P9" s="8" t="s">
        <v>465</v>
      </c>
      <c r="Q9" s="8"/>
      <c r="R9" s="8" t="s">
        <v>5214</v>
      </c>
      <c r="S9" s="9">
        <v>44214</v>
      </c>
      <c r="T9" s="9"/>
      <c r="U9" s="9"/>
      <c r="V9" s="8"/>
      <c r="W9" s="8"/>
      <c r="X9" s="8"/>
      <c r="Y9" s="8" t="s">
        <v>5206</v>
      </c>
      <c r="Z9" s="8"/>
      <c r="AA9" s="8"/>
      <c r="AB9" s="8" t="s">
        <v>67</v>
      </c>
      <c r="AC9" s="8" t="s">
        <v>68</v>
      </c>
      <c r="AD9" s="8" t="s">
        <v>68</v>
      </c>
      <c r="AE9" s="8"/>
      <c r="AF9" s="8" t="s">
        <v>4941</v>
      </c>
      <c r="AG9" s="8"/>
      <c r="AH9" s="8"/>
      <c r="AI9" s="8" t="s">
        <v>252</v>
      </c>
      <c r="AJ9" s="8">
        <v>0</v>
      </c>
      <c r="AK9" s="8">
        <v>0</v>
      </c>
      <c r="AL9" s="8"/>
      <c r="AM9" s="8"/>
      <c r="AN9" s="8">
        <v>26</v>
      </c>
      <c r="AO9" s="8">
        <v>2468.4499999999998</v>
      </c>
      <c r="AP9" s="8">
        <v>39.265999999999998</v>
      </c>
      <c r="AQ9" s="8"/>
      <c r="AR9" s="8"/>
      <c r="AS9" s="8"/>
      <c r="AT9" s="9"/>
      <c r="AU9" s="8"/>
      <c r="AV9" s="8"/>
      <c r="AW9" s="8"/>
    </row>
    <row r="10" spans="1:49" s="10" customFormat="1" x14ac:dyDescent="0.55000000000000004">
      <c r="A10" s="7">
        <v>8585045</v>
      </c>
      <c r="B10" s="8" t="s">
        <v>5269</v>
      </c>
      <c r="C10" s="8" t="s">
        <v>5209</v>
      </c>
      <c r="D10" s="8" t="s">
        <v>5264</v>
      </c>
      <c r="E10" s="8" t="s">
        <v>5265</v>
      </c>
      <c r="F10" s="8" t="s">
        <v>5266</v>
      </c>
      <c r="G10" s="8" t="s">
        <v>3115</v>
      </c>
      <c r="H10" s="8" t="s">
        <v>2134</v>
      </c>
      <c r="I10" s="8"/>
      <c r="J10" s="8"/>
      <c r="K10" s="8" t="s">
        <v>620</v>
      </c>
      <c r="L10" s="8" t="s">
        <v>180</v>
      </c>
      <c r="M10" s="8" t="s">
        <v>84</v>
      </c>
      <c r="N10" s="8"/>
      <c r="O10" s="8"/>
      <c r="P10" s="8" t="s">
        <v>465</v>
      </c>
      <c r="Q10" s="8"/>
      <c r="R10" s="8" t="s">
        <v>5214</v>
      </c>
      <c r="S10" s="9">
        <v>44214</v>
      </c>
      <c r="T10" s="9"/>
      <c r="U10" s="9"/>
      <c r="V10" s="8"/>
      <c r="W10" s="8"/>
      <c r="X10" s="8"/>
      <c r="Y10" s="8" t="s">
        <v>5206</v>
      </c>
      <c r="Z10" s="8"/>
      <c r="AA10" s="8"/>
      <c r="AB10" s="8" t="s">
        <v>67</v>
      </c>
      <c r="AC10" s="8" t="s">
        <v>68</v>
      </c>
      <c r="AD10" s="8" t="s">
        <v>68</v>
      </c>
      <c r="AE10" s="8"/>
      <c r="AF10" s="8" t="s">
        <v>4941</v>
      </c>
      <c r="AG10" s="8"/>
      <c r="AH10" s="8"/>
      <c r="AI10" s="8" t="s">
        <v>252</v>
      </c>
      <c r="AJ10" s="8">
        <v>0</v>
      </c>
      <c r="AK10" s="8">
        <v>0</v>
      </c>
      <c r="AL10" s="8"/>
      <c r="AM10" s="8"/>
      <c r="AN10" s="8">
        <v>26</v>
      </c>
      <c r="AO10" s="8">
        <v>2904.81</v>
      </c>
      <c r="AP10" s="8">
        <v>37.347000000000001</v>
      </c>
      <c r="AQ10" s="8"/>
      <c r="AR10" s="8"/>
      <c r="AS10" s="8"/>
      <c r="AT10" s="9"/>
      <c r="AU10" s="8"/>
      <c r="AV10" s="8"/>
      <c r="AW10" s="8"/>
    </row>
    <row r="11" spans="1:49" s="10" customFormat="1" x14ac:dyDescent="0.55000000000000004">
      <c r="A11" s="7">
        <v>8894348</v>
      </c>
      <c r="B11" s="8" t="s">
        <v>5270</v>
      </c>
      <c r="C11" s="8" t="s">
        <v>5209</v>
      </c>
      <c r="D11" s="8" t="s">
        <v>5264</v>
      </c>
      <c r="E11" s="8" t="s">
        <v>5265</v>
      </c>
      <c r="F11" s="8" t="s">
        <v>5266</v>
      </c>
      <c r="G11" s="8" t="s">
        <v>3115</v>
      </c>
      <c r="H11" s="8" t="s">
        <v>2134</v>
      </c>
      <c r="I11" s="8"/>
      <c r="J11" s="8"/>
      <c r="K11" s="8" t="s">
        <v>620</v>
      </c>
      <c r="L11" s="8" t="s">
        <v>180</v>
      </c>
      <c r="M11" s="8" t="s">
        <v>84</v>
      </c>
      <c r="N11" s="8"/>
      <c r="O11" s="8"/>
      <c r="P11" s="8" t="s">
        <v>465</v>
      </c>
      <c r="Q11" s="8"/>
      <c r="R11" s="8" t="s">
        <v>5214</v>
      </c>
      <c r="S11" s="9">
        <v>44214</v>
      </c>
      <c r="T11" s="9"/>
      <c r="U11" s="9"/>
      <c r="V11" s="8"/>
      <c r="W11" s="8"/>
      <c r="X11" s="8"/>
      <c r="Y11" s="8" t="s">
        <v>5206</v>
      </c>
      <c r="Z11" s="8"/>
      <c r="AA11" s="8"/>
      <c r="AB11" s="8" t="s">
        <v>67</v>
      </c>
      <c r="AC11" s="8" t="s">
        <v>68</v>
      </c>
      <c r="AD11" s="8" t="s">
        <v>68</v>
      </c>
      <c r="AE11" s="8"/>
      <c r="AF11" s="8" t="s">
        <v>4941</v>
      </c>
      <c r="AG11" s="8"/>
      <c r="AH11" s="8"/>
      <c r="AI11" s="8" t="s">
        <v>252</v>
      </c>
      <c r="AJ11" s="8">
        <v>0</v>
      </c>
      <c r="AK11" s="8">
        <v>0</v>
      </c>
      <c r="AL11" s="8"/>
      <c r="AM11" s="8"/>
      <c r="AN11" s="8">
        <v>26</v>
      </c>
      <c r="AO11" s="8">
        <v>2601.81</v>
      </c>
      <c r="AP11" s="8">
        <v>32.722000000000001</v>
      </c>
      <c r="AQ11" s="8"/>
      <c r="AR11" s="8"/>
      <c r="AS11" s="8"/>
      <c r="AT11" s="9"/>
      <c r="AU11" s="8"/>
      <c r="AV11" s="8"/>
      <c r="AW11" s="8"/>
    </row>
    <row r="12" spans="1:49" s="10" customFormat="1" x14ac:dyDescent="0.55000000000000004">
      <c r="A12" s="7">
        <v>9435379</v>
      </c>
      <c r="B12" s="8" t="s">
        <v>5271</v>
      </c>
      <c r="C12" s="8" t="s">
        <v>5209</v>
      </c>
      <c r="D12" s="8" t="s">
        <v>5264</v>
      </c>
      <c r="E12" s="8" t="s">
        <v>5265</v>
      </c>
      <c r="F12" s="8" t="s">
        <v>5266</v>
      </c>
      <c r="G12" s="8" t="s">
        <v>3115</v>
      </c>
      <c r="H12" s="8" t="s">
        <v>2134</v>
      </c>
      <c r="I12" s="8"/>
      <c r="J12" s="8"/>
      <c r="K12" s="8" t="s">
        <v>620</v>
      </c>
      <c r="L12" s="8" t="s">
        <v>180</v>
      </c>
      <c r="M12" s="8" t="s">
        <v>84</v>
      </c>
      <c r="N12" s="8"/>
      <c r="O12" s="8"/>
      <c r="P12" s="8" t="s">
        <v>465</v>
      </c>
      <c r="Q12" s="8"/>
      <c r="R12" s="8" t="s">
        <v>5214</v>
      </c>
      <c r="S12" s="9">
        <v>44214</v>
      </c>
      <c r="T12" s="9"/>
      <c r="U12" s="9"/>
      <c r="V12" s="8"/>
      <c r="W12" s="8"/>
      <c r="X12" s="8"/>
      <c r="Y12" s="8" t="s">
        <v>5206</v>
      </c>
      <c r="Z12" s="8"/>
      <c r="AA12" s="8"/>
      <c r="AB12" s="8" t="s">
        <v>67</v>
      </c>
      <c r="AC12" s="8" t="s">
        <v>68</v>
      </c>
      <c r="AD12" s="8" t="s">
        <v>68</v>
      </c>
      <c r="AE12" s="8"/>
      <c r="AF12" s="8" t="s">
        <v>4941</v>
      </c>
      <c r="AG12" s="8"/>
      <c r="AH12" s="8"/>
      <c r="AI12" s="8" t="s">
        <v>252</v>
      </c>
      <c r="AJ12" s="8">
        <v>0</v>
      </c>
      <c r="AK12" s="8">
        <v>0</v>
      </c>
      <c r="AL12" s="8"/>
      <c r="AM12" s="8"/>
      <c r="AN12" s="8">
        <v>1</v>
      </c>
      <c r="AO12" s="8">
        <v>2997.34</v>
      </c>
      <c r="AP12" s="8">
        <v>40.142000000000003</v>
      </c>
      <c r="AQ12" s="8"/>
      <c r="AR12" s="8"/>
      <c r="AS12" s="8"/>
      <c r="AT12" s="9"/>
      <c r="AU12" s="8"/>
      <c r="AV12" s="8"/>
      <c r="AW12" s="8"/>
    </row>
    <row r="13" spans="1:49" s="10" customFormat="1" x14ac:dyDescent="0.55000000000000004">
      <c r="A13" s="7">
        <v>8093174</v>
      </c>
      <c r="B13" s="8" t="s">
        <v>5272</v>
      </c>
      <c r="C13" s="8" t="s">
        <v>5209</v>
      </c>
      <c r="D13" s="8" t="s">
        <v>5264</v>
      </c>
      <c r="E13" s="8" t="s">
        <v>5265</v>
      </c>
      <c r="F13" s="8" t="s">
        <v>5266</v>
      </c>
      <c r="G13" s="8" t="s">
        <v>3115</v>
      </c>
      <c r="H13" s="8" t="s">
        <v>2134</v>
      </c>
      <c r="I13" s="8"/>
      <c r="J13" s="8"/>
      <c r="K13" s="8" t="s">
        <v>620</v>
      </c>
      <c r="L13" s="8" t="s">
        <v>180</v>
      </c>
      <c r="M13" s="8" t="s">
        <v>84</v>
      </c>
      <c r="N13" s="8"/>
      <c r="O13" s="8"/>
      <c r="P13" s="8" t="s">
        <v>465</v>
      </c>
      <c r="Q13" s="8"/>
      <c r="R13" s="8" t="s">
        <v>5214</v>
      </c>
      <c r="S13" s="9">
        <v>44214</v>
      </c>
      <c r="T13" s="9"/>
      <c r="U13" s="9"/>
      <c r="V13" s="8"/>
      <c r="W13" s="8"/>
      <c r="X13" s="8"/>
      <c r="Y13" s="8" t="s">
        <v>5206</v>
      </c>
      <c r="Z13" s="8"/>
      <c r="AA13" s="8"/>
      <c r="AB13" s="8" t="s">
        <v>67</v>
      </c>
      <c r="AC13" s="8" t="s">
        <v>68</v>
      </c>
      <c r="AD13" s="8" t="s">
        <v>68</v>
      </c>
      <c r="AE13" s="8"/>
      <c r="AF13" s="8" t="s">
        <v>4941</v>
      </c>
      <c r="AG13" s="8"/>
      <c r="AH13" s="8"/>
      <c r="AI13" s="8" t="s">
        <v>252</v>
      </c>
      <c r="AJ13" s="8">
        <v>0</v>
      </c>
      <c r="AK13" s="8">
        <v>0</v>
      </c>
      <c r="AL13" s="8"/>
      <c r="AM13" s="8"/>
      <c r="AN13" s="8">
        <v>26</v>
      </c>
      <c r="AO13" s="8">
        <v>3022.74</v>
      </c>
      <c r="AP13" s="8">
        <v>43.25</v>
      </c>
      <c r="AQ13" s="8"/>
      <c r="AR13" s="8"/>
      <c r="AS13" s="8"/>
      <c r="AT13" s="9"/>
      <c r="AU13" s="8"/>
      <c r="AV13" s="8"/>
      <c r="AW13" s="8"/>
    </row>
    <row r="14" spans="1:49" s="10" customFormat="1" x14ac:dyDescent="0.55000000000000004">
      <c r="A14" s="7">
        <v>8510455</v>
      </c>
      <c r="B14" s="8" t="s">
        <v>5273</v>
      </c>
      <c r="C14" s="8" t="s">
        <v>5209</v>
      </c>
      <c r="D14" s="8" t="s">
        <v>5264</v>
      </c>
      <c r="E14" s="8" t="s">
        <v>5265</v>
      </c>
      <c r="F14" s="8" t="s">
        <v>5266</v>
      </c>
      <c r="G14" s="8" t="s">
        <v>3115</v>
      </c>
      <c r="H14" s="8" t="s">
        <v>2134</v>
      </c>
      <c r="I14" s="8"/>
      <c r="J14" s="8"/>
      <c r="K14" s="8" t="s">
        <v>620</v>
      </c>
      <c r="L14" s="8" t="s">
        <v>180</v>
      </c>
      <c r="M14" s="8" t="s">
        <v>84</v>
      </c>
      <c r="N14" s="8"/>
      <c r="O14" s="8"/>
      <c r="P14" s="8" t="s">
        <v>465</v>
      </c>
      <c r="Q14" s="8"/>
      <c r="R14" s="8" t="s">
        <v>5214</v>
      </c>
      <c r="S14" s="9">
        <v>44214</v>
      </c>
      <c r="T14" s="9"/>
      <c r="U14" s="9"/>
      <c r="V14" s="8"/>
      <c r="W14" s="8"/>
      <c r="X14" s="8"/>
      <c r="Y14" s="8" t="s">
        <v>5206</v>
      </c>
      <c r="Z14" s="8"/>
      <c r="AA14" s="8"/>
      <c r="AB14" s="8" t="s">
        <v>67</v>
      </c>
      <c r="AC14" s="8" t="s">
        <v>68</v>
      </c>
      <c r="AD14" s="8" t="s">
        <v>68</v>
      </c>
      <c r="AE14" s="8"/>
      <c r="AF14" s="8" t="s">
        <v>4941</v>
      </c>
      <c r="AG14" s="8"/>
      <c r="AH14" s="8"/>
      <c r="AI14" s="8" t="s">
        <v>252</v>
      </c>
      <c r="AJ14" s="8">
        <v>0</v>
      </c>
      <c r="AK14" s="8">
        <v>0</v>
      </c>
      <c r="AL14" s="8"/>
      <c r="AM14" s="8"/>
      <c r="AN14" s="8">
        <v>26</v>
      </c>
      <c r="AO14" s="8">
        <v>3123.89</v>
      </c>
      <c r="AP14" s="8">
        <v>47.668999999999997</v>
      </c>
      <c r="AQ14" s="8"/>
      <c r="AR14" s="8"/>
      <c r="AS14" s="8"/>
      <c r="AT14" s="9"/>
      <c r="AU14" s="8"/>
      <c r="AV14" s="8"/>
      <c r="AW14" s="8"/>
    </row>
    <row r="15" spans="1:49" s="10" customFormat="1" x14ac:dyDescent="0.55000000000000004">
      <c r="A15" s="7">
        <v>9457333</v>
      </c>
      <c r="B15" s="8" t="s">
        <v>5274</v>
      </c>
      <c r="C15" s="8" t="s">
        <v>5209</v>
      </c>
      <c r="D15" s="8" t="s">
        <v>5264</v>
      </c>
      <c r="E15" s="8" t="s">
        <v>5265</v>
      </c>
      <c r="F15" s="8" t="s">
        <v>5266</v>
      </c>
      <c r="G15" s="8" t="s">
        <v>3115</v>
      </c>
      <c r="H15" s="8" t="s">
        <v>2134</v>
      </c>
      <c r="I15" s="8"/>
      <c r="J15" s="8"/>
      <c r="K15" s="8" t="s">
        <v>620</v>
      </c>
      <c r="L15" s="8" t="s">
        <v>180</v>
      </c>
      <c r="M15" s="8" t="s">
        <v>84</v>
      </c>
      <c r="N15" s="8"/>
      <c r="O15" s="8"/>
      <c r="P15" s="8" t="s">
        <v>465</v>
      </c>
      <c r="Q15" s="8"/>
      <c r="R15" s="8" t="s">
        <v>5214</v>
      </c>
      <c r="S15" s="9">
        <v>44214</v>
      </c>
      <c r="T15" s="9"/>
      <c r="U15" s="9"/>
      <c r="V15" s="8"/>
      <c r="W15" s="8"/>
      <c r="X15" s="8"/>
      <c r="Y15" s="8" t="s">
        <v>5206</v>
      </c>
      <c r="Z15" s="8"/>
      <c r="AA15" s="8"/>
      <c r="AB15" s="8" t="s">
        <v>67</v>
      </c>
      <c r="AC15" s="8" t="s">
        <v>68</v>
      </c>
      <c r="AD15" s="8" t="s">
        <v>68</v>
      </c>
      <c r="AE15" s="8"/>
      <c r="AF15" s="8" t="s">
        <v>4941</v>
      </c>
      <c r="AG15" s="8"/>
      <c r="AH15" s="8"/>
      <c r="AI15" s="8" t="s">
        <v>252</v>
      </c>
      <c r="AJ15" s="8">
        <v>0</v>
      </c>
      <c r="AK15" s="8">
        <v>0</v>
      </c>
      <c r="AL15" s="8"/>
      <c r="AM15" s="8"/>
      <c r="AN15" s="8">
        <v>1</v>
      </c>
      <c r="AO15" s="8">
        <v>1030.1099999999999</v>
      </c>
      <c r="AP15" s="8">
        <v>18.274000000000001</v>
      </c>
      <c r="AQ15" s="8"/>
      <c r="AR15" s="8"/>
      <c r="AS15" s="8"/>
      <c r="AT15" s="9"/>
      <c r="AU15" s="8"/>
      <c r="AV15" s="8"/>
      <c r="AW15" s="8"/>
    </row>
    <row r="16" spans="1:49" s="10" customFormat="1" x14ac:dyDescent="0.55000000000000004">
      <c r="A16" s="7">
        <v>8575995</v>
      </c>
      <c r="B16" s="8" t="s">
        <v>5275</v>
      </c>
      <c r="C16" s="8" t="s">
        <v>5209</v>
      </c>
      <c r="D16" s="8" t="s">
        <v>5264</v>
      </c>
      <c r="E16" s="8" t="s">
        <v>5265</v>
      </c>
      <c r="F16" s="8" t="s">
        <v>5266</v>
      </c>
      <c r="G16" s="8" t="s">
        <v>3115</v>
      </c>
      <c r="H16" s="8" t="s">
        <v>2134</v>
      </c>
      <c r="I16" s="8"/>
      <c r="J16" s="8"/>
      <c r="K16" s="8" t="s">
        <v>620</v>
      </c>
      <c r="L16" s="8" t="s">
        <v>180</v>
      </c>
      <c r="M16" s="8" t="s">
        <v>84</v>
      </c>
      <c r="N16" s="8"/>
      <c r="O16" s="8"/>
      <c r="P16" s="8" t="s">
        <v>465</v>
      </c>
      <c r="Q16" s="8"/>
      <c r="R16" s="8" t="s">
        <v>5214</v>
      </c>
      <c r="S16" s="9">
        <v>44214</v>
      </c>
      <c r="T16" s="9"/>
      <c r="U16" s="9"/>
      <c r="V16" s="8"/>
      <c r="W16" s="8"/>
      <c r="X16" s="8"/>
      <c r="Y16" s="8" t="s">
        <v>5206</v>
      </c>
      <c r="Z16" s="8"/>
      <c r="AA16" s="8"/>
      <c r="AB16" s="8" t="s">
        <v>67</v>
      </c>
      <c r="AC16" s="8" t="s">
        <v>68</v>
      </c>
      <c r="AD16" s="8" t="s">
        <v>68</v>
      </c>
      <c r="AE16" s="8"/>
      <c r="AF16" s="8" t="s">
        <v>4941</v>
      </c>
      <c r="AG16" s="8"/>
      <c r="AH16" s="8"/>
      <c r="AI16" s="8" t="s">
        <v>252</v>
      </c>
      <c r="AJ16" s="8">
        <v>0</v>
      </c>
      <c r="AK16" s="8">
        <v>0</v>
      </c>
      <c r="AL16" s="8"/>
      <c r="AM16" s="8"/>
      <c r="AN16" s="8">
        <v>15</v>
      </c>
      <c r="AO16" s="8">
        <v>1489.14</v>
      </c>
      <c r="AP16" s="8">
        <v>21.613</v>
      </c>
      <c r="AQ16" s="8"/>
      <c r="AR16" s="8"/>
      <c r="AS16" s="8"/>
      <c r="AT16" s="9"/>
      <c r="AU16" s="8"/>
      <c r="AV16" s="8"/>
      <c r="AW16" s="8"/>
    </row>
    <row r="17" spans="1:49" s="10" customFormat="1" x14ac:dyDescent="0.55000000000000004">
      <c r="A17" s="7">
        <v>9367631</v>
      </c>
      <c r="B17" s="8" t="s">
        <v>5276</v>
      </c>
      <c r="C17" s="8" t="s">
        <v>5209</v>
      </c>
      <c r="D17" s="8" t="s">
        <v>5264</v>
      </c>
      <c r="E17" s="8" t="s">
        <v>5265</v>
      </c>
      <c r="F17" s="8" t="s">
        <v>5266</v>
      </c>
      <c r="G17" s="8" t="s">
        <v>3115</v>
      </c>
      <c r="H17" s="8" t="s">
        <v>2134</v>
      </c>
      <c r="I17" s="8"/>
      <c r="J17" s="8"/>
      <c r="K17" s="8" t="s">
        <v>620</v>
      </c>
      <c r="L17" s="8" t="s">
        <v>180</v>
      </c>
      <c r="M17" s="8" t="s">
        <v>84</v>
      </c>
      <c r="N17" s="8"/>
      <c r="O17" s="8"/>
      <c r="P17" s="8" t="s">
        <v>465</v>
      </c>
      <c r="Q17" s="8"/>
      <c r="R17" s="8" t="s">
        <v>5214</v>
      </c>
      <c r="S17" s="9">
        <v>44214</v>
      </c>
      <c r="T17" s="9"/>
      <c r="U17" s="9"/>
      <c r="V17" s="8"/>
      <c r="W17" s="8"/>
      <c r="X17" s="8"/>
      <c r="Y17" s="8" t="s">
        <v>5206</v>
      </c>
      <c r="Z17" s="8"/>
      <c r="AA17" s="8"/>
      <c r="AB17" s="8" t="s">
        <v>67</v>
      </c>
      <c r="AC17" s="8" t="s">
        <v>68</v>
      </c>
      <c r="AD17" s="8" t="s">
        <v>68</v>
      </c>
      <c r="AE17" s="8"/>
      <c r="AF17" s="8" t="s">
        <v>4941</v>
      </c>
      <c r="AG17" s="8"/>
      <c r="AH17" s="8"/>
      <c r="AI17" s="8" t="s">
        <v>252</v>
      </c>
      <c r="AJ17" s="8">
        <v>0</v>
      </c>
      <c r="AK17" s="8">
        <v>0</v>
      </c>
      <c r="AL17" s="8"/>
      <c r="AM17" s="8"/>
      <c r="AN17" s="8">
        <v>24</v>
      </c>
      <c r="AO17" s="8">
        <v>2883.03</v>
      </c>
      <c r="AP17" s="8">
        <v>41.122999999999998</v>
      </c>
      <c r="AQ17" s="8"/>
      <c r="AR17" s="8"/>
      <c r="AS17" s="8"/>
      <c r="AT17" s="9"/>
      <c r="AU17" s="8"/>
      <c r="AV17" s="8"/>
      <c r="AW17" s="8"/>
    </row>
    <row r="18" spans="1:49" s="10" customFormat="1" x14ac:dyDescent="0.55000000000000004">
      <c r="A18" s="7">
        <v>9602408</v>
      </c>
      <c r="B18" s="8" t="s">
        <v>5277</v>
      </c>
      <c r="C18" s="8" t="s">
        <v>5209</v>
      </c>
      <c r="D18" s="8" t="s">
        <v>5264</v>
      </c>
      <c r="E18" s="8" t="s">
        <v>5265</v>
      </c>
      <c r="F18" s="8" t="s">
        <v>5266</v>
      </c>
      <c r="G18" s="8" t="s">
        <v>3115</v>
      </c>
      <c r="H18" s="8" t="s">
        <v>2134</v>
      </c>
      <c r="I18" s="8"/>
      <c r="J18" s="8"/>
      <c r="K18" s="8" t="s">
        <v>620</v>
      </c>
      <c r="L18" s="8" t="s">
        <v>180</v>
      </c>
      <c r="M18" s="8" t="s">
        <v>84</v>
      </c>
      <c r="N18" s="8"/>
      <c r="O18" s="8"/>
      <c r="P18" s="8" t="s">
        <v>465</v>
      </c>
      <c r="Q18" s="8"/>
      <c r="R18" s="8" t="s">
        <v>5214</v>
      </c>
      <c r="S18" s="9">
        <v>44214</v>
      </c>
      <c r="T18" s="9"/>
      <c r="U18" s="9"/>
      <c r="V18" s="8"/>
      <c r="W18" s="8"/>
      <c r="X18" s="8"/>
      <c r="Y18" s="8" t="s">
        <v>5206</v>
      </c>
      <c r="Z18" s="8"/>
      <c r="AA18" s="8"/>
      <c r="AB18" s="8" t="s">
        <v>67</v>
      </c>
      <c r="AC18" s="8" t="s">
        <v>68</v>
      </c>
      <c r="AD18" s="8" t="s">
        <v>68</v>
      </c>
      <c r="AE18" s="8"/>
      <c r="AF18" s="8" t="s">
        <v>4941</v>
      </c>
      <c r="AG18" s="8"/>
      <c r="AH18" s="8"/>
      <c r="AI18" s="8" t="s">
        <v>252</v>
      </c>
      <c r="AJ18" s="8">
        <v>0</v>
      </c>
      <c r="AK18" s="8">
        <v>0</v>
      </c>
      <c r="AL18" s="8"/>
      <c r="AM18" s="8"/>
      <c r="AN18" s="8">
        <v>20</v>
      </c>
      <c r="AO18" s="8">
        <v>2622.67</v>
      </c>
      <c r="AP18" s="8">
        <v>36.180999999999997</v>
      </c>
      <c r="AQ18" s="8"/>
      <c r="AR18" s="8"/>
      <c r="AS18" s="8"/>
      <c r="AT18" s="9"/>
      <c r="AU18" s="8"/>
      <c r="AV18" s="8"/>
      <c r="AW18" s="8"/>
    </row>
    <row r="19" spans="1:49" s="10" customFormat="1" x14ac:dyDescent="0.55000000000000004">
      <c r="A19" s="7">
        <v>8759287</v>
      </c>
      <c r="B19" s="8" t="s">
        <v>5278</v>
      </c>
      <c r="C19" s="8" t="s">
        <v>5209</v>
      </c>
      <c r="D19" s="8" t="s">
        <v>5264</v>
      </c>
      <c r="E19" s="8" t="s">
        <v>5265</v>
      </c>
      <c r="F19" s="8" t="s">
        <v>5266</v>
      </c>
      <c r="G19" s="8" t="s">
        <v>3115</v>
      </c>
      <c r="H19" s="8" t="s">
        <v>2134</v>
      </c>
      <c r="I19" s="8"/>
      <c r="J19" s="8"/>
      <c r="K19" s="8" t="s">
        <v>620</v>
      </c>
      <c r="L19" s="8" t="s">
        <v>180</v>
      </c>
      <c r="M19" s="8" t="s">
        <v>84</v>
      </c>
      <c r="N19" s="8"/>
      <c r="O19" s="8"/>
      <c r="P19" s="8" t="s">
        <v>465</v>
      </c>
      <c r="Q19" s="8"/>
      <c r="R19" s="8" t="s">
        <v>5214</v>
      </c>
      <c r="S19" s="9">
        <v>44214</v>
      </c>
      <c r="T19" s="9"/>
      <c r="U19" s="9"/>
      <c r="V19" s="8"/>
      <c r="W19" s="8"/>
      <c r="X19" s="8"/>
      <c r="Y19" s="8" t="s">
        <v>5206</v>
      </c>
      <c r="Z19" s="8"/>
      <c r="AA19" s="8"/>
      <c r="AB19" s="8" t="s">
        <v>67</v>
      </c>
      <c r="AC19" s="8" t="s">
        <v>68</v>
      </c>
      <c r="AD19" s="8" t="s">
        <v>68</v>
      </c>
      <c r="AE19" s="8"/>
      <c r="AF19" s="8" t="s">
        <v>4941</v>
      </c>
      <c r="AG19" s="8"/>
      <c r="AH19" s="8"/>
      <c r="AI19" s="8" t="s">
        <v>252</v>
      </c>
      <c r="AJ19" s="8">
        <v>0</v>
      </c>
      <c r="AK19" s="8">
        <v>0</v>
      </c>
      <c r="AL19" s="8"/>
      <c r="AM19" s="8"/>
      <c r="AN19" s="8">
        <v>27</v>
      </c>
      <c r="AO19" s="8">
        <v>2817.26</v>
      </c>
      <c r="AP19" s="8">
        <v>42.173999999999999</v>
      </c>
      <c r="AQ19" s="8"/>
      <c r="AR19" s="8"/>
      <c r="AS19" s="8"/>
      <c r="AT19" s="9"/>
      <c r="AU19" s="8"/>
      <c r="AV19" s="8"/>
      <c r="AW19" s="8"/>
    </row>
    <row r="20" spans="1:49" s="10" customFormat="1" x14ac:dyDescent="0.55000000000000004">
      <c r="A20" s="7">
        <v>9461484</v>
      </c>
      <c r="B20" s="8" t="s">
        <v>5279</v>
      </c>
      <c r="C20" s="8" t="s">
        <v>5209</v>
      </c>
      <c r="D20" s="8" t="s">
        <v>5264</v>
      </c>
      <c r="E20" s="8" t="s">
        <v>5265</v>
      </c>
      <c r="F20" s="8" t="s">
        <v>5266</v>
      </c>
      <c r="G20" s="8" t="s">
        <v>3115</v>
      </c>
      <c r="H20" s="8" t="s">
        <v>2134</v>
      </c>
      <c r="I20" s="8"/>
      <c r="J20" s="8"/>
      <c r="K20" s="8" t="s">
        <v>620</v>
      </c>
      <c r="L20" s="8" t="s">
        <v>180</v>
      </c>
      <c r="M20" s="8" t="s">
        <v>84</v>
      </c>
      <c r="N20" s="8"/>
      <c r="O20" s="8"/>
      <c r="P20" s="8" t="s">
        <v>465</v>
      </c>
      <c r="Q20" s="8"/>
      <c r="R20" s="8" t="s">
        <v>5214</v>
      </c>
      <c r="S20" s="9">
        <v>44214</v>
      </c>
      <c r="T20" s="9"/>
      <c r="U20" s="9"/>
      <c r="V20" s="8"/>
      <c r="W20" s="8"/>
      <c r="X20" s="8"/>
      <c r="Y20" s="8" t="s">
        <v>5206</v>
      </c>
      <c r="Z20" s="8"/>
      <c r="AA20" s="8"/>
      <c r="AB20" s="8" t="s">
        <v>67</v>
      </c>
      <c r="AC20" s="8" t="s">
        <v>68</v>
      </c>
      <c r="AD20" s="8" t="s">
        <v>68</v>
      </c>
      <c r="AE20" s="8"/>
      <c r="AF20" s="8" t="s">
        <v>4941</v>
      </c>
      <c r="AG20" s="8"/>
      <c r="AH20" s="8"/>
      <c r="AI20" s="8" t="s">
        <v>252</v>
      </c>
      <c r="AJ20" s="8">
        <v>0</v>
      </c>
      <c r="AK20" s="8">
        <v>0</v>
      </c>
      <c r="AL20" s="8"/>
      <c r="AM20" s="8"/>
      <c r="AN20" s="8">
        <v>26</v>
      </c>
      <c r="AO20" s="8">
        <v>2771.45</v>
      </c>
      <c r="AP20" s="8">
        <v>40.247999999999998</v>
      </c>
      <c r="AQ20" s="8"/>
      <c r="AR20" s="8"/>
      <c r="AS20" s="8"/>
      <c r="AT20" s="9"/>
      <c r="AU20" s="8"/>
      <c r="AV20" s="8"/>
      <c r="AW20" s="8"/>
    </row>
    <row r="21" spans="1:49" s="10" customFormat="1" x14ac:dyDescent="0.55000000000000004">
      <c r="A21" s="7">
        <v>8103688</v>
      </c>
      <c r="B21" s="8" t="s">
        <v>5280</v>
      </c>
      <c r="C21" s="8" t="s">
        <v>5209</v>
      </c>
      <c r="D21" s="8" t="s">
        <v>5264</v>
      </c>
      <c r="E21" s="8" t="s">
        <v>5265</v>
      </c>
      <c r="F21" s="8" t="s">
        <v>5266</v>
      </c>
      <c r="G21" s="8" t="s">
        <v>3115</v>
      </c>
      <c r="H21" s="8" t="s">
        <v>2134</v>
      </c>
      <c r="I21" s="8"/>
      <c r="J21" s="8"/>
      <c r="K21" s="8" t="s">
        <v>620</v>
      </c>
      <c r="L21" s="8" t="s">
        <v>180</v>
      </c>
      <c r="M21" s="8" t="s">
        <v>84</v>
      </c>
      <c r="N21" s="8"/>
      <c r="O21" s="8"/>
      <c r="P21" s="8" t="s">
        <v>465</v>
      </c>
      <c r="Q21" s="8"/>
      <c r="R21" s="8" t="s">
        <v>613</v>
      </c>
      <c r="S21" s="9">
        <v>44214</v>
      </c>
      <c r="T21" s="9"/>
      <c r="U21" s="9"/>
      <c r="V21" s="8"/>
      <c r="W21" s="8"/>
      <c r="X21" s="8"/>
      <c r="Y21" s="8" t="s">
        <v>5206</v>
      </c>
      <c r="Z21" s="8"/>
      <c r="AA21" s="8"/>
      <c r="AB21" s="8" t="s">
        <v>67</v>
      </c>
      <c r="AC21" s="8" t="s">
        <v>68</v>
      </c>
      <c r="AD21" s="8" t="s">
        <v>68</v>
      </c>
      <c r="AE21" s="8"/>
      <c r="AF21" s="8" t="s">
        <v>4941</v>
      </c>
      <c r="AG21" s="8"/>
      <c r="AH21" s="8"/>
      <c r="AI21" s="8" t="s">
        <v>252</v>
      </c>
      <c r="AJ21" s="8">
        <v>0</v>
      </c>
      <c r="AK21" s="8">
        <v>0</v>
      </c>
      <c r="AL21" s="8"/>
      <c r="AM21" s="8"/>
      <c r="AN21" s="8">
        <v>7</v>
      </c>
      <c r="AO21" s="8">
        <v>1077.74</v>
      </c>
      <c r="AP21" s="8">
        <v>15.721</v>
      </c>
      <c r="AQ21" s="8"/>
      <c r="AR21" s="8"/>
      <c r="AS21" s="8"/>
      <c r="AT21" s="9"/>
      <c r="AU21" s="8"/>
      <c r="AV21" s="8"/>
      <c r="AW21" s="8"/>
    </row>
    <row r="22" spans="1:49" s="10" customFormat="1" x14ac:dyDescent="0.55000000000000004">
      <c r="A22" s="7">
        <v>9148036</v>
      </c>
      <c r="B22" s="8" t="s">
        <v>5281</v>
      </c>
      <c r="C22" s="8" t="s">
        <v>5209</v>
      </c>
      <c r="D22" s="8" t="s">
        <v>5264</v>
      </c>
      <c r="E22" s="8" t="s">
        <v>5265</v>
      </c>
      <c r="F22" s="8" t="s">
        <v>5266</v>
      </c>
      <c r="G22" s="8" t="s">
        <v>3115</v>
      </c>
      <c r="H22" s="8" t="s">
        <v>2134</v>
      </c>
      <c r="I22" s="8"/>
      <c r="J22" s="8"/>
      <c r="K22" s="8" t="s">
        <v>620</v>
      </c>
      <c r="L22" s="8" t="s">
        <v>180</v>
      </c>
      <c r="M22" s="8" t="s">
        <v>84</v>
      </c>
      <c r="N22" s="8"/>
      <c r="O22" s="8"/>
      <c r="P22" s="8" t="s">
        <v>465</v>
      </c>
      <c r="Q22" s="8"/>
      <c r="R22" s="8" t="s">
        <v>5214</v>
      </c>
      <c r="S22" s="9">
        <v>44214</v>
      </c>
      <c r="T22" s="9"/>
      <c r="U22" s="9"/>
      <c r="V22" s="8"/>
      <c r="W22" s="8"/>
      <c r="X22" s="8"/>
      <c r="Y22" s="8" t="s">
        <v>5206</v>
      </c>
      <c r="Z22" s="8"/>
      <c r="AA22" s="8"/>
      <c r="AB22" s="8" t="s">
        <v>67</v>
      </c>
      <c r="AC22" s="8" t="s">
        <v>68</v>
      </c>
      <c r="AD22" s="8" t="s">
        <v>68</v>
      </c>
      <c r="AE22" s="8"/>
      <c r="AF22" s="8" t="s">
        <v>4941</v>
      </c>
      <c r="AG22" s="8"/>
      <c r="AH22" s="8"/>
      <c r="AI22" s="8" t="s">
        <v>252</v>
      </c>
      <c r="AJ22" s="8">
        <v>0</v>
      </c>
      <c r="AK22" s="8">
        <v>0</v>
      </c>
      <c r="AL22" s="8"/>
      <c r="AM22" s="8"/>
      <c r="AN22" s="8">
        <v>24</v>
      </c>
      <c r="AO22" s="8">
        <v>2763.74</v>
      </c>
      <c r="AP22" s="8">
        <v>41.334000000000003</v>
      </c>
      <c r="AQ22" s="8"/>
      <c r="AR22" s="8"/>
      <c r="AS22" s="8"/>
      <c r="AT22" s="9"/>
      <c r="AU22" s="8"/>
      <c r="AV22" s="8"/>
      <c r="AW22" s="8"/>
    </row>
    <row r="23" spans="1:49" s="10" customFormat="1" x14ac:dyDescent="0.55000000000000004">
      <c r="A23" s="7">
        <v>9767118</v>
      </c>
      <c r="B23" s="8" t="s">
        <v>5282</v>
      </c>
      <c r="C23" s="8" t="s">
        <v>5209</v>
      </c>
      <c r="D23" s="8" t="s">
        <v>5264</v>
      </c>
      <c r="E23" s="8" t="s">
        <v>5265</v>
      </c>
      <c r="F23" s="8" t="s">
        <v>5266</v>
      </c>
      <c r="G23" s="8" t="s">
        <v>3115</v>
      </c>
      <c r="H23" s="8" t="s">
        <v>2134</v>
      </c>
      <c r="I23" s="8"/>
      <c r="J23" s="8"/>
      <c r="K23" s="8" t="s">
        <v>620</v>
      </c>
      <c r="L23" s="8" t="s">
        <v>180</v>
      </c>
      <c r="M23" s="8" t="s">
        <v>84</v>
      </c>
      <c r="N23" s="8"/>
      <c r="O23" s="8"/>
      <c r="P23" s="8" t="s">
        <v>465</v>
      </c>
      <c r="Q23" s="8"/>
      <c r="R23" s="8" t="s">
        <v>5214</v>
      </c>
      <c r="S23" s="9">
        <v>44214</v>
      </c>
      <c r="T23" s="9"/>
      <c r="U23" s="9"/>
      <c r="V23" s="8"/>
      <c r="W23" s="8"/>
      <c r="X23" s="8"/>
      <c r="Y23" s="8" t="s">
        <v>5206</v>
      </c>
      <c r="Z23" s="8"/>
      <c r="AA23" s="8"/>
      <c r="AB23" s="8" t="s">
        <v>67</v>
      </c>
      <c r="AC23" s="8" t="s">
        <v>68</v>
      </c>
      <c r="AD23" s="8" t="s">
        <v>68</v>
      </c>
      <c r="AE23" s="8"/>
      <c r="AF23" s="8" t="s">
        <v>4941</v>
      </c>
      <c r="AG23" s="8"/>
      <c r="AH23" s="8"/>
      <c r="AI23" s="8" t="s">
        <v>252</v>
      </c>
      <c r="AJ23" s="8">
        <v>0</v>
      </c>
      <c r="AK23" s="8">
        <v>0</v>
      </c>
      <c r="AL23" s="8"/>
      <c r="AM23" s="8"/>
      <c r="AN23" s="8">
        <v>0</v>
      </c>
      <c r="AO23" s="8">
        <v>0.44</v>
      </c>
      <c r="AP23" s="8">
        <v>0</v>
      </c>
      <c r="AQ23" s="8"/>
      <c r="AR23" s="8"/>
      <c r="AS23" s="8"/>
      <c r="AT23" s="9"/>
      <c r="AU23" s="8"/>
      <c r="AV23" s="8"/>
      <c r="AW23" s="8"/>
    </row>
  </sheetData>
  <autoFilter ref="A1:AW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1" sqref="H1:H7"/>
    </sheetView>
  </sheetViews>
  <sheetFormatPr defaultRowHeight="14.4" x14ac:dyDescent="0.55000000000000004"/>
  <cols>
    <col min="1" max="1" width="22.41796875" bestFit="1" customWidth="1"/>
    <col min="2" max="2" width="25.7890625" bestFit="1" customWidth="1"/>
    <col min="3" max="3" width="25.05078125" bestFit="1" customWidth="1"/>
  </cols>
  <sheetData>
    <row r="1" spans="1:8" x14ac:dyDescent="0.55000000000000004">
      <c r="A1" s="1" t="s">
        <v>5225</v>
      </c>
      <c r="B1" t="str">
        <f>A1 &amp; " = "</f>
        <v xml:space="preserve">Shipper_id = </v>
      </c>
      <c r="C1" t="str">
        <f>LOWER(B1)</f>
        <v xml:space="preserve">shipper_id = </v>
      </c>
      <c r="F1" s="1" t="s">
        <v>5259</v>
      </c>
      <c r="G1" t="str">
        <f>F1&amp; " = "</f>
        <v xml:space="preserve">Action_taken = </v>
      </c>
      <c r="H1" t="str">
        <f>LOWER(G1)</f>
        <v xml:space="preserve">action_taken = </v>
      </c>
    </row>
    <row r="2" spans="1:8" x14ac:dyDescent="0.55000000000000004">
      <c r="A2" s="1" t="s">
        <v>5226</v>
      </c>
      <c r="B2" t="str">
        <f t="shared" ref="B2:B38" si="0">A2 &amp; " = "</f>
        <v xml:space="preserve">Consignee_id = </v>
      </c>
      <c r="C2" t="str">
        <f t="shared" ref="C2:C38" si="1">LOWER(B2)</f>
        <v xml:space="preserve">consignee_id = </v>
      </c>
      <c r="F2" s="1" t="s">
        <v>43</v>
      </c>
      <c r="G2" t="str">
        <f t="shared" ref="G2:G7" si="2">F2&amp; " = "</f>
        <v xml:space="preserve">Pending/Solved = </v>
      </c>
      <c r="H2" t="str">
        <f t="shared" ref="H2:H7" si="3">LOWER(G2)</f>
        <v xml:space="preserve">pending/solved = </v>
      </c>
    </row>
    <row r="3" spans="1:8" x14ac:dyDescent="0.55000000000000004">
      <c r="A3" s="1" t="s">
        <v>5227</v>
      </c>
      <c r="B3" t="str">
        <f t="shared" si="0"/>
        <v xml:space="preserve">Pickup_city = </v>
      </c>
      <c r="C3" t="str">
        <f t="shared" si="1"/>
        <v xml:space="preserve">pickup_city = </v>
      </c>
      <c r="F3" s="1" t="s">
        <v>5260</v>
      </c>
      <c r="G3" t="str">
        <f t="shared" si="2"/>
        <v xml:space="preserve">Mail_sent_to_IMS/Key-user = </v>
      </c>
      <c r="H3" t="str">
        <f t="shared" si="3"/>
        <v xml:space="preserve">mail_sent_to_ims/key-user = </v>
      </c>
    </row>
    <row r="4" spans="1:8" x14ac:dyDescent="0.55000000000000004">
      <c r="A4" s="1" t="s">
        <v>5228</v>
      </c>
      <c r="B4" t="str">
        <f t="shared" si="0"/>
        <v xml:space="preserve">Pickup_country = </v>
      </c>
      <c r="C4" t="str">
        <f t="shared" si="1"/>
        <v xml:space="preserve">pickup_country = </v>
      </c>
      <c r="F4" s="1" t="s">
        <v>5261</v>
      </c>
      <c r="G4" t="str">
        <f t="shared" si="2"/>
        <v xml:space="preserve">Date_of_email = </v>
      </c>
      <c r="H4" t="str">
        <f t="shared" si="3"/>
        <v xml:space="preserve">date_of_email = </v>
      </c>
    </row>
    <row r="5" spans="1:8" x14ac:dyDescent="0.55000000000000004">
      <c r="A5" s="1" t="s">
        <v>5229</v>
      </c>
      <c r="B5" t="str">
        <f t="shared" si="0"/>
        <v xml:space="preserve">Port_of_loading = </v>
      </c>
      <c r="C5" t="str">
        <f t="shared" si="1"/>
        <v xml:space="preserve">port_of_loading = </v>
      </c>
      <c r="F5" s="1" t="s">
        <v>5262</v>
      </c>
      <c r="G5" t="str">
        <f t="shared" si="2"/>
        <v xml:space="preserve">Email_subject = </v>
      </c>
      <c r="H5" t="str">
        <f t="shared" si="3"/>
        <v xml:space="preserve">email_subject = </v>
      </c>
    </row>
    <row r="6" spans="1:8" x14ac:dyDescent="0.55000000000000004">
      <c r="A6" s="1" t="s">
        <v>5230</v>
      </c>
      <c r="B6" t="str">
        <f t="shared" si="0"/>
        <v xml:space="preserve">Port_of_discharge = </v>
      </c>
      <c r="C6" t="str">
        <f t="shared" si="1"/>
        <v xml:space="preserve">port_of_discharge = </v>
      </c>
      <c r="F6" s="1" t="s">
        <v>5263</v>
      </c>
      <c r="G6" t="str">
        <f t="shared" si="2"/>
        <v xml:space="preserve">Delay_in_answer = </v>
      </c>
      <c r="H6" t="str">
        <f t="shared" si="3"/>
        <v xml:space="preserve">delay_in_answer = </v>
      </c>
    </row>
    <row r="7" spans="1:8" x14ac:dyDescent="0.55000000000000004">
      <c r="A7" s="1" t="s">
        <v>5231</v>
      </c>
      <c r="B7" t="str">
        <f t="shared" si="0"/>
        <v xml:space="preserve">Delivery_city = </v>
      </c>
      <c r="C7" t="str">
        <f t="shared" si="1"/>
        <v xml:space="preserve">delivery_city = </v>
      </c>
      <c r="F7" s="1" t="s">
        <v>48</v>
      </c>
      <c r="G7" t="str">
        <f t="shared" si="2"/>
        <v xml:space="preserve">Comments = </v>
      </c>
      <c r="H7" t="str">
        <f t="shared" si="3"/>
        <v xml:space="preserve">comments = </v>
      </c>
    </row>
    <row r="8" spans="1:8" x14ac:dyDescent="0.55000000000000004">
      <c r="A8" s="1" t="s">
        <v>5232</v>
      </c>
      <c r="B8" t="str">
        <f t="shared" si="0"/>
        <v xml:space="preserve">Delivery_country = </v>
      </c>
      <c r="C8" t="str">
        <f t="shared" si="1"/>
        <v xml:space="preserve">delivery_country = </v>
      </c>
    </row>
    <row r="9" spans="1:8" x14ac:dyDescent="0.55000000000000004">
      <c r="A9" s="1" t="s">
        <v>5233</v>
      </c>
      <c r="B9" t="str">
        <f t="shared" si="0"/>
        <v xml:space="preserve">Del_terms = </v>
      </c>
      <c r="C9" t="str">
        <f t="shared" si="1"/>
        <v xml:space="preserve">del_terms = </v>
      </c>
    </row>
    <row r="10" spans="1:8" x14ac:dyDescent="0.55000000000000004">
      <c r="A10" s="1" t="s">
        <v>5234</v>
      </c>
      <c r="B10" t="str">
        <f t="shared" si="0"/>
        <v xml:space="preserve">Container_number = </v>
      </c>
      <c r="C10" t="str">
        <f t="shared" si="1"/>
        <v xml:space="preserve">container_number = </v>
      </c>
    </row>
    <row r="11" spans="1:8" x14ac:dyDescent="0.55000000000000004">
      <c r="A11" s="1" t="s">
        <v>5235</v>
      </c>
      <c r="B11" t="str">
        <f t="shared" si="0"/>
        <v xml:space="preserve">Bill_of_lading = </v>
      </c>
      <c r="C11" t="str">
        <f t="shared" si="1"/>
        <v xml:space="preserve">bill_of_lading = </v>
      </c>
    </row>
    <row r="12" spans="1:8" x14ac:dyDescent="0.55000000000000004">
      <c r="A12" s="1" t="s">
        <v>5236</v>
      </c>
      <c r="B12" t="str">
        <f t="shared" si="0"/>
        <v xml:space="preserve">Pickup_ZIP_code = </v>
      </c>
      <c r="C12" t="str">
        <f t="shared" si="1"/>
        <v xml:space="preserve">pickup_zip_code = </v>
      </c>
    </row>
    <row r="13" spans="1:8" x14ac:dyDescent="0.55000000000000004">
      <c r="A13" s="1" t="s">
        <v>16</v>
      </c>
      <c r="B13" t="str">
        <f t="shared" si="0"/>
        <v xml:space="preserve">HAWB = </v>
      </c>
      <c r="C13" t="str">
        <f t="shared" si="1"/>
        <v xml:space="preserve">hawb = </v>
      </c>
    </row>
    <row r="14" spans="1:8" x14ac:dyDescent="0.55000000000000004">
      <c r="A14" s="1" t="s">
        <v>5237</v>
      </c>
      <c r="B14" t="str">
        <f t="shared" si="0"/>
        <v xml:space="preserve">Delivery_ZIP_code = </v>
      </c>
      <c r="C14" t="str">
        <f t="shared" si="1"/>
        <v xml:space="preserve">delivery_zip_code = </v>
      </c>
    </row>
    <row r="15" spans="1:8" x14ac:dyDescent="0.55000000000000004">
      <c r="A15" s="1" t="s">
        <v>5238</v>
      </c>
      <c r="B15" t="str">
        <f t="shared" si="0"/>
        <v xml:space="preserve">Booking_date = </v>
      </c>
      <c r="C15" t="str">
        <f t="shared" si="1"/>
        <v xml:space="preserve">booking_date = </v>
      </c>
    </row>
    <row r="16" spans="1:8" x14ac:dyDescent="0.55000000000000004">
      <c r="A16" s="1" t="s">
        <v>5239</v>
      </c>
      <c r="B16" t="str">
        <f t="shared" si="0"/>
        <v xml:space="preserve">Leg_1_Pickup_Planned = </v>
      </c>
      <c r="C16" t="str">
        <f t="shared" si="1"/>
        <v xml:space="preserve">leg_1_pickup_planned = </v>
      </c>
    </row>
    <row r="17" spans="1:3" x14ac:dyDescent="0.55000000000000004">
      <c r="A17" s="1" t="s">
        <v>5240</v>
      </c>
      <c r="B17" t="str">
        <f t="shared" si="0"/>
        <v xml:space="preserve">Leg_1_Pickup_Actual = </v>
      </c>
      <c r="C17" t="str">
        <f t="shared" si="1"/>
        <v xml:space="preserve">leg_1_pickup_actual = </v>
      </c>
    </row>
    <row r="18" spans="1:3" x14ac:dyDescent="0.55000000000000004">
      <c r="A18" s="1" t="s">
        <v>5241</v>
      </c>
      <c r="B18" t="str">
        <f t="shared" si="0"/>
        <v xml:space="preserve">Leg_2_Pickup_Planned = </v>
      </c>
      <c r="C18" t="str">
        <f t="shared" si="1"/>
        <v xml:space="preserve">leg_2_pickup_planned = </v>
      </c>
    </row>
    <row r="19" spans="1:3" x14ac:dyDescent="0.55000000000000004">
      <c r="A19" s="1" t="s">
        <v>5242</v>
      </c>
      <c r="B19" t="str">
        <f t="shared" si="0"/>
        <v xml:space="preserve">Leg_2_Pickup_Actual = </v>
      </c>
      <c r="C19" t="str">
        <f t="shared" si="1"/>
        <v xml:space="preserve">leg_2_pickup_actual = </v>
      </c>
    </row>
    <row r="20" spans="1:3" x14ac:dyDescent="0.55000000000000004">
      <c r="A20" s="1" t="s">
        <v>5243</v>
      </c>
      <c r="B20" t="str">
        <f t="shared" si="0"/>
        <v xml:space="preserve">Leg_3_Delivery_Actual = </v>
      </c>
      <c r="C20" t="str">
        <f t="shared" si="1"/>
        <v xml:space="preserve">leg_3_delivery_actual = </v>
      </c>
    </row>
    <row r="21" spans="1:3" x14ac:dyDescent="0.55000000000000004">
      <c r="A21" s="1" t="s">
        <v>5244</v>
      </c>
      <c r="B21" t="str">
        <f t="shared" si="0"/>
        <v xml:space="preserve">Leg_1_Carrier_Name = </v>
      </c>
      <c r="C21" t="str">
        <f t="shared" si="1"/>
        <v xml:space="preserve">leg_1_carrier_name = </v>
      </c>
    </row>
    <row r="22" spans="1:3" x14ac:dyDescent="0.55000000000000004">
      <c r="A22" s="1" t="s">
        <v>5245</v>
      </c>
      <c r="B22" t="str">
        <f t="shared" si="0"/>
        <v xml:space="preserve">Leg_2_Carrier_Name = </v>
      </c>
      <c r="C22" t="str">
        <f t="shared" si="1"/>
        <v xml:space="preserve">leg_2_carrier_name = </v>
      </c>
    </row>
    <row r="23" spans="1:3" x14ac:dyDescent="0.55000000000000004">
      <c r="A23" s="1" t="s">
        <v>5246</v>
      </c>
      <c r="B23" t="str">
        <f t="shared" si="0"/>
        <v xml:space="preserve">Leg_3_Carrier_Name = </v>
      </c>
      <c r="C23" t="str">
        <f t="shared" si="1"/>
        <v xml:space="preserve">leg_3_carrier_name = </v>
      </c>
    </row>
    <row r="24" spans="1:3" x14ac:dyDescent="0.55000000000000004">
      <c r="A24" s="1" t="s">
        <v>5247</v>
      </c>
      <c r="B24" t="str">
        <f t="shared" si="0"/>
        <v xml:space="preserve">Billable_Indicator_Leg_1 = </v>
      </c>
      <c r="C24" t="str">
        <f t="shared" si="1"/>
        <v xml:space="preserve">billable_indicator_leg_1 = </v>
      </c>
    </row>
    <row r="25" spans="1:3" x14ac:dyDescent="0.55000000000000004">
      <c r="A25" s="1" t="s">
        <v>5248</v>
      </c>
      <c r="B25" t="str">
        <f t="shared" si="0"/>
        <v xml:space="preserve">Billable_Indicator_Leg_2 = </v>
      </c>
      <c r="C25" t="str">
        <f t="shared" si="1"/>
        <v xml:space="preserve">billable_indicator_leg_2 = </v>
      </c>
    </row>
    <row r="26" spans="1:3" x14ac:dyDescent="0.55000000000000004">
      <c r="A26" s="1" t="s">
        <v>5249</v>
      </c>
      <c r="B26" t="str">
        <f t="shared" si="0"/>
        <v xml:space="preserve">Billable_Indicator_Leg_3 = </v>
      </c>
      <c r="C26" t="str">
        <f t="shared" si="1"/>
        <v xml:space="preserve">billable_indicator_leg_3 = </v>
      </c>
    </row>
    <row r="27" spans="1:3" x14ac:dyDescent="0.55000000000000004">
      <c r="A27" s="1" t="s">
        <v>5250</v>
      </c>
      <c r="B27" t="str">
        <f t="shared" si="0"/>
        <v xml:space="preserve">Container_type = </v>
      </c>
      <c r="C27" t="str">
        <f t="shared" si="1"/>
        <v xml:space="preserve">container_type = </v>
      </c>
    </row>
    <row r="28" spans="1:3" x14ac:dyDescent="0.55000000000000004">
      <c r="A28" s="1" t="s">
        <v>5251</v>
      </c>
      <c r="B28" t="str">
        <f t="shared" si="0"/>
        <v xml:space="preserve">Leg_1_Transport_Mode = </v>
      </c>
      <c r="C28" t="str">
        <f t="shared" si="1"/>
        <v xml:space="preserve">leg_1_transport_mode = </v>
      </c>
    </row>
    <row r="29" spans="1:3" x14ac:dyDescent="0.55000000000000004">
      <c r="A29" s="1" t="s">
        <v>5252</v>
      </c>
      <c r="B29" t="str">
        <f t="shared" si="0"/>
        <v xml:space="preserve">Leg_2_Transport_Mode = </v>
      </c>
      <c r="C29" t="str">
        <f t="shared" si="1"/>
        <v xml:space="preserve">leg_2_transport_mode = </v>
      </c>
    </row>
    <row r="30" spans="1:3" x14ac:dyDescent="0.55000000000000004">
      <c r="A30" s="1" t="s">
        <v>5253</v>
      </c>
      <c r="B30" t="str">
        <f t="shared" si="0"/>
        <v xml:space="preserve">Leg_3_Transport_Mode = </v>
      </c>
      <c r="C30" t="str">
        <f t="shared" si="1"/>
        <v xml:space="preserve">leg_3_transport_mode = </v>
      </c>
    </row>
    <row r="31" spans="1:3" x14ac:dyDescent="0.55000000000000004">
      <c r="A31" s="1" t="s">
        <v>5254</v>
      </c>
      <c r="B31" t="str">
        <f t="shared" si="0"/>
        <v xml:space="preserve">Domain_Code = </v>
      </c>
      <c r="C31" t="str">
        <f t="shared" si="1"/>
        <v xml:space="preserve">domain_code = </v>
      </c>
    </row>
    <row r="32" spans="1:3" x14ac:dyDescent="0.55000000000000004">
      <c r="A32" s="1" t="s">
        <v>5255</v>
      </c>
      <c r="B32" t="str">
        <f t="shared" si="0"/>
        <v xml:space="preserve">Total_costs_Sales = </v>
      </c>
      <c r="C32" t="str">
        <f t="shared" si="1"/>
        <v xml:space="preserve">total_costs_sales = </v>
      </c>
    </row>
    <row r="33" spans="1:3" x14ac:dyDescent="0.55000000000000004">
      <c r="A33" s="1" t="s">
        <v>5256</v>
      </c>
      <c r="B33" t="str">
        <f t="shared" si="0"/>
        <v xml:space="preserve">Leg_1,_Total_costs_Purchase = </v>
      </c>
      <c r="C33" t="str">
        <f t="shared" si="1"/>
        <v xml:space="preserve">leg_1,_total_costs_purchase = </v>
      </c>
    </row>
    <row r="34" spans="1:3" x14ac:dyDescent="0.55000000000000004">
      <c r="A34" s="1" t="s">
        <v>5257</v>
      </c>
      <c r="B34" t="str">
        <f t="shared" si="0"/>
        <v xml:space="preserve">Leg_2,_Total_costs_Purchase = </v>
      </c>
      <c r="C34" t="str">
        <f t="shared" si="1"/>
        <v xml:space="preserve">leg_2,_total_costs_purchase = </v>
      </c>
    </row>
    <row r="35" spans="1:3" x14ac:dyDescent="0.55000000000000004">
      <c r="A35" s="1" t="s">
        <v>5258</v>
      </c>
      <c r="B35" t="str">
        <f t="shared" si="0"/>
        <v xml:space="preserve">Leg_3,_Total_costs_Purchase = </v>
      </c>
      <c r="C35" t="str">
        <f t="shared" si="1"/>
        <v xml:space="preserve">leg_3,_total_costs_purchase = </v>
      </c>
    </row>
    <row r="36" spans="1:3" x14ac:dyDescent="0.55000000000000004">
      <c r="A36" s="1" t="s">
        <v>39</v>
      </c>
      <c r="B36" t="str">
        <f t="shared" si="0"/>
        <v xml:space="preserve">Pallets = </v>
      </c>
      <c r="C36" t="str">
        <f t="shared" si="1"/>
        <v xml:space="preserve">pallets = </v>
      </c>
    </row>
    <row r="37" spans="1:3" x14ac:dyDescent="0.55000000000000004">
      <c r="A37" s="1" t="s">
        <v>40</v>
      </c>
      <c r="B37" t="str">
        <f t="shared" si="0"/>
        <v xml:space="preserve">Weight = </v>
      </c>
      <c r="C37" t="str">
        <f t="shared" si="1"/>
        <v xml:space="preserve">weight = </v>
      </c>
    </row>
    <row r="38" spans="1:3" x14ac:dyDescent="0.55000000000000004">
      <c r="A38" s="1" t="s">
        <v>41</v>
      </c>
      <c r="B38" t="str">
        <f t="shared" si="0"/>
        <v xml:space="preserve">Volume = </v>
      </c>
      <c r="C38" t="str">
        <f t="shared" si="1"/>
        <v xml:space="preserve">volume =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FCL rates</vt:lpstr>
      <vt:lpstr>LCL rates</vt:lpstr>
      <vt:lpstr>AIR rates</vt:lpstr>
      <vt:lpstr>EU ROAD rates</vt:lpstr>
      <vt:lpstr>US ROAD rates</vt:lpstr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2020-11-27T15:17:07Z</dcterms:created>
  <dcterms:modified xsi:type="dcterms:W3CDTF">2021-01-19T11:29:47Z</dcterms:modified>
</cp:coreProperties>
</file>