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esktop\Models\"/>
    </mc:Choice>
  </mc:AlternateContent>
  <xr:revisionPtr revIDLastSave="0" documentId="13_ncr:1_{DC501436-5945-4826-B26B-A14AE8F6F384}" xr6:coauthVersionLast="47" xr6:coauthVersionMax="47" xr10:uidLastSave="{00000000-0000-0000-0000-000000000000}"/>
  <bookViews>
    <workbookView xWindow="25695" yWindow="0" windowWidth="26010" windowHeight="20985" xr2:uid="{2CD9DA8E-1EFA-4509-82B5-9BD5380C0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0" i="1"/>
  <c r="BD10" i="1"/>
  <c r="BE10" i="1" s="1"/>
  <c r="BE101" i="1"/>
  <c r="BE100" i="1"/>
  <c r="BE99" i="1"/>
  <c r="BE97" i="1"/>
  <c r="BE96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2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5" i="1"/>
  <c r="BE44" i="1"/>
  <c r="BE43" i="1"/>
  <c r="BE42" i="1"/>
  <c r="BE41" i="1"/>
  <c r="BE40" i="1"/>
  <c r="BE39" i="1"/>
  <c r="BE37" i="1"/>
  <c r="BE36" i="1"/>
  <c r="BE34" i="1"/>
  <c r="BE23" i="1"/>
  <c r="BE15" i="1"/>
  <c r="BE14" i="1"/>
  <c r="BE13" i="1"/>
  <c r="BE11" i="1"/>
  <c r="BD101" i="1"/>
  <c r="BD100" i="1"/>
  <c r="BD99" i="1"/>
  <c r="BD97" i="1"/>
  <c r="BD96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2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5" i="1"/>
  <c r="BD44" i="1"/>
  <c r="BD43" i="1"/>
  <c r="BD42" i="1"/>
  <c r="BD41" i="1"/>
  <c r="BD40" i="1"/>
  <c r="BD39" i="1"/>
  <c r="BD37" i="1"/>
  <c r="BD36" i="1"/>
  <c r="BD34" i="1"/>
  <c r="BD23" i="1"/>
  <c r="BD15" i="1"/>
  <c r="BD14" i="1"/>
  <c r="BD13" i="1"/>
  <c r="BD12" i="1"/>
  <c r="BE12" i="1" s="1"/>
  <c r="BD11" i="1"/>
  <c r="S86" i="1" l="1"/>
  <c r="S52" i="1"/>
  <c r="S49" i="1"/>
  <c r="S40" i="1"/>
  <c r="S39" i="1"/>
  <c r="S29" i="1"/>
  <c r="R10" i="1"/>
  <c r="R12" i="1"/>
  <c r="S5" i="1"/>
  <c r="T11" i="1"/>
  <c r="U11" i="1" s="1"/>
  <c r="V11" i="1" s="1"/>
  <c r="W11" i="1" s="1"/>
  <c r="E4" i="2"/>
  <c r="F4" i="2" s="1"/>
  <c r="G4" i="2" s="1"/>
  <c r="H4" i="2" s="1"/>
  <c r="I4" i="2" s="1"/>
  <c r="D4" i="2"/>
  <c r="F147" i="1"/>
  <c r="Q194" i="1"/>
  <c r="P194" i="1"/>
  <c r="O194" i="1"/>
  <c r="N194" i="1"/>
  <c r="M194" i="1"/>
  <c r="L194" i="1"/>
  <c r="K194" i="1"/>
  <c r="J194" i="1"/>
  <c r="I194" i="1"/>
  <c r="H194" i="1"/>
  <c r="G194" i="1"/>
  <c r="E194" i="1"/>
  <c r="D194" i="1"/>
  <c r="C194" i="1"/>
  <c r="F180" i="1"/>
  <c r="F179" i="1"/>
  <c r="E158" i="1"/>
  <c r="D147" i="1"/>
  <c r="L149" i="1"/>
  <c r="M149" i="1"/>
  <c r="N149" i="1" s="1"/>
  <c r="H149" i="1"/>
  <c r="I149" i="1" s="1"/>
  <c r="J149" i="1" s="1"/>
  <c r="D149" i="1"/>
  <c r="E149" i="1" s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S180" i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S179" i="1"/>
  <c r="T178" i="1"/>
  <c r="U178" i="1" s="1"/>
  <c r="V178" i="1" s="1"/>
  <c r="W178" i="1" s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S178" i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S128" i="1"/>
  <c r="U127" i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T127" i="1"/>
  <c r="S127" i="1"/>
  <c r="F149" i="1" l="1"/>
  <c r="AU128" i="1" l="1"/>
  <c r="AT128" i="1"/>
  <c r="AT130" i="1" s="1"/>
  <c r="AT140" i="1" s="1"/>
  <c r="AS128" i="1"/>
  <c r="AS130" i="1" s="1"/>
  <c r="AS140" i="1" s="1"/>
  <c r="AR128" i="1"/>
  <c r="AR130" i="1" s="1"/>
  <c r="BA136" i="1"/>
  <c r="AZ136" i="1"/>
  <c r="AY136" i="1"/>
  <c r="AX136" i="1"/>
  <c r="AW136" i="1"/>
  <c r="AV136" i="1"/>
  <c r="AU136" i="1"/>
  <c r="AT136" i="1"/>
  <c r="AS136" i="1"/>
  <c r="AR136" i="1"/>
  <c r="AR139" i="1"/>
  <c r="BA191" i="1"/>
  <c r="AZ191" i="1"/>
  <c r="AY191" i="1"/>
  <c r="AX191" i="1"/>
  <c r="AW191" i="1"/>
  <c r="AV191" i="1"/>
  <c r="AU191" i="1"/>
  <c r="AT191" i="1"/>
  <c r="AS191" i="1"/>
  <c r="AR191" i="1"/>
  <c r="BA190" i="1"/>
  <c r="AZ190" i="1"/>
  <c r="AY190" i="1"/>
  <c r="AX190" i="1"/>
  <c r="AW190" i="1"/>
  <c r="AV190" i="1"/>
  <c r="AU190" i="1"/>
  <c r="AT190" i="1"/>
  <c r="AS190" i="1"/>
  <c r="AR190" i="1"/>
  <c r="BA184" i="1"/>
  <c r="AZ184" i="1"/>
  <c r="AU184" i="1"/>
  <c r="AT184" i="1"/>
  <c r="AS184" i="1"/>
  <c r="BA183" i="1"/>
  <c r="AZ183" i="1"/>
  <c r="AY183" i="1"/>
  <c r="AX183" i="1"/>
  <c r="AW183" i="1"/>
  <c r="AV183" i="1"/>
  <c r="AU183" i="1"/>
  <c r="AT183" i="1"/>
  <c r="AS183" i="1"/>
  <c r="AR183" i="1"/>
  <c r="BA182" i="1"/>
  <c r="AZ182" i="1"/>
  <c r="AY182" i="1"/>
  <c r="AX182" i="1"/>
  <c r="AW182" i="1"/>
  <c r="AV182" i="1"/>
  <c r="AU182" i="1"/>
  <c r="AT182" i="1"/>
  <c r="AS182" i="1"/>
  <c r="AR182" i="1"/>
  <c r="BA181" i="1"/>
  <c r="AZ181" i="1"/>
  <c r="AY181" i="1"/>
  <c r="AX181" i="1"/>
  <c r="AW181" i="1"/>
  <c r="AV181" i="1"/>
  <c r="AU181" i="1"/>
  <c r="AT181" i="1"/>
  <c r="AS181" i="1"/>
  <c r="AR181" i="1"/>
  <c r="BA180" i="1"/>
  <c r="AZ180" i="1"/>
  <c r="AY180" i="1"/>
  <c r="AX180" i="1"/>
  <c r="AW180" i="1"/>
  <c r="AV180" i="1"/>
  <c r="AU180" i="1"/>
  <c r="AT180" i="1"/>
  <c r="AS180" i="1"/>
  <c r="AR180" i="1"/>
  <c r="BA179" i="1"/>
  <c r="AZ179" i="1"/>
  <c r="AY179" i="1"/>
  <c r="AX179" i="1"/>
  <c r="AW179" i="1"/>
  <c r="AV179" i="1"/>
  <c r="AU179" i="1"/>
  <c r="AT179" i="1"/>
  <c r="AS179" i="1"/>
  <c r="AR179" i="1"/>
  <c r="BA178" i="1"/>
  <c r="AZ178" i="1"/>
  <c r="AY178" i="1"/>
  <c r="AX178" i="1"/>
  <c r="AW178" i="1"/>
  <c r="AV178" i="1"/>
  <c r="AU178" i="1"/>
  <c r="AT178" i="1"/>
  <c r="AS178" i="1"/>
  <c r="AR178" i="1"/>
  <c r="BA177" i="1"/>
  <c r="AZ177" i="1"/>
  <c r="AY177" i="1"/>
  <c r="AX177" i="1"/>
  <c r="AW177" i="1"/>
  <c r="AV177" i="1"/>
  <c r="AU177" i="1"/>
  <c r="AT177" i="1"/>
  <c r="AS177" i="1"/>
  <c r="AR177" i="1"/>
  <c r="BA176" i="1"/>
  <c r="AZ176" i="1"/>
  <c r="AY176" i="1"/>
  <c r="AX176" i="1"/>
  <c r="AW176" i="1"/>
  <c r="AV176" i="1"/>
  <c r="AU176" i="1"/>
  <c r="AT176" i="1"/>
  <c r="AS176" i="1"/>
  <c r="AR176" i="1"/>
  <c r="BA173" i="1"/>
  <c r="AZ173" i="1"/>
  <c r="AY173" i="1"/>
  <c r="AX173" i="1"/>
  <c r="AW173" i="1"/>
  <c r="AV173" i="1"/>
  <c r="AU173" i="1"/>
  <c r="AT173" i="1"/>
  <c r="AS173" i="1"/>
  <c r="AR173" i="1"/>
  <c r="BA172" i="1"/>
  <c r="AZ172" i="1"/>
  <c r="AY172" i="1"/>
  <c r="AX172" i="1"/>
  <c r="AW172" i="1"/>
  <c r="AV172" i="1"/>
  <c r="AU172" i="1"/>
  <c r="AT172" i="1"/>
  <c r="AS172" i="1"/>
  <c r="AR172" i="1"/>
  <c r="BA171" i="1"/>
  <c r="AZ171" i="1"/>
  <c r="AY171" i="1"/>
  <c r="AX171" i="1"/>
  <c r="AW171" i="1"/>
  <c r="AV171" i="1"/>
  <c r="AU171" i="1"/>
  <c r="AT171" i="1"/>
  <c r="AS171" i="1"/>
  <c r="AR171" i="1"/>
  <c r="BA170" i="1"/>
  <c r="AZ170" i="1"/>
  <c r="AY170" i="1"/>
  <c r="AX170" i="1"/>
  <c r="AW170" i="1"/>
  <c r="AV170" i="1"/>
  <c r="AU170" i="1"/>
  <c r="AT170" i="1"/>
  <c r="AS170" i="1"/>
  <c r="AR170" i="1"/>
  <c r="BA169" i="1"/>
  <c r="AZ169" i="1"/>
  <c r="AY169" i="1"/>
  <c r="AX169" i="1"/>
  <c r="AW169" i="1"/>
  <c r="AV169" i="1"/>
  <c r="AU169" i="1"/>
  <c r="AT169" i="1"/>
  <c r="AS169" i="1"/>
  <c r="AR169" i="1"/>
  <c r="BA168" i="1"/>
  <c r="AZ168" i="1"/>
  <c r="AY168" i="1"/>
  <c r="AX168" i="1"/>
  <c r="AW168" i="1"/>
  <c r="AV168" i="1"/>
  <c r="AU168" i="1"/>
  <c r="AT168" i="1"/>
  <c r="AS168" i="1"/>
  <c r="AR168" i="1"/>
  <c r="BA167" i="1"/>
  <c r="AZ167" i="1"/>
  <c r="AY167" i="1"/>
  <c r="AX167" i="1"/>
  <c r="AW167" i="1"/>
  <c r="AV167" i="1"/>
  <c r="AU167" i="1"/>
  <c r="AT167" i="1"/>
  <c r="AS167" i="1"/>
  <c r="AR167" i="1"/>
  <c r="BA166" i="1"/>
  <c r="AZ166" i="1"/>
  <c r="AY166" i="1"/>
  <c r="AX166" i="1"/>
  <c r="AW166" i="1"/>
  <c r="AV166" i="1"/>
  <c r="AU166" i="1"/>
  <c r="AT166" i="1"/>
  <c r="AS166" i="1"/>
  <c r="AR166" i="1"/>
  <c r="BA165" i="1"/>
  <c r="AZ165" i="1"/>
  <c r="AY165" i="1"/>
  <c r="AX165" i="1"/>
  <c r="AW165" i="1"/>
  <c r="AV165" i="1"/>
  <c r="AU165" i="1"/>
  <c r="AT165" i="1"/>
  <c r="AS165" i="1"/>
  <c r="AR165" i="1"/>
  <c r="BA161" i="1"/>
  <c r="AZ161" i="1"/>
  <c r="AY161" i="1"/>
  <c r="AX161" i="1"/>
  <c r="AW161" i="1"/>
  <c r="AV161" i="1"/>
  <c r="AU161" i="1"/>
  <c r="AT161" i="1"/>
  <c r="AS161" i="1"/>
  <c r="AR161" i="1"/>
  <c r="BA160" i="1"/>
  <c r="AZ160" i="1"/>
  <c r="AY160" i="1"/>
  <c r="AX160" i="1"/>
  <c r="AW160" i="1"/>
  <c r="AV160" i="1"/>
  <c r="AU160" i="1"/>
  <c r="AT160" i="1"/>
  <c r="AS160" i="1"/>
  <c r="AR160" i="1"/>
  <c r="BA159" i="1"/>
  <c r="AZ159" i="1"/>
  <c r="AY159" i="1"/>
  <c r="AX159" i="1"/>
  <c r="AW159" i="1"/>
  <c r="AV159" i="1"/>
  <c r="AU159" i="1"/>
  <c r="AT159" i="1"/>
  <c r="AS159" i="1"/>
  <c r="AR159" i="1"/>
  <c r="AU158" i="1"/>
  <c r="AT158" i="1"/>
  <c r="AS158" i="1"/>
  <c r="AU157" i="1"/>
  <c r="AT157" i="1"/>
  <c r="AS157" i="1"/>
  <c r="AR157" i="1"/>
  <c r="AU156" i="1"/>
  <c r="AT156" i="1"/>
  <c r="AS156" i="1"/>
  <c r="AR156" i="1"/>
  <c r="BA154" i="1"/>
  <c r="AZ154" i="1"/>
  <c r="AY154" i="1"/>
  <c r="AX154" i="1"/>
  <c r="AW154" i="1"/>
  <c r="AV154" i="1"/>
  <c r="AU154" i="1"/>
  <c r="AT154" i="1"/>
  <c r="AS154" i="1"/>
  <c r="AR154" i="1"/>
  <c r="BA153" i="1"/>
  <c r="AZ153" i="1"/>
  <c r="AY153" i="1"/>
  <c r="AX153" i="1"/>
  <c r="AW153" i="1"/>
  <c r="AV153" i="1"/>
  <c r="AU153" i="1"/>
  <c r="AT153" i="1"/>
  <c r="AS153" i="1"/>
  <c r="AR153" i="1"/>
  <c r="BA152" i="1"/>
  <c r="AZ152" i="1"/>
  <c r="AY152" i="1"/>
  <c r="AX152" i="1"/>
  <c r="AW152" i="1"/>
  <c r="AV152" i="1"/>
  <c r="AU152" i="1"/>
  <c r="AT152" i="1"/>
  <c r="AS152" i="1"/>
  <c r="BA151" i="1"/>
  <c r="AZ151" i="1"/>
  <c r="AY151" i="1"/>
  <c r="AX151" i="1"/>
  <c r="AW151" i="1"/>
  <c r="AV151" i="1"/>
  <c r="AU151" i="1"/>
  <c r="AT151" i="1"/>
  <c r="AS151" i="1"/>
  <c r="AR151" i="1"/>
  <c r="BA150" i="1"/>
  <c r="AZ150" i="1"/>
  <c r="AY150" i="1"/>
  <c r="AX150" i="1"/>
  <c r="AW150" i="1"/>
  <c r="AV150" i="1"/>
  <c r="AU150" i="1"/>
  <c r="AT150" i="1"/>
  <c r="AS150" i="1"/>
  <c r="AR150" i="1"/>
  <c r="BA149" i="1"/>
  <c r="AZ149" i="1"/>
  <c r="AY149" i="1"/>
  <c r="AX149" i="1"/>
  <c r="AW149" i="1"/>
  <c r="AV149" i="1"/>
  <c r="AU149" i="1"/>
  <c r="AT149" i="1"/>
  <c r="AT162" i="1" s="1"/>
  <c r="AT186" i="1" s="1"/>
  <c r="AS149" i="1"/>
  <c r="AS162" i="1" s="1"/>
  <c r="AS186" i="1" s="1"/>
  <c r="AR149" i="1"/>
  <c r="AT147" i="1"/>
  <c r="AS147" i="1"/>
  <c r="AR147" i="1"/>
  <c r="AU139" i="1"/>
  <c r="AT139" i="1"/>
  <c r="AS139" i="1"/>
  <c r="AU138" i="1"/>
  <c r="AT138" i="1"/>
  <c r="AS138" i="1"/>
  <c r="AR138" i="1"/>
  <c r="BA137" i="1"/>
  <c r="AZ137" i="1"/>
  <c r="AY137" i="1"/>
  <c r="AX137" i="1"/>
  <c r="AW137" i="1"/>
  <c r="AV137" i="1"/>
  <c r="AU137" i="1"/>
  <c r="AT137" i="1"/>
  <c r="AS137" i="1"/>
  <c r="AR137" i="1"/>
  <c r="BA135" i="1"/>
  <c r="AZ135" i="1"/>
  <c r="AY135" i="1"/>
  <c r="AX135" i="1"/>
  <c r="AW135" i="1"/>
  <c r="AV135" i="1"/>
  <c r="AU135" i="1"/>
  <c r="AT135" i="1"/>
  <c r="AS135" i="1"/>
  <c r="AR135" i="1"/>
  <c r="BA134" i="1"/>
  <c r="AZ134" i="1"/>
  <c r="AY134" i="1"/>
  <c r="AX134" i="1"/>
  <c r="AW134" i="1"/>
  <c r="AV134" i="1"/>
  <c r="AU134" i="1"/>
  <c r="AT134" i="1"/>
  <c r="AS134" i="1"/>
  <c r="AR134" i="1"/>
  <c r="BA133" i="1"/>
  <c r="AZ133" i="1"/>
  <c r="AY133" i="1"/>
  <c r="AX133" i="1"/>
  <c r="AW133" i="1"/>
  <c r="AV133" i="1"/>
  <c r="AU133" i="1"/>
  <c r="AT133" i="1"/>
  <c r="AS133" i="1"/>
  <c r="AR133" i="1"/>
  <c r="AU130" i="1"/>
  <c r="BA129" i="1"/>
  <c r="AZ129" i="1"/>
  <c r="AY129" i="1"/>
  <c r="AX129" i="1"/>
  <c r="AW129" i="1"/>
  <c r="AV129" i="1"/>
  <c r="AU129" i="1"/>
  <c r="AT129" i="1"/>
  <c r="AS129" i="1"/>
  <c r="AR129" i="1"/>
  <c r="AU127" i="1"/>
  <c r="AT127" i="1"/>
  <c r="AS127" i="1"/>
  <c r="AR127" i="1"/>
  <c r="BA126" i="1"/>
  <c r="AZ126" i="1"/>
  <c r="AY126" i="1"/>
  <c r="AX126" i="1"/>
  <c r="AW126" i="1"/>
  <c r="AV126" i="1"/>
  <c r="AU126" i="1"/>
  <c r="AT126" i="1"/>
  <c r="AS126" i="1"/>
  <c r="AR126" i="1"/>
  <c r="BA125" i="1"/>
  <c r="AZ125" i="1"/>
  <c r="AY125" i="1"/>
  <c r="AX125" i="1"/>
  <c r="AW125" i="1"/>
  <c r="AV125" i="1"/>
  <c r="AU125" i="1"/>
  <c r="AT125" i="1"/>
  <c r="AS125" i="1"/>
  <c r="AR125" i="1"/>
  <c r="BA124" i="1"/>
  <c r="AZ124" i="1"/>
  <c r="AY124" i="1"/>
  <c r="AX124" i="1"/>
  <c r="AW124" i="1"/>
  <c r="AV124" i="1"/>
  <c r="AU124" i="1"/>
  <c r="AT124" i="1"/>
  <c r="AS124" i="1"/>
  <c r="AR124" i="1"/>
  <c r="BA123" i="1"/>
  <c r="AZ123" i="1"/>
  <c r="AY123" i="1"/>
  <c r="AX123" i="1"/>
  <c r="AW123" i="1"/>
  <c r="AV123" i="1"/>
  <c r="AU123" i="1"/>
  <c r="AT123" i="1"/>
  <c r="AS123" i="1"/>
  <c r="AR123" i="1"/>
  <c r="BA118" i="1"/>
  <c r="AZ118" i="1"/>
  <c r="AY118" i="1"/>
  <c r="AX118" i="1"/>
  <c r="AW118" i="1"/>
  <c r="AV118" i="1"/>
  <c r="AU118" i="1"/>
  <c r="AT118" i="1"/>
  <c r="AS118" i="1"/>
  <c r="AR118" i="1"/>
  <c r="BA117" i="1"/>
  <c r="AZ117" i="1"/>
  <c r="AY117" i="1"/>
  <c r="AX117" i="1"/>
  <c r="AW117" i="1"/>
  <c r="AV117" i="1"/>
  <c r="AU117" i="1"/>
  <c r="AT117" i="1"/>
  <c r="AS117" i="1"/>
  <c r="AR117" i="1"/>
  <c r="BA116" i="1"/>
  <c r="AZ116" i="1"/>
  <c r="AY116" i="1"/>
  <c r="AX116" i="1"/>
  <c r="AW116" i="1"/>
  <c r="AV116" i="1"/>
  <c r="AU116" i="1"/>
  <c r="AT116" i="1"/>
  <c r="AS116" i="1"/>
  <c r="AR116" i="1"/>
  <c r="BA115" i="1"/>
  <c r="AZ115" i="1"/>
  <c r="AY115" i="1"/>
  <c r="AX115" i="1"/>
  <c r="AW115" i="1"/>
  <c r="AV115" i="1"/>
  <c r="AU115" i="1"/>
  <c r="AT115" i="1"/>
  <c r="AS115" i="1"/>
  <c r="AR115" i="1"/>
  <c r="BA114" i="1"/>
  <c r="AZ114" i="1"/>
  <c r="AY114" i="1"/>
  <c r="AX114" i="1"/>
  <c r="AW114" i="1"/>
  <c r="AV114" i="1"/>
  <c r="AU114" i="1"/>
  <c r="AT114" i="1"/>
  <c r="AS114" i="1"/>
  <c r="AR114" i="1"/>
  <c r="BA113" i="1"/>
  <c r="AZ113" i="1"/>
  <c r="AY113" i="1"/>
  <c r="AX113" i="1"/>
  <c r="AW113" i="1"/>
  <c r="AV113" i="1"/>
  <c r="AU113" i="1"/>
  <c r="AT113" i="1"/>
  <c r="AS113" i="1"/>
  <c r="AR113" i="1"/>
  <c r="AU111" i="1"/>
  <c r="AT111" i="1"/>
  <c r="AS111" i="1"/>
  <c r="AR111" i="1"/>
  <c r="AU110" i="1"/>
  <c r="AT110" i="1"/>
  <c r="AS110" i="1"/>
  <c r="AR110" i="1"/>
  <c r="AU109" i="1"/>
  <c r="AT109" i="1"/>
  <c r="AS109" i="1"/>
  <c r="AR109" i="1"/>
  <c r="AU108" i="1"/>
  <c r="AT108" i="1"/>
  <c r="AS108" i="1"/>
  <c r="AR108" i="1"/>
  <c r="AU107" i="1"/>
  <c r="AT107" i="1"/>
  <c r="AS107" i="1"/>
  <c r="AR107" i="1"/>
  <c r="S117" i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S114" i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S110" i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BA110" i="1" s="1"/>
  <c r="S109" i="1"/>
  <c r="S156" i="1" s="1"/>
  <c r="F18" i="1"/>
  <c r="F19" i="1"/>
  <c r="F20" i="1"/>
  <c r="F22" i="1"/>
  <c r="F32" i="1"/>
  <c r="F29" i="1"/>
  <c r="F30" i="1"/>
  <c r="F31" i="1"/>
  <c r="F33" i="1"/>
  <c r="J33" i="1"/>
  <c r="J32" i="1"/>
  <c r="J31" i="1"/>
  <c r="J22" i="1"/>
  <c r="J20" i="1"/>
  <c r="J19" i="1"/>
  <c r="J18" i="1"/>
  <c r="F182" i="1"/>
  <c r="F181" i="1"/>
  <c r="F169" i="1"/>
  <c r="D154" i="1"/>
  <c r="E154" i="1" s="1"/>
  <c r="F154" i="1" s="1"/>
  <c r="D153" i="1"/>
  <c r="D152" i="1"/>
  <c r="E152" i="1" s="1"/>
  <c r="F152" i="1" s="1"/>
  <c r="D151" i="1"/>
  <c r="E151" i="1" s="1"/>
  <c r="F151" i="1" s="1"/>
  <c r="F187" i="1"/>
  <c r="E187" i="1"/>
  <c r="D187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O184" i="1"/>
  <c r="K184" i="1"/>
  <c r="G184" i="1"/>
  <c r="C184" i="1"/>
  <c r="D190" i="1"/>
  <c r="D183" i="1"/>
  <c r="D181" i="1"/>
  <c r="E181" i="1" s="1"/>
  <c r="D180" i="1"/>
  <c r="E180" i="1" s="1"/>
  <c r="D179" i="1"/>
  <c r="E179" i="1" s="1"/>
  <c r="D177" i="1"/>
  <c r="E177" i="1" s="1"/>
  <c r="F177" i="1" s="1"/>
  <c r="D176" i="1"/>
  <c r="E176" i="1" s="1"/>
  <c r="H172" i="1"/>
  <c r="D172" i="1"/>
  <c r="E172" i="1" s="1"/>
  <c r="D168" i="1"/>
  <c r="E168" i="1" s="1"/>
  <c r="D167" i="1"/>
  <c r="E167" i="1" s="1"/>
  <c r="D166" i="1"/>
  <c r="D165" i="1"/>
  <c r="D161" i="1"/>
  <c r="E161" i="1" s="1"/>
  <c r="D160" i="1"/>
  <c r="D159" i="1"/>
  <c r="D158" i="1"/>
  <c r="D157" i="1"/>
  <c r="D156" i="1"/>
  <c r="E156" i="1" s="1"/>
  <c r="E153" i="1"/>
  <c r="F153" i="1" s="1"/>
  <c r="E182" i="1"/>
  <c r="E169" i="1"/>
  <c r="J191" i="1"/>
  <c r="H190" i="1"/>
  <c r="I190" i="1" s="1"/>
  <c r="H183" i="1"/>
  <c r="I183" i="1" s="1"/>
  <c r="J183" i="1" s="1"/>
  <c r="H181" i="1"/>
  <c r="I181" i="1" s="1"/>
  <c r="J181" i="1" s="1"/>
  <c r="H180" i="1"/>
  <c r="I180" i="1" s="1"/>
  <c r="H179" i="1"/>
  <c r="H178" i="1"/>
  <c r="I178" i="1" s="1"/>
  <c r="J178" i="1" s="1"/>
  <c r="H177" i="1"/>
  <c r="I177" i="1" s="1"/>
  <c r="J177" i="1" s="1"/>
  <c r="H169" i="1"/>
  <c r="I169" i="1" s="1"/>
  <c r="H167" i="1"/>
  <c r="I167" i="1" s="1"/>
  <c r="H168" i="1"/>
  <c r="I168" i="1" s="1"/>
  <c r="H166" i="1"/>
  <c r="I166" i="1" s="1"/>
  <c r="J166" i="1" s="1"/>
  <c r="H165" i="1"/>
  <c r="I165" i="1" s="1"/>
  <c r="J165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4" i="1"/>
  <c r="I154" i="1" s="1"/>
  <c r="H150" i="1"/>
  <c r="I150" i="1" s="1"/>
  <c r="H153" i="1"/>
  <c r="I153" i="1" s="1"/>
  <c r="H152" i="1"/>
  <c r="I152" i="1" s="1"/>
  <c r="H151" i="1"/>
  <c r="I151" i="1" s="1"/>
  <c r="L112" i="1"/>
  <c r="L187" i="1"/>
  <c r="K187" i="1"/>
  <c r="J187" i="1"/>
  <c r="I187" i="1"/>
  <c r="H187" i="1"/>
  <c r="G187" i="1"/>
  <c r="M187" i="1"/>
  <c r="N187" i="1"/>
  <c r="O187" i="1"/>
  <c r="P165" i="1"/>
  <c r="Q165" i="1" s="1"/>
  <c r="R165" i="1" s="1"/>
  <c r="P170" i="1"/>
  <c r="Q170" i="1" s="1"/>
  <c r="R170" i="1" s="1"/>
  <c r="P171" i="1"/>
  <c r="Q171" i="1" s="1"/>
  <c r="R171" i="1" s="1"/>
  <c r="P169" i="1"/>
  <c r="Q169" i="1" s="1"/>
  <c r="R169" i="1" s="1"/>
  <c r="P167" i="1"/>
  <c r="Q167" i="1" s="1"/>
  <c r="R167" i="1" s="1"/>
  <c r="P168" i="1"/>
  <c r="Q168" i="1" s="1"/>
  <c r="R168" i="1" s="1"/>
  <c r="R187" i="1"/>
  <c r="Q187" i="1"/>
  <c r="P187" i="1"/>
  <c r="L181" i="1"/>
  <c r="M181" i="1" s="1"/>
  <c r="L180" i="1"/>
  <c r="L182" i="1"/>
  <c r="L179" i="1"/>
  <c r="M179" i="1" s="1"/>
  <c r="N179" i="1" s="1"/>
  <c r="L178" i="1"/>
  <c r="M178" i="1" s="1"/>
  <c r="L177" i="1"/>
  <c r="M177" i="1" s="1"/>
  <c r="L172" i="1"/>
  <c r="L170" i="1"/>
  <c r="M170" i="1" s="1"/>
  <c r="L168" i="1"/>
  <c r="M168" i="1" s="1"/>
  <c r="L167" i="1"/>
  <c r="M167" i="1" s="1"/>
  <c r="N167" i="1" s="1"/>
  <c r="L171" i="1"/>
  <c r="N171" i="1" s="1"/>
  <c r="L165" i="1"/>
  <c r="M165" i="1" s="1"/>
  <c r="L161" i="1"/>
  <c r="M161" i="1" s="1"/>
  <c r="N161" i="1" s="1"/>
  <c r="L160" i="1"/>
  <c r="M160" i="1" s="1"/>
  <c r="N160" i="1" s="1"/>
  <c r="L159" i="1"/>
  <c r="M159" i="1" s="1"/>
  <c r="N159" i="1" s="1"/>
  <c r="L158" i="1"/>
  <c r="M158" i="1" s="1"/>
  <c r="N158" i="1" s="1"/>
  <c r="L157" i="1"/>
  <c r="M157" i="1" s="1"/>
  <c r="N157" i="1" s="1"/>
  <c r="L156" i="1"/>
  <c r="L154" i="1"/>
  <c r="M154" i="1" s="1"/>
  <c r="N154" i="1" s="1"/>
  <c r="L150" i="1"/>
  <c r="L153" i="1"/>
  <c r="M153" i="1" s="1"/>
  <c r="N153" i="1" s="1"/>
  <c r="L152" i="1"/>
  <c r="M152" i="1" s="1"/>
  <c r="N152" i="1" s="1"/>
  <c r="L151" i="1"/>
  <c r="M151" i="1" s="1"/>
  <c r="N151" i="1" s="1"/>
  <c r="P190" i="1"/>
  <c r="Q190" i="1" s="1"/>
  <c r="R190" i="1" s="1"/>
  <c r="P181" i="1"/>
  <c r="Q181" i="1" s="1"/>
  <c r="R181" i="1" s="1"/>
  <c r="P180" i="1"/>
  <c r="Q180" i="1" s="1"/>
  <c r="R180" i="1" s="1"/>
  <c r="P182" i="1"/>
  <c r="Q182" i="1" s="1"/>
  <c r="R182" i="1" s="1"/>
  <c r="P179" i="1"/>
  <c r="Q179" i="1" s="1"/>
  <c r="R179" i="1" s="1"/>
  <c r="P178" i="1"/>
  <c r="Q178" i="1" s="1"/>
  <c r="R178" i="1" s="1"/>
  <c r="P177" i="1"/>
  <c r="Q177" i="1" s="1"/>
  <c r="R177" i="1" s="1"/>
  <c r="P166" i="1"/>
  <c r="Q166" i="1" s="1"/>
  <c r="R166" i="1" s="1"/>
  <c r="P161" i="1"/>
  <c r="Q161" i="1" s="1"/>
  <c r="R161" i="1" s="1"/>
  <c r="P160" i="1"/>
  <c r="Q160" i="1" s="1"/>
  <c r="R160" i="1" s="1"/>
  <c r="P159" i="1"/>
  <c r="Q159" i="1" s="1"/>
  <c r="R159" i="1" s="1"/>
  <c r="P158" i="1"/>
  <c r="Q158" i="1" s="1"/>
  <c r="R158" i="1" s="1"/>
  <c r="P157" i="1"/>
  <c r="Q157" i="1" s="1"/>
  <c r="R157" i="1" s="1"/>
  <c r="P156" i="1"/>
  <c r="Q156" i="1" s="1"/>
  <c r="R156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M183" i="1"/>
  <c r="N183" i="1" s="1"/>
  <c r="M169" i="1"/>
  <c r="N169" i="1" s="1"/>
  <c r="K173" i="1"/>
  <c r="G173" i="1"/>
  <c r="C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O173" i="1"/>
  <c r="R191" i="1"/>
  <c r="N28" i="1"/>
  <c r="N27" i="1"/>
  <c r="R18" i="1"/>
  <c r="R33" i="1"/>
  <c r="R32" i="1"/>
  <c r="R31" i="1"/>
  <c r="R30" i="1"/>
  <c r="R28" i="1"/>
  <c r="R27" i="1"/>
  <c r="N22" i="1"/>
  <c r="N21" i="1"/>
  <c r="R22" i="1"/>
  <c r="R20" i="1"/>
  <c r="R19" i="1"/>
  <c r="R21" i="1"/>
  <c r="N166" i="1"/>
  <c r="S113" i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R172" i="1"/>
  <c r="R70" i="1"/>
  <c r="R67" i="1"/>
  <c r="R66" i="1"/>
  <c r="R65" i="1"/>
  <c r="AU65" i="1" s="1"/>
  <c r="R63" i="1"/>
  <c r="R61" i="1"/>
  <c r="R85" i="1"/>
  <c r="R36" i="1"/>
  <c r="R83" i="1"/>
  <c r="R82" i="1"/>
  <c r="R81" i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R51" i="1"/>
  <c r="R48" i="1"/>
  <c r="AT97" i="1"/>
  <c r="AS97" i="1"/>
  <c r="AR97" i="1"/>
  <c r="AT96" i="1"/>
  <c r="AS96" i="1"/>
  <c r="AR96" i="1"/>
  <c r="AT91" i="1"/>
  <c r="AS91" i="1"/>
  <c r="AR91" i="1"/>
  <c r="AS85" i="1"/>
  <c r="AS83" i="1"/>
  <c r="AS82" i="1"/>
  <c r="AS81" i="1"/>
  <c r="AR70" i="1"/>
  <c r="AT69" i="1"/>
  <c r="AR69" i="1"/>
  <c r="AR63" i="1"/>
  <c r="AR61" i="1"/>
  <c r="AU43" i="1"/>
  <c r="AT43" i="1"/>
  <c r="AS43" i="1"/>
  <c r="AR43" i="1"/>
  <c r="AT42" i="1"/>
  <c r="AS42" i="1"/>
  <c r="AR42" i="1"/>
  <c r="AT41" i="1"/>
  <c r="AS41" i="1"/>
  <c r="AR41" i="1"/>
  <c r="AS6" i="1"/>
  <c r="AT6" i="1" s="1"/>
  <c r="AU6" i="1" s="1"/>
  <c r="AV6" i="1" s="1"/>
  <c r="AW6" i="1" s="1"/>
  <c r="AX6" i="1" s="1"/>
  <c r="AY6" i="1" s="1"/>
  <c r="AZ6" i="1" s="1"/>
  <c r="BA6" i="1" s="1"/>
  <c r="T97" i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Z13" i="1"/>
  <c r="AD13" i="1" s="1"/>
  <c r="AH13" i="1" s="1"/>
  <c r="AL13" i="1" s="1"/>
  <c r="AM13" i="1" s="1"/>
  <c r="AN13" i="1" s="1"/>
  <c r="AO13" i="1" s="1"/>
  <c r="AP13" i="1" s="1"/>
  <c r="Y13" i="1"/>
  <c r="AC13" i="1" s="1"/>
  <c r="AG13" i="1" s="1"/>
  <c r="AK13" i="1" s="1"/>
  <c r="X13" i="1"/>
  <c r="AB13" i="1" s="1"/>
  <c r="AF13" i="1" s="1"/>
  <c r="AJ13" i="1" s="1"/>
  <c r="W13" i="1"/>
  <c r="AA13" i="1" s="1"/>
  <c r="AE13" i="1" s="1"/>
  <c r="AI13" i="1" s="1"/>
  <c r="Q6" i="1"/>
  <c r="N6" i="1"/>
  <c r="M6" i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S69" i="1"/>
  <c r="S68" i="1"/>
  <c r="T68" i="1" s="1"/>
  <c r="S43" i="1"/>
  <c r="T43" i="1" s="1"/>
  <c r="U43" i="1" s="1"/>
  <c r="V43" i="1" s="1"/>
  <c r="W43" i="1" s="1"/>
  <c r="X43" i="1" s="1"/>
  <c r="Y43" i="1" s="1"/>
  <c r="Z43" i="1" s="1"/>
  <c r="AA43" i="1" s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S41" i="1"/>
  <c r="N20" i="1"/>
  <c r="N19" i="1"/>
  <c r="N18" i="1"/>
  <c r="N33" i="1"/>
  <c r="N32" i="1"/>
  <c r="N31" i="1"/>
  <c r="N30" i="1"/>
  <c r="M29" i="1"/>
  <c r="Q29" i="1"/>
  <c r="Q34" i="1" s="1"/>
  <c r="Q78" i="1"/>
  <c r="Q90" i="1" s="1"/>
  <c r="P78" i="1"/>
  <c r="P90" i="1" s="1"/>
  <c r="O78" i="1"/>
  <c r="M78" i="1"/>
  <c r="M90" i="1" s="1"/>
  <c r="L78" i="1"/>
  <c r="L90" i="1" s="1"/>
  <c r="K78" i="1"/>
  <c r="I78" i="1"/>
  <c r="H78" i="1"/>
  <c r="G78" i="1"/>
  <c r="F78" i="1"/>
  <c r="E78" i="1"/>
  <c r="D78" i="1"/>
  <c r="C78" i="1"/>
  <c r="G90" i="1"/>
  <c r="C90" i="1"/>
  <c r="F90" i="1"/>
  <c r="D90" i="1"/>
  <c r="Q76" i="1"/>
  <c r="Q89" i="1" s="1"/>
  <c r="P76" i="1"/>
  <c r="P89" i="1" s="1"/>
  <c r="O76" i="1"/>
  <c r="O89" i="1" s="1"/>
  <c r="M76" i="1"/>
  <c r="M89" i="1" s="1"/>
  <c r="L76" i="1"/>
  <c r="L89" i="1" s="1"/>
  <c r="K76" i="1"/>
  <c r="K89" i="1" s="1"/>
  <c r="Q77" i="1"/>
  <c r="P77" i="1"/>
  <c r="O77" i="1"/>
  <c r="M77" i="1"/>
  <c r="L77" i="1"/>
  <c r="K77" i="1"/>
  <c r="H77" i="1"/>
  <c r="G77" i="1"/>
  <c r="E77" i="1"/>
  <c r="D77" i="1"/>
  <c r="C77" i="1"/>
  <c r="I77" i="1"/>
  <c r="H76" i="1"/>
  <c r="G76" i="1"/>
  <c r="G89" i="1" s="1"/>
  <c r="E76" i="1"/>
  <c r="E89" i="1" s="1"/>
  <c r="D76" i="1"/>
  <c r="D89" i="1" s="1"/>
  <c r="C76" i="1"/>
  <c r="I76" i="1"/>
  <c r="I89" i="1" s="1"/>
  <c r="Q75" i="1"/>
  <c r="Q88" i="1" s="1"/>
  <c r="Q149" i="1" s="1"/>
  <c r="P75" i="1"/>
  <c r="P88" i="1" s="1"/>
  <c r="P149" i="1" s="1"/>
  <c r="O75" i="1"/>
  <c r="O88" i="1" s="1"/>
  <c r="O149" i="1" s="1"/>
  <c r="M75" i="1"/>
  <c r="M88" i="1" s="1"/>
  <c r="L75" i="1"/>
  <c r="L88" i="1" s="1"/>
  <c r="K75" i="1"/>
  <c r="K88" i="1" s="1"/>
  <c r="H75" i="1"/>
  <c r="H88" i="1" s="1"/>
  <c r="G75" i="1"/>
  <c r="G88" i="1" s="1"/>
  <c r="E75" i="1"/>
  <c r="E88" i="1" s="1"/>
  <c r="D75" i="1"/>
  <c r="D88" i="1" s="1"/>
  <c r="C75" i="1"/>
  <c r="C88" i="1" s="1"/>
  <c r="I75" i="1"/>
  <c r="I88" i="1" s="1"/>
  <c r="Q71" i="1"/>
  <c r="P71" i="1"/>
  <c r="O71" i="1"/>
  <c r="M71" i="1"/>
  <c r="L71" i="1"/>
  <c r="K71" i="1"/>
  <c r="I71" i="1"/>
  <c r="H71" i="1"/>
  <c r="G71" i="1"/>
  <c r="E71" i="1"/>
  <c r="D71" i="1"/>
  <c r="C71" i="1"/>
  <c r="J70" i="1"/>
  <c r="AS70" i="1" s="1"/>
  <c r="J69" i="1"/>
  <c r="J68" i="1"/>
  <c r="J77" i="1" s="1"/>
  <c r="J67" i="1"/>
  <c r="J76" i="1" s="1"/>
  <c r="J89" i="1" s="1"/>
  <c r="J66" i="1"/>
  <c r="AS66" i="1" s="1"/>
  <c r="J65" i="1"/>
  <c r="J75" i="1" s="1"/>
  <c r="J88" i="1" s="1"/>
  <c r="N70" i="1"/>
  <c r="AT70" i="1" s="1"/>
  <c r="N68" i="1"/>
  <c r="N77" i="1" s="1"/>
  <c r="N67" i="1"/>
  <c r="N66" i="1"/>
  <c r="AT66" i="1" s="1"/>
  <c r="N65" i="1"/>
  <c r="N75" i="1" s="1"/>
  <c r="N88" i="1" s="1"/>
  <c r="F68" i="1"/>
  <c r="F77" i="1" s="1"/>
  <c r="F66" i="1"/>
  <c r="AR66" i="1" s="1"/>
  <c r="F67" i="1"/>
  <c r="F76" i="1" s="1"/>
  <c r="F89" i="1" s="1"/>
  <c r="F65" i="1"/>
  <c r="F85" i="1"/>
  <c r="AR85" i="1" s="1"/>
  <c r="F83" i="1"/>
  <c r="AR83" i="1" s="1"/>
  <c r="F82" i="1"/>
  <c r="AR82" i="1" s="1"/>
  <c r="F81" i="1"/>
  <c r="AR81" i="1" s="1"/>
  <c r="F36" i="1"/>
  <c r="AR36" i="1" s="1"/>
  <c r="F51" i="1"/>
  <c r="AR51" i="1" s="1"/>
  <c r="F48" i="1"/>
  <c r="F12" i="1"/>
  <c r="F64" i="1" s="1"/>
  <c r="F10" i="1"/>
  <c r="F62" i="1" s="1"/>
  <c r="J63" i="1"/>
  <c r="AS63" i="1" s="1"/>
  <c r="J61" i="1"/>
  <c r="AS61" i="1" s="1"/>
  <c r="J54" i="1"/>
  <c r="J51" i="1"/>
  <c r="AS51" i="1" s="1"/>
  <c r="J48" i="1"/>
  <c r="AS48" i="1" s="1"/>
  <c r="J36" i="1"/>
  <c r="AS36" i="1" s="1"/>
  <c r="J12" i="1"/>
  <c r="AS12" i="1" s="1"/>
  <c r="J10" i="1"/>
  <c r="AS10" i="1" s="1"/>
  <c r="I57" i="1"/>
  <c r="H57" i="1"/>
  <c r="G57" i="1"/>
  <c r="E57" i="1"/>
  <c r="D57" i="1"/>
  <c r="C57" i="1"/>
  <c r="N85" i="1"/>
  <c r="AT85" i="1" s="1"/>
  <c r="N83" i="1"/>
  <c r="AT83" i="1" s="1"/>
  <c r="N82" i="1"/>
  <c r="AT82" i="1" s="1"/>
  <c r="N81" i="1"/>
  <c r="AT81" i="1" s="1"/>
  <c r="N63" i="1"/>
  <c r="AT63" i="1" s="1"/>
  <c r="N61" i="1"/>
  <c r="AT61" i="1" s="1"/>
  <c r="N51" i="1"/>
  <c r="AT51" i="1" s="1"/>
  <c r="N48" i="1"/>
  <c r="AT48" i="1" s="1"/>
  <c r="N36" i="1"/>
  <c r="AT36" i="1" s="1"/>
  <c r="N12" i="1"/>
  <c r="AT12" i="1" s="1"/>
  <c r="N10" i="1"/>
  <c r="AT10" i="1" s="1"/>
  <c r="C6" i="1"/>
  <c r="Q57" i="1"/>
  <c r="P57" i="1"/>
  <c r="O57" i="1"/>
  <c r="M57" i="1"/>
  <c r="L57" i="1"/>
  <c r="K57" i="1"/>
  <c r="Q53" i="1"/>
  <c r="P53" i="1"/>
  <c r="M53" i="1"/>
  <c r="L53" i="1"/>
  <c r="K53" i="1"/>
  <c r="I53" i="1"/>
  <c r="H53" i="1"/>
  <c r="G53" i="1"/>
  <c r="Q64" i="1"/>
  <c r="P64" i="1"/>
  <c r="O64" i="1"/>
  <c r="M64" i="1"/>
  <c r="L64" i="1"/>
  <c r="K64" i="1"/>
  <c r="I64" i="1"/>
  <c r="H64" i="1"/>
  <c r="G64" i="1"/>
  <c r="E64" i="1"/>
  <c r="D64" i="1"/>
  <c r="C64" i="1"/>
  <c r="Q62" i="1"/>
  <c r="P62" i="1"/>
  <c r="O62" i="1"/>
  <c r="M62" i="1"/>
  <c r="L62" i="1"/>
  <c r="I62" i="1"/>
  <c r="H62" i="1"/>
  <c r="G62" i="1"/>
  <c r="E62" i="1"/>
  <c r="D62" i="1"/>
  <c r="C62" i="1"/>
  <c r="K62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G34" i="1"/>
  <c r="D34" i="1"/>
  <c r="C34" i="1"/>
  <c r="L29" i="1"/>
  <c r="L34" i="1" s="1"/>
  <c r="P29" i="1"/>
  <c r="P34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Q23" i="1"/>
  <c r="P23" i="1"/>
  <c r="O23" i="1"/>
  <c r="M23" i="1"/>
  <c r="L23" i="1"/>
  <c r="H23" i="1"/>
  <c r="G23" i="1"/>
  <c r="D23" i="1"/>
  <c r="C23" i="1"/>
  <c r="K23" i="1"/>
  <c r="O29" i="1"/>
  <c r="O34" i="1" s="1"/>
  <c r="K29" i="1"/>
  <c r="K34" i="1" s="1"/>
  <c r="AU112" i="1" l="1"/>
  <c r="AU119" i="1" s="1"/>
  <c r="AR112" i="1"/>
  <c r="AR119" i="1" s="1"/>
  <c r="AS112" i="1"/>
  <c r="AS119" i="1" s="1"/>
  <c r="AS142" i="1" s="1"/>
  <c r="AT112" i="1"/>
  <c r="AT119" i="1" s="1"/>
  <c r="AT142" i="1" s="1"/>
  <c r="AR184" i="1"/>
  <c r="AR152" i="1"/>
  <c r="AW184" i="1"/>
  <c r="AX184" i="1"/>
  <c r="AY184" i="1"/>
  <c r="AV184" i="1"/>
  <c r="U157" i="1"/>
  <c r="Y157" i="1"/>
  <c r="AA157" i="1"/>
  <c r="Z157" i="1"/>
  <c r="AF157" i="1"/>
  <c r="AG157" i="1"/>
  <c r="AH157" i="1"/>
  <c r="AI157" i="1"/>
  <c r="AJ157" i="1"/>
  <c r="AK157" i="1"/>
  <c r="W157" i="1"/>
  <c r="X157" i="1"/>
  <c r="AC157" i="1"/>
  <c r="AE157" i="1"/>
  <c r="AY157" i="1" s="1"/>
  <c r="AM157" i="1"/>
  <c r="V157" i="1"/>
  <c r="AN157" i="1"/>
  <c r="AD157" i="1"/>
  <c r="AL157" i="1"/>
  <c r="AX110" i="1"/>
  <c r="S157" i="1"/>
  <c r="AO157" i="1"/>
  <c r="AB157" i="1"/>
  <c r="T157" i="1"/>
  <c r="AP157" i="1"/>
  <c r="AV110" i="1"/>
  <c r="AW110" i="1"/>
  <c r="AY110" i="1"/>
  <c r="AZ110" i="1"/>
  <c r="T109" i="1"/>
  <c r="AV128" i="1"/>
  <c r="AU140" i="1"/>
  <c r="AR140" i="1"/>
  <c r="E23" i="1"/>
  <c r="E34" i="1"/>
  <c r="F34" i="1"/>
  <c r="F23" i="1"/>
  <c r="I34" i="1"/>
  <c r="H34" i="1"/>
  <c r="J30" i="1"/>
  <c r="I23" i="1"/>
  <c r="J29" i="1"/>
  <c r="R184" i="1"/>
  <c r="J23" i="1"/>
  <c r="H184" i="1"/>
  <c r="L184" i="1"/>
  <c r="E159" i="1"/>
  <c r="F159" i="1" s="1"/>
  <c r="E160" i="1"/>
  <c r="F160" i="1" s="1"/>
  <c r="F167" i="1"/>
  <c r="F168" i="1"/>
  <c r="E166" i="1"/>
  <c r="E173" i="1" s="1"/>
  <c r="F172" i="1"/>
  <c r="E157" i="1"/>
  <c r="F157" i="1" s="1"/>
  <c r="F158" i="1"/>
  <c r="AR158" i="1" s="1"/>
  <c r="E183" i="1"/>
  <c r="E184" i="1" s="1"/>
  <c r="F156" i="1"/>
  <c r="F161" i="1"/>
  <c r="P184" i="1"/>
  <c r="E190" i="1"/>
  <c r="F190" i="1" s="1"/>
  <c r="Q184" i="1"/>
  <c r="F176" i="1"/>
  <c r="D184" i="1"/>
  <c r="D173" i="1"/>
  <c r="I172" i="1"/>
  <c r="J172" i="1" s="1"/>
  <c r="E165" i="1"/>
  <c r="F165" i="1" s="1"/>
  <c r="J151" i="1"/>
  <c r="J152" i="1"/>
  <c r="J156" i="1"/>
  <c r="J157" i="1"/>
  <c r="J158" i="1"/>
  <c r="J159" i="1"/>
  <c r="J161" i="1"/>
  <c r="N29" i="1"/>
  <c r="N34" i="1" s="1"/>
  <c r="J168" i="1"/>
  <c r="J169" i="1"/>
  <c r="J167" i="1"/>
  <c r="J150" i="1"/>
  <c r="J190" i="1"/>
  <c r="J153" i="1"/>
  <c r="J160" i="1"/>
  <c r="J154" i="1"/>
  <c r="J180" i="1"/>
  <c r="I179" i="1"/>
  <c r="N177" i="1"/>
  <c r="N170" i="1"/>
  <c r="N178" i="1"/>
  <c r="R23" i="1"/>
  <c r="H173" i="1"/>
  <c r="N181" i="1"/>
  <c r="N168" i="1"/>
  <c r="L173" i="1"/>
  <c r="P173" i="1"/>
  <c r="M180" i="1"/>
  <c r="N180" i="1" s="1"/>
  <c r="M182" i="1"/>
  <c r="N182" i="1" s="1"/>
  <c r="M172" i="1"/>
  <c r="N172" i="1" s="1"/>
  <c r="M156" i="1"/>
  <c r="N156" i="1" s="1"/>
  <c r="R173" i="1"/>
  <c r="M173" i="1"/>
  <c r="N165" i="1"/>
  <c r="Q173" i="1"/>
  <c r="R29" i="1"/>
  <c r="R34" i="1" s="1"/>
  <c r="R76" i="1"/>
  <c r="R89" i="1" s="1"/>
  <c r="R64" i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S70" i="1"/>
  <c r="S78" i="1" s="1"/>
  <c r="J78" i="1"/>
  <c r="AS78" i="1" s="1"/>
  <c r="R62" i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F57" i="1"/>
  <c r="R11" i="1"/>
  <c r="R13" i="1"/>
  <c r="AR77" i="1"/>
  <c r="AU70" i="1"/>
  <c r="AU81" i="1"/>
  <c r="AT77" i="1"/>
  <c r="AT14" i="1"/>
  <c r="AT39" i="1" s="1"/>
  <c r="AT52" i="1" s="1"/>
  <c r="AV81" i="1"/>
  <c r="AU42" i="1"/>
  <c r="AX42" i="1"/>
  <c r="AT53" i="1"/>
  <c r="AY81" i="1"/>
  <c r="AZ81" i="1"/>
  <c r="AT37" i="1"/>
  <c r="AW42" i="1"/>
  <c r="AX81" i="1"/>
  <c r="BA81" i="1"/>
  <c r="AS88" i="1"/>
  <c r="AU67" i="1"/>
  <c r="AV42" i="1"/>
  <c r="AR68" i="1"/>
  <c r="AT88" i="1"/>
  <c r="AT68" i="1"/>
  <c r="AU68" i="1"/>
  <c r="AS53" i="1"/>
  <c r="AS37" i="1"/>
  <c r="AS75" i="1"/>
  <c r="AT62" i="1"/>
  <c r="AU69" i="1"/>
  <c r="AR78" i="1"/>
  <c r="AR48" i="1"/>
  <c r="AR57" i="1" s="1"/>
  <c r="AR10" i="1"/>
  <c r="AR62" i="1" s="1"/>
  <c r="AS64" i="1"/>
  <c r="AS69" i="1"/>
  <c r="AS77" i="1"/>
  <c r="AS14" i="1"/>
  <c r="AR12" i="1"/>
  <c r="AS13" i="1" s="1"/>
  <c r="AS65" i="1"/>
  <c r="AS68" i="1"/>
  <c r="AT64" i="1"/>
  <c r="AT65" i="1"/>
  <c r="AW81" i="1"/>
  <c r="F75" i="1"/>
  <c r="AR65" i="1"/>
  <c r="H89" i="1"/>
  <c r="AS89" i="1" s="1"/>
  <c r="AS76" i="1"/>
  <c r="AU96" i="1"/>
  <c r="AR90" i="1"/>
  <c r="AS62" i="1"/>
  <c r="AS57" i="1"/>
  <c r="AT50" i="1"/>
  <c r="T41" i="1"/>
  <c r="U41" i="1" s="1"/>
  <c r="V41" i="1" s="1"/>
  <c r="W41" i="1" s="1"/>
  <c r="O90" i="1"/>
  <c r="AU97" i="1"/>
  <c r="AW97" i="1"/>
  <c r="AX97" i="1"/>
  <c r="AV97" i="1"/>
  <c r="AY97" i="1"/>
  <c r="AZ97" i="1"/>
  <c r="C89" i="1"/>
  <c r="AR89" i="1" s="1"/>
  <c r="AR76" i="1"/>
  <c r="BA97" i="1"/>
  <c r="AV83" i="1"/>
  <c r="AU66" i="1"/>
  <c r="AW83" i="1"/>
  <c r="K90" i="1"/>
  <c r="T69" i="1"/>
  <c r="U69" i="1" s="1"/>
  <c r="V69" i="1" s="1"/>
  <c r="W69" i="1" s="1"/>
  <c r="AU41" i="1"/>
  <c r="AZ83" i="1"/>
  <c r="AF42" i="1"/>
  <c r="AG42" i="1" s="1"/>
  <c r="AH42" i="1" s="1"/>
  <c r="AI42" i="1" s="1"/>
  <c r="AB43" i="1"/>
  <c r="AC43" i="1" s="1"/>
  <c r="AD43" i="1" s="1"/>
  <c r="AE43" i="1" s="1"/>
  <c r="AV43" i="1"/>
  <c r="AU83" i="1"/>
  <c r="AW43" i="1"/>
  <c r="AT75" i="1"/>
  <c r="AX83" i="1"/>
  <c r="AY83" i="1"/>
  <c r="AR67" i="1"/>
  <c r="BA83" i="1"/>
  <c r="N76" i="1"/>
  <c r="N89" i="1" s="1"/>
  <c r="AT89" i="1" s="1"/>
  <c r="AT67" i="1"/>
  <c r="AT11" i="1"/>
  <c r="AT13" i="1"/>
  <c r="AT57" i="1"/>
  <c r="AS67" i="1"/>
  <c r="R77" i="1"/>
  <c r="R71" i="1"/>
  <c r="M34" i="1"/>
  <c r="R78" i="1"/>
  <c r="R75" i="1"/>
  <c r="N78" i="1"/>
  <c r="N90" i="1" s="1"/>
  <c r="U68" i="1"/>
  <c r="T77" i="1"/>
  <c r="S77" i="1"/>
  <c r="N23" i="1"/>
  <c r="F71" i="1"/>
  <c r="AR71" i="1" s="1"/>
  <c r="J71" i="1"/>
  <c r="AS71" i="1" s="1"/>
  <c r="N71" i="1"/>
  <c r="AT71" i="1" s="1"/>
  <c r="J62" i="1"/>
  <c r="J57" i="1"/>
  <c r="G59" i="1"/>
  <c r="J64" i="1"/>
  <c r="J53" i="1"/>
  <c r="P59" i="1"/>
  <c r="N62" i="1"/>
  <c r="N64" i="1"/>
  <c r="N57" i="1"/>
  <c r="N53" i="1"/>
  <c r="L59" i="1"/>
  <c r="I59" i="1"/>
  <c r="K59" i="1"/>
  <c r="M59" i="1"/>
  <c r="H59" i="1"/>
  <c r="Q59" i="1"/>
  <c r="AU142" i="1" l="1"/>
  <c r="AR142" i="1"/>
  <c r="AR162" i="1"/>
  <c r="AR186" i="1" s="1"/>
  <c r="AW157" i="1"/>
  <c r="AX157" i="1"/>
  <c r="AZ157" i="1"/>
  <c r="AV157" i="1"/>
  <c r="BA157" i="1"/>
  <c r="U109" i="1"/>
  <c r="U156" i="1" s="1"/>
  <c r="T156" i="1"/>
  <c r="AW128" i="1"/>
  <c r="J34" i="1"/>
  <c r="I173" i="1"/>
  <c r="F183" i="1"/>
  <c r="F184" i="1" s="1"/>
  <c r="F166" i="1"/>
  <c r="F173" i="1" s="1"/>
  <c r="M184" i="1"/>
  <c r="N184" i="1"/>
  <c r="J179" i="1"/>
  <c r="J184" i="1" s="1"/>
  <c r="I184" i="1"/>
  <c r="J173" i="1"/>
  <c r="T70" i="1"/>
  <c r="U70" i="1" s="1"/>
  <c r="U78" i="1" s="1"/>
  <c r="U90" i="1" s="1"/>
  <c r="N173" i="1"/>
  <c r="AU89" i="1"/>
  <c r="AU76" i="1"/>
  <c r="AT58" i="1"/>
  <c r="J59" i="1"/>
  <c r="J90" i="1"/>
  <c r="AS90" i="1" s="1"/>
  <c r="AS11" i="1"/>
  <c r="AT15" i="1"/>
  <c r="X11" i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U71" i="1"/>
  <c r="AU77" i="1"/>
  <c r="AR64" i="1"/>
  <c r="AT72" i="1"/>
  <c r="AX43" i="1"/>
  <c r="AS72" i="1"/>
  <c r="AS50" i="1"/>
  <c r="AS59" i="1"/>
  <c r="AV69" i="1"/>
  <c r="AS39" i="1"/>
  <c r="AS49" i="1" s="1"/>
  <c r="AY42" i="1"/>
  <c r="AV41" i="1"/>
  <c r="AR14" i="1"/>
  <c r="S90" i="1"/>
  <c r="AT49" i="1"/>
  <c r="AT73" i="1"/>
  <c r="AT44" i="1"/>
  <c r="AT45" i="1" s="1"/>
  <c r="T96" i="1"/>
  <c r="U96" i="1" s="1"/>
  <c r="V96" i="1" s="1"/>
  <c r="W96" i="1" s="1"/>
  <c r="X69" i="1"/>
  <c r="Y69" i="1" s="1"/>
  <c r="Z69" i="1" s="1"/>
  <c r="AA69" i="1" s="1"/>
  <c r="AJ42" i="1"/>
  <c r="AK42" i="1" s="1"/>
  <c r="AL42" i="1" s="1"/>
  <c r="AM42" i="1" s="1"/>
  <c r="AU78" i="1"/>
  <c r="AU90" i="1"/>
  <c r="AT78" i="1"/>
  <c r="X41" i="1"/>
  <c r="Y41" i="1" s="1"/>
  <c r="Z41" i="1" s="1"/>
  <c r="AA41" i="1" s="1"/>
  <c r="T66" i="1"/>
  <c r="U66" i="1" s="1"/>
  <c r="V66" i="1" s="1"/>
  <c r="W66" i="1" s="1"/>
  <c r="R88" i="1"/>
  <c r="R149" i="1" s="1"/>
  <c r="AU75" i="1"/>
  <c r="AF43" i="1"/>
  <c r="AG43" i="1" s="1"/>
  <c r="AH43" i="1" s="1"/>
  <c r="AI43" i="1" s="1"/>
  <c r="AY43" i="1"/>
  <c r="AT76" i="1"/>
  <c r="AT59" i="1"/>
  <c r="AT90" i="1"/>
  <c r="F88" i="1"/>
  <c r="AR88" i="1" s="1"/>
  <c r="AR75" i="1"/>
  <c r="T67" i="1"/>
  <c r="S76" i="1"/>
  <c r="T65" i="1"/>
  <c r="S71" i="1"/>
  <c r="S75" i="1"/>
  <c r="V68" i="1"/>
  <c r="AV68" i="1" s="1"/>
  <c r="U77" i="1"/>
  <c r="N59" i="1"/>
  <c r="V109" i="1" l="1"/>
  <c r="V156" i="1" s="1"/>
  <c r="AX128" i="1"/>
  <c r="V70" i="1"/>
  <c r="AV70" i="1" s="1"/>
  <c r="T78" i="1"/>
  <c r="T90" i="1" s="1"/>
  <c r="AW69" i="1"/>
  <c r="AS52" i="1"/>
  <c r="AS73" i="1"/>
  <c r="AS84" i="1" s="1"/>
  <c r="AS58" i="1"/>
  <c r="AS44" i="1"/>
  <c r="AS45" i="1" s="1"/>
  <c r="AZ42" i="1"/>
  <c r="AW41" i="1"/>
  <c r="AV66" i="1"/>
  <c r="AR39" i="1"/>
  <c r="AS15" i="1"/>
  <c r="AR72" i="1"/>
  <c r="X96" i="1"/>
  <c r="Y96" i="1" s="1"/>
  <c r="Z96" i="1" s="1"/>
  <c r="AA96" i="1" s="1"/>
  <c r="AN42" i="1"/>
  <c r="AO42" i="1" s="1"/>
  <c r="AP42" i="1" s="1"/>
  <c r="AB69" i="1"/>
  <c r="AC69" i="1" s="1"/>
  <c r="AD69" i="1" s="1"/>
  <c r="AE69" i="1" s="1"/>
  <c r="X66" i="1"/>
  <c r="Y66" i="1" s="1"/>
  <c r="Z66" i="1" s="1"/>
  <c r="AA66" i="1" s="1"/>
  <c r="S89" i="1"/>
  <c r="AT84" i="1"/>
  <c r="AT79" i="1"/>
  <c r="AT80" i="1" s="1"/>
  <c r="AT74" i="1"/>
  <c r="AU88" i="1"/>
  <c r="AV96" i="1"/>
  <c r="AJ43" i="1"/>
  <c r="AK43" i="1" s="1"/>
  <c r="AL43" i="1" s="1"/>
  <c r="AM43" i="1" s="1"/>
  <c r="AB41" i="1"/>
  <c r="AC41" i="1" s="1"/>
  <c r="AD41" i="1" s="1"/>
  <c r="AE41" i="1" s="1"/>
  <c r="S88" i="1"/>
  <c r="S149" i="1" s="1"/>
  <c r="U67" i="1"/>
  <c r="T76" i="1"/>
  <c r="T89" i="1" s="1"/>
  <c r="U65" i="1"/>
  <c r="T71" i="1"/>
  <c r="T75" i="1"/>
  <c r="T88" i="1" s="1"/>
  <c r="T149" i="1" s="1"/>
  <c r="W68" i="1"/>
  <c r="V77" i="1"/>
  <c r="AV77" i="1" s="1"/>
  <c r="S137" i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S134" i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S133" i="1"/>
  <c r="T133" i="1" s="1"/>
  <c r="S129" i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S125" i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S118" i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S116" i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S115" i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O14" i="1"/>
  <c r="O13" i="1"/>
  <c r="O11" i="1"/>
  <c r="Q13" i="1"/>
  <c r="G13" i="1"/>
  <c r="H13" i="1"/>
  <c r="I13" i="1"/>
  <c r="J13" i="1"/>
  <c r="K13" i="1"/>
  <c r="L13" i="1"/>
  <c r="M13" i="1"/>
  <c r="P13" i="1"/>
  <c r="I8" i="2"/>
  <c r="H8" i="2"/>
  <c r="G8" i="2"/>
  <c r="F8" i="2"/>
  <c r="E8" i="2"/>
  <c r="D8" i="2"/>
  <c r="J14" i="1"/>
  <c r="W109" i="1" l="1"/>
  <c r="AV109" i="1"/>
  <c r="AY128" i="1"/>
  <c r="W70" i="1"/>
  <c r="V78" i="1"/>
  <c r="V90" i="1" s="1"/>
  <c r="AV90" i="1" s="1"/>
  <c r="AU63" i="1"/>
  <c r="AU12" i="1"/>
  <c r="AU13" i="1" s="1"/>
  <c r="R14" i="1"/>
  <c r="J72" i="1"/>
  <c r="J39" i="1"/>
  <c r="X109" i="1" l="1"/>
  <c r="X156" i="1" s="1"/>
  <c r="W156" i="1"/>
  <c r="AZ128" i="1"/>
  <c r="BA128" i="1"/>
  <c r="J44" i="1"/>
  <c r="J45" i="1" s="1"/>
  <c r="J58" i="1"/>
  <c r="R39" i="1"/>
  <c r="R40" i="1" s="1"/>
  <c r="AU64" i="1"/>
  <c r="J49" i="1"/>
  <c r="J55" i="1"/>
  <c r="J52" i="1"/>
  <c r="R72" i="1"/>
  <c r="J40" i="1"/>
  <c r="J73" i="1"/>
  <c r="J79" i="1" s="1"/>
  <c r="Y109" i="1" l="1"/>
  <c r="Y156" i="1" s="1"/>
  <c r="R52" i="1"/>
  <c r="R49" i="1"/>
  <c r="R44" i="1"/>
  <c r="R45" i="1" s="1"/>
  <c r="T52" i="1"/>
  <c r="U52" i="1" s="1"/>
  <c r="V52" i="1" s="1"/>
  <c r="W52" i="1" s="1"/>
  <c r="X52" i="1" s="1"/>
  <c r="Y52" i="1" s="1"/>
  <c r="T49" i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T40" i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J74" i="1"/>
  <c r="AU48" i="1"/>
  <c r="J80" i="1"/>
  <c r="J84" i="1"/>
  <c r="Z109" i="1" l="1"/>
  <c r="Z156" i="1" s="1"/>
  <c r="R37" i="1"/>
  <c r="AU36" i="1"/>
  <c r="AU50" i="1"/>
  <c r="R53" i="1"/>
  <c r="AU51" i="1"/>
  <c r="J87" i="1"/>
  <c r="J92" i="1" s="1"/>
  <c r="J86" i="1"/>
  <c r="Z52" i="1"/>
  <c r="AA109" i="1" l="1"/>
  <c r="AW109" i="1"/>
  <c r="AU37" i="1"/>
  <c r="AU53" i="1"/>
  <c r="AU57" i="1"/>
  <c r="J101" i="1"/>
  <c r="J100" i="1"/>
  <c r="J147" i="1"/>
  <c r="J99" i="1"/>
  <c r="AA52" i="1"/>
  <c r="AB109" i="1" l="1"/>
  <c r="AB156" i="1" s="1"/>
  <c r="AA156" i="1"/>
  <c r="AU59" i="1"/>
  <c r="J93" i="1"/>
  <c r="AB52" i="1"/>
  <c r="AC109" i="1" l="1"/>
  <c r="AC156" i="1" s="1"/>
  <c r="AC52" i="1"/>
  <c r="AD109" i="1" l="1"/>
  <c r="AD156" i="1" s="1"/>
  <c r="AD52" i="1"/>
  <c r="O5" i="1"/>
  <c r="O6" i="1" s="1"/>
  <c r="AE109" i="1" l="1"/>
  <c r="AX109" i="1"/>
  <c r="AE52" i="1"/>
  <c r="P5" i="1"/>
  <c r="P6" i="1" s="1"/>
  <c r="AF109" i="1" l="1"/>
  <c r="AF156" i="1" s="1"/>
  <c r="AE156" i="1"/>
  <c r="AF52" i="1"/>
  <c r="AG109" i="1" l="1"/>
  <c r="AG156" i="1" s="1"/>
  <c r="R5" i="1"/>
  <c r="AG52" i="1"/>
  <c r="AH109" i="1" l="1"/>
  <c r="AH156" i="1" s="1"/>
  <c r="R6" i="1"/>
  <c r="AH52" i="1"/>
  <c r="AI109" i="1" l="1"/>
  <c r="AY109" i="1"/>
  <c r="T5" i="1"/>
  <c r="S6" i="1"/>
  <c r="AI52" i="1"/>
  <c r="AJ109" i="1" l="1"/>
  <c r="AJ156" i="1" s="1"/>
  <c r="AI156" i="1"/>
  <c r="U5" i="1"/>
  <c r="T6" i="1"/>
  <c r="AJ52" i="1"/>
  <c r="AK109" i="1" l="1"/>
  <c r="AK156" i="1" s="1"/>
  <c r="U6" i="1"/>
  <c r="V5" i="1"/>
  <c r="AK52" i="1"/>
  <c r="AL109" i="1" l="1"/>
  <c r="AL156" i="1" s="1"/>
  <c r="V6" i="1"/>
  <c r="W5" i="1"/>
  <c r="AL52" i="1"/>
  <c r="AM109" i="1" l="1"/>
  <c r="AZ109" i="1"/>
  <c r="W6" i="1"/>
  <c r="X5" i="1"/>
  <c r="AM52" i="1"/>
  <c r="AN109" i="1" l="1"/>
  <c r="AN156" i="1" s="1"/>
  <c r="AM156" i="1"/>
  <c r="Y5" i="1"/>
  <c r="X6" i="1"/>
  <c r="AN52" i="1"/>
  <c r="AO109" i="1" l="1"/>
  <c r="AO156" i="1" s="1"/>
  <c r="Z5" i="1"/>
  <c r="Y6" i="1"/>
  <c r="AO52" i="1"/>
  <c r="AP109" i="1" l="1"/>
  <c r="BA109" i="1" s="1"/>
  <c r="Z6" i="1"/>
  <c r="AA5" i="1"/>
  <c r="AP52" i="1"/>
  <c r="AP156" i="1" l="1"/>
  <c r="AA6" i="1"/>
  <c r="AB5" i="1"/>
  <c r="AC5" i="1" l="1"/>
  <c r="AB6" i="1"/>
  <c r="AD5" i="1" l="1"/>
  <c r="AC6" i="1"/>
  <c r="AE5" i="1" l="1"/>
  <c r="AD6" i="1"/>
  <c r="V12" i="1"/>
  <c r="V63" i="1" s="1"/>
  <c r="U12" i="1"/>
  <c r="U63" i="1" s="1"/>
  <c r="T12" i="1"/>
  <c r="T63" i="1" s="1"/>
  <c r="S63" i="1" l="1"/>
  <c r="AV12" i="1"/>
  <c r="AF5" i="1"/>
  <c r="AE6" i="1"/>
  <c r="W12" i="1"/>
  <c r="Z12" i="1"/>
  <c r="Z63" i="1" s="1"/>
  <c r="X12" i="1"/>
  <c r="X63" i="1" s="1"/>
  <c r="Y12" i="1"/>
  <c r="Y63" i="1" s="1"/>
  <c r="AV63" i="1" l="1"/>
  <c r="BD63" i="1"/>
  <c r="BE63" i="1" s="1"/>
  <c r="AA12" i="1"/>
  <c r="AA63" i="1" s="1"/>
  <c r="W63" i="1"/>
  <c r="AW63" i="1" s="1"/>
  <c r="AW12" i="1"/>
  <c r="AV13" i="1"/>
  <c r="AV64" i="1"/>
  <c r="AG5" i="1"/>
  <c r="AF6" i="1"/>
  <c r="AD12" i="1"/>
  <c r="AD63" i="1" s="1"/>
  <c r="AC12" i="1"/>
  <c r="AC63" i="1" s="1"/>
  <c r="AB12" i="1"/>
  <c r="AB63" i="1" s="1"/>
  <c r="AE12" i="1" l="1"/>
  <c r="AI12" i="1" s="1"/>
  <c r="AX63" i="1"/>
  <c r="AX12" i="1"/>
  <c r="AW13" i="1"/>
  <c r="AW64" i="1"/>
  <c r="AH5" i="1"/>
  <c r="AG6" i="1"/>
  <c r="AH12" i="1"/>
  <c r="AH63" i="1" s="1"/>
  <c r="AF12" i="1"/>
  <c r="AF63" i="1" s="1"/>
  <c r="AG12" i="1"/>
  <c r="AG63" i="1" s="1"/>
  <c r="AE63" i="1" l="1"/>
  <c r="AX64" i="1"/>
  <c r="AI63" i="1"/>
  <c r="AY12" i="1"/>
  <c r="AX13" i="1"/>
  <c r="AY63" i="1"/>
  <c r="AI5" i="1"/>
  <c r="AH6" i="1"/>
  <c r="AL12" i="1"/>
  <c r="AL63" i="1" s="1"/>
  <c r="AM12" i="1"/>
  <c r="AK12" i="1"/>
  <c r="AK63" i="1" s="1"/>
  <c r="AJ12" i="1"/>
  <c r="AJ63" i="1" s="1"/>
  <c r="AY64" i="1" l="1"/>
  <c r="AM63" i="1"/>
  <c r="AZ12" i="1"/>
  <c r="AY13" i="1"/>
  <c r="AZ63" i="1"/>
  <c r="AZ64" i="1" s="1"/>
  <c r="AJ5" i="1"/>
  <c r="AI6" i="1"/>
  <c r="AP12" i="1"/>
  <c r="AP63" i="1" s="1"/>
  <c r="AN12" i="1"/>
  <c r="AN63" i="1" s="1"/>
  <c r="AO12" i="1"/>
  <c r="AO63" i="1" s="1"/>
  <c r="BA12" i="1" l="1"/>
  <c r="AZ13" i="1"/>
  <c r="BA63" i="1"/>
  <c r="AK5" i="1"/>
  <c r="AJ6" i="1"/>
  <c r="BA13" i="1" l="1"/>
  <c r="BA64" i="1"/>
  <c r="AK6" i="1"/>
  <c r="AL5" i="1"/>
  <c r="AL6" i="1" l="1"/>
  <c r="AM5" i="1"/>
  <c r="R57" i="1"/>
  <c r="R50" i="1"/>
  <c r="R58" i="1" l="1"/>
  <c r="AN5" i="1"/>
  <c r="AM6" i="1"/>
  <c r="R59" i="1"/>
  <c r="R73" i="1"/>
  <c r="R79" i="1" l="1"/>
  <c r="AN6" i="1"/>
  <c r="AO5" i="1"/>
  <c r="R74" i="1"/>
  <c r="R84" i="1"/>
  <c r="R80" i="1" l="1"/>
  <c r="AU85" i="1"/>
  <c r="R86" i="1"/>
  <c r="AP5" i="1"/>
  <c r="AP6" i="1" s="1"/>
  <c r="AO6" i="1"/>
  <c r="R87" i="1"/>
  <c r="R139" i="1" s="1"/>
  <c r="R92" i="1" l="1"/>
  <c r="AU91" i="1"/>
  <c r="S91" i="1"/>
  <c r="R99" i="1"/>
  <c r="R100" i="1"/>
  <c r="R147" i="1"/>
  <c r="AU147" i="1" s="1"/>
  <c r="AU162" i="1" s="1"/>
  <c r="AU186" i="1" s="1"/>
  <c r="R162" i="1" l="1"/>
  <c r="T91" i="1"/>
  <c r="S135" i="1"/>
  <c r="R112" i="1"/>
  <c r="R119" i="1" s="1"/>
  <c r="R93" i="1"/>
  <c r="R101" i="1"/>
  <c r="R186" i="1" l="1"/>
  <c r="R194" i="1" s="1"/>
  <c r="U91" i="1"/>
  <c r="T135" i="1" l="1"/>
  <c r="V91" i="1"/>
  <c r="AV91" i="1" l="1"/>
  <c r="W91" i="1"/>
  <c r="X91" i="1" l="1"/>
  <c r="Y91" i="1" l="1"/>
  <c r="Z91" i="1" l="1"/>
  <c r="AW91" i="1" l="1"/>
  <c r="AA91" i="1"/>
  <c r="AB91" i="1" l="1"/>
  <c r="AC91" i="1" l="1"/>
  <c r="AD91" i="1" l="1"/>
  <c r="AX91" i="1" l="1"/>
  <c r="AE91" i="1"/>
  <c r="AF91" i="1" l="1"/>
  <c r="AG91" i="1" l="1"/>
  <c r="AH91" i="1" l="1"/>
  <c r="AY91" i="1" l="1"/>
  <c r="AI91" i="1"/>
  <c r="AJ91" i="1" l="1"/>
  <c r="AK91" i="1" l="1"/>
  <c r="AL91" i="1" l="1"/>
  <c r="AZ91" i="1" l="1"/>
  <c r="AM91" i="1"/>
  <c r="AN91" i="1" l="1"/>
  <c r="AO91" i="1" l="1"/>
  <c r="AP91" i="1" l="1"/>
  <c r="BA91" i="1" l="1"/>
  <c r="AS40" i="1" l="1"/>
  <c r="AT40" i="1"/>
  <c r="AR40" i="1"/>
  <c r="F14" i="1"/>
  <c r="J15" i="1" s="1"/>
  <c r="U10" i="1"/>
  <c r="C14" i="1"/>
  <c r="E14" i="1"/>
  <c r="N14" i="1"/>
  <c r="O59" i="1"/>
  <c r="N11" i="1"/>
  <c r="G14" i="1"/>
  <c r="H14" i="1"/>
  <c r="I14" i="1"/>
  <c r="G15" i="1" l="1"/>
  <c r="G39" i="1"/>
  <c r="N39" i="1"/>
  <c r="N15" i="1"/>
  <c r="R15" i="1"/>
  <c r="U61" i="1"/>
  <c r="U14" i="1"/>
  <c r="I15" i="1"/>
  <c r="I39" i="1"/>
  <c r="H39" i="1"/>
  <c r="AU61" i="1"/>
  <c r="AU10" i="1"/>
  <c r="C72" i="1"/>
  <c r="F72" i="1"/>
  <c r="V10" i="1"/>
  <c r="E72" i="1"/>
  <c r="H72" i="1"/>
  <c r="G72" i="1"/>
  <c r="I72" i="1"/>
  <c r="N72" i="1"/>
  <c r="Y10" i="1"/>
  <c r="C39" i="1"/>
  <c r="E39" i="1"/>
  <c r="F39" i="1"/>
  <c r="J162" i="1"/>
  <c r="J186" i="1" s="1"/>
  <c r="C139" i="1"/>
  <c r="C126" i="1"/>
  <c r="C130" i="1" s="1"/>
  <c r="D126" i="1"/>
  <c r="D130" i="1" s="1"/>
  <c r="E126" i="1"/>
  <c r="E130" i="1" s="1"/>
  <c r="F126" i="1"/>
  <c r="F130" i="1" s="1"/>
  <c r="G126" i="1"/>
  <c r="G130" i="1" s="1"/>
  <c r="H126" i="1"/>
  <c r="H130" i="1" s="1"/>
  <c r="I126" i="1"/>
  <c r="I130" i="1" s="1"/>
  <c r="J126" i="1"/>
  <c r="J130" i="1" s="1"/>
  <c r="K126" i="1"/>
  <c r="K130" i="1" s="1"/>
  <c r="L126" i="1"/>
  <c r="L130" i="1" s="1"/>
  <c r="M126" i="1"/>
  <c r="M130" i="1" s="1"/>
  <c r="Q139" i="1"/>
  <c r="P139" i="1"/>
  <c r="O139" i="1"/>
  <c r="M139" i="1"/>
  <c r="L139" i="1"/>
  <c r="K139" i="1"/>
  <c r="J139" i="1"/>
  <c r="I139" i="1"/>
  <c r="H139" i="1"/>
  <c r="G139" i="1"/>
  <c r="F139" i="1"/>
  <c r="E139" i="1"/>
  <c r="D139" i="1"/>
  <c r="N139" i="1"/>
  <c r="Q126" i="1"/>
  <c r="Q130" i="1" s="1"/>
  <c r="P126" i="1"/>
  <c r="P130" i="1" s="1"/>
  <c r="O126" i="1"/>
  <c r="O130" i="1" s="1"/>
  <c r="N126" i="1"/>
  <c r="N130" i="1" s="1"/>
  <c r="O112" i="1"/>
  <c r="O119" i="1" s="1"/>
  <c r="N112" i="1"/>
  <c r="N119" i="1" s="1"/>
  <c r="M112" i="1"/>
  <c r="M119" i="1" s="1"/>
  <c r="L119" i="1"/>
  <c r="K112" i="1"/>
  <c r="K119" i="1" s="1"/>
  <c r="J112" i="1"/>
  <c r="J119" i="1" s="1"/>
  <c r="I112" i="1"/>
  <c r="I119" i="1" s="1"/>
  <c r="H112" i="1"/>
  <c r="H119" i="1" s="1"/>
  <c r="G112" i="1"/>
  <c r="G119" i="1" s="1"/>
  <c r="F112" i="1"/>
  <c r="F119" i="1" s="1"/>
  <c r="E112" i="1"/>
  <c r="E119" i="1" s="1"/>
  <c r="D112" i="1"/>
  <c r="D119" i="1" s="1"/>
  <c r="C112" i="1"/>
  <c r="C119" i="1" s="1"/>
  <c r="P112" i="1"/>
  <c r="P119" i="1" s="1"/>
  <c r="Q112" i="1"/>
  <c r="Q119" i="1" s="1"/>
  <c r="D14" i="1"/>
  <c r="H15" i="1" s="1"/>
  <c r="O53" i="1"/>
  <c r="Q50" i="1"/>
  <c r="P50" i="1"/>
  <c r="O50" i="1"/>
  <c r="N50" i="1"/>
  <c r="M50" i="1"/>
  <c r="L50" i="1"/>
  <c r="K50" i="1"/>
  <c r="J50" i="1"/>
  <c r="I50" i="1"/>
  <c r="H50" i="1"/>
  <c r="G50" i="1"/>
  <c r="Q37" i="1"/>
  <c r="P37" i="1"/>
  <c r="O37" i="1"/>
  <c r="N37" i="1"/>
  <c r="M37" i="1"/>
  <c r="L37" i="1"/>
  <c r="K37" i="1"/>
  <c r="J37" i="1"/>
  <c r="I37" i="1"/>
  <c r="H37" i="1"/>
  <c r="G37" i="1"/>
  <c r="I11" i="1"/>
  <c r="H11" i="1"/>
  <c r="G11" i="1"/>
  <c r="Q11" i="1"/>
  <c r="M11" i="1"/>
  <c r="L11" i="1"/>
  <c r="K11" i="1"/>
  <c r="P11" i="1"/>
  <c r="J11" i="1"/>
  <c r="Q14" i="1"/>
  <c r="P14" i="1"/>
  <c r="M14" i="1"/>
  <c r="M15" i="1" s="1"/>
  <c r="L14" i="1"/>
  <c r="L15" i="1" s="1"/>
  <c r="K14" i="1"/>
  <c r="K15" i="1" s="1"/>
  <c r="D5" i="1"/>
  <c r="D6" i="1" s="1"/>
  <c r="C140" i="1" l="1"/>
  <c r="C142" i="1" s="1"/>
  <c r="E140" i="1"/>
  <c r="G140" i="1"/>
  <c r="F140" i="1"/>
  <c r="F142" i="1" s="1"/>
  <c r="N140" i="1"/>
  <c r="N142" i="1" s="1"/>
  <c r="H140" i="1"/>
  <c r="H142" i="1" s="1"/>
  <c r="I140" i="1"/>
  <c r="L140" i="1"/>
  <c r="L142" i="1" s="1"/>
  <c r="Y61" i="1"/>
  <c r="AC10" i="1"/>
  <c r="Y14" i="1"/>
  <c r="I44" i="1"/>
  <c r="I45" i="1" s="1"/>
  <c r="I73" i="1"/>
  <c r="I52" i="1"/>
  <c r="I40" i="1"/>
  <c r="I58" i="1"/>
  <c r="I49" i="1"/>
  <c r="I55" i="1"/>
  <c r="K140" i="1"/>
  <c r="K142" i="1" s="1"/>
  <c r="I142" i="1"/>
  <c r="O140" i="1"/>
  <c r="O142" i="1" s="1"/>
  <c r="Q15" i="1"/>
  <c r="M140" i="1"/>
  <c r="M142" i="1" s="1"/>
  <c r="W10" i="1"/>
  <c r="S61" i="1"/>
  <c r="BD61" i="1" s="1"/>
  <c r="BE61" i="1" s="1"/>
  <c r="J140" i="1"/>
  <c r="J142" i="1" s="1"/>
  <c r="AU11" i="1"/>
  <c r="AU14" i="1"/>
  <c r="H44" i="1"/>
  <c r="H45" i="1" s="1"/>
  <c r="H58" i="1"/>
  <c r="H52" i="1"/>
  <c r="H49" i="1"/>
  <c r="H55" i="1"/>
  <c r="H73" i="1"/>
  <c r="H40" i="1"/>
  <c r="F40" i="1"/>
  <c r="F44" i="1"/>
  <c r="F45" i="1" s="1"/>
  <c r="F58" i="1"/>
  <c r="F73" i="1"/>
  <c r="F49" i="1"/>
  <c r="F55" i="1"/>
  <c r="F52" i="1"/>
  <c r="AU62" i="1"/>
  <c r="P140" i="1"/>
  <c r="P142" i="1" s="1"/>
  <c r="G142" i="1"/>
  <c r="E49" i="1"/>
  <c r="E40" i="1"/>
  <c r="E52" i="1"/>
  <c r="E55" i="1"/>
  <c r="E73" i="1"/>
  <c r="E44" i="1"/>
  <c r="E45" i="1" s="1"/>
  <c r="E58" i="1"/>
  <c r="Q140" i="1"/>
  <c r="E142" i="1"/>
  <c r="C49" i="1"/>
  <c r="C44" i="1"/>
  <c r="C45" i="1" s="1"/>
  <c r="C73" i="1"/>
  <c r="C40" i="1"/>
  <c r="C58" i="1"/>
  <c r="C52" i="1"/>
  <c r="C55" i="1"/>
  <c r="Z10" i="1"/>
  <c r="V61" i="1"/>
  <c r="V14" i="1"/>
  <c r="D140" i="1"/>
  <c r="D142" i="1" s="1"/>
  <c r="N44" i="1"/>
  <c r="N45" i="1" s="1"/>
  <c r="N58" i="1"/>
  <c r="N49" i="1"/>
  <c r="N52" i="1"/>
  <c r="N40" i="1"/>
  <c r="N73" i="1"/>
  <c r="G40" i="1"/>
  <c r="G52" i="1"/>
  <c r="G73" i="1"/>
  <c r="G55" i="1"/>
  <c r="G49" i="1"/>
  <c r="G44" i="1"/>
  <c r="G45" i="1" s="1"/>
  <c r="G58" i="1"/>
  <c r="P15" i="1"/>
  <c r="U51" i="1"/>
  <c r="U53" i="1" s="1"/>
  <c r="U15" i="1"/>
  <c r="U39" i="1"/>
  <c r="Q142" i="1"/>
  <c r="AS79" i="1"/>
  <c r="AS80" i="1" s="1"/>
  <c r="AS74" i="1"/>
  <c r="AZ43" i="1"/>
  <c r="AX69" i="1"/>
  <c r="AX41" i="1"/>
  <c r="AW96" i="1"/>
  <c r="AR73" i="1"/>
  <c r="AR44" i="1"/>
  <c r="AR45" i="1" s="1"/>
  <c r="AR49" i="1"/>
  <c r="AT87" i="1"/>
  <c r="AT92" i="1" s="1"/>
  <c r="AT86" i="1"/>
  <c r="AV78" i="1"/>
  <c r="AB66" i="1"/>
  <c r="AC66" i="1" s="1"/>
  <c r="AD66" i="1" s="1"/>
  <c r="AE66" i="1" s="1"/>
  <c r="AX66" i="1"/>
  <c r="AU82" i="1"/>
  <c r="AW66" i="1"/>
  <c r="AF69" i="1"/>
  <c r="AS87" i="1"/>
  <c r="AS92" i="1" s="1"/>
  <c r="AS86" i="1"/>
  <c r="BA42" i="1"/>
  <c r="AN43" i="1"/>
  <c r="AB96" i="1"/>
  <c r="AF41" i="1"/>
  <c r="U76" i="1"/>
  <c r="V67" i="1"/>
  <c r="V65" i="1"/>
  <c r="U75" i="1"/>
  <c r="U71" i="1"/>
  <c r="U72" i="1" s="1"/>
  <c r="W77" i="1"/>
  <c r="X68" i="1"/>
  <c r="W78" i="1"/>
  <c r="X70" i="1"/>
  <c r="D72" i="1"/>
  <c r="E5" i="1"/>
  <c r="O72" i="1"/>
  <c r="L72" i="1"/>
  <c r="P72" i="1"/>
  <c r="K72" i="1"/>
  <c r="M72" i="1"/>
  <c r="Q72" i="1"/>
  <c r="K39" i="1"/>
  <c r="M39" i="1"/>
  <c r="P39" i="1"/>
  <c r="Q39" i="1"/>
  <c r="O39" i="1"/>
  <c r="D39" i="1"/>
  <c r="L39" i="1"/>
  <c r="R126" i="1"/>
  <c r="R130" i="1" s="1"/>
  <c r="R140" i="1" s="1"/>
  <c r="R142" i="1" s="1"/>
  <c r="C8" i="2"/>
  <c r="S111" i="1"/>
  <c r="S123" i="1"/>
  <c r="O15" i="1"/>
  <c r="N13" i="1"/>
  <c r="T10" i="1"/>
  <c r="AV10" i="1" s="1"/>
  <c r="S124" i="1"/>
  <c r="S108" i="1"/>
  <c r="U133" i="1"/>
  <c r="U36" i="1" l="1"/>
  <c r="U37" i="1" s="1"/>
  <c r="U44" i="1"/>
  <c r="U45" i="1" s="1"/>
  <c r="U48" i="1"/>
  <c r="AV11" i="1"/>
  <c r="AV14" i="1"/>
  <c r="T82" i="1"/>
  <c r="U82" i="1" s="1"/>
  <c r="V82" i="1" s="1"/>
  <c r="W82" i="1" s="1"/>
  <c r="T61" i="1"/>
  <c r="AV61" i="1" s="1"/>
  <c r="AV62" i="1" s="1"/>
  <c r="T14" i="1"/>
  <c r="X10" i="1"/>
  <c r="AW10" i="1" s="1"/>
  <c r="X78" i="1"/>
  <c r="X90" i="1" s="1"/>
  <c r="Y70" i="1"/>
  <c r="I79" i="1"/>
  <c r="I80" i="1" s="1"/>
  <c r="I74" i="1"/>
  <c r="I84" i="1"/>
  <c r="Z61" i="1"/>
  <c r="AD10" i="1"/>
  <c r="Z14" i="1"/>
  <c r="AS93" i="1"/>
  <c r="C79" i="1"/>
  <c r="C80" i="1" s="1"/>
  <c r="C74" i="1"/>
  <c r="C84" i="1"/>
  <c r="H79" i="1"/>
  <c r="H80" i="1" s="1"/>
  <c r="H74" i="1"/>
  <c r="H84" i="1"/>
  <c r="AV65" i="1"/>
  <c r="V75" i="1"/>
  <c r="V88" i="1" s="1"/>
  <c r="V149" i="1" s="1"/>
  <c r="W65" i="1"/>
  <c r="V71" i="1"/>
  <c r="D58" i="1"/>
  <c r="D40" i="1"/>
  <c r="D73" i="1"/>
  <c r="D49" i="1"/>
  <c r="D52" i="1"/>
  <c r="D55" i="1"/>
  <c r="D44" i="1"/>
  <c r="D45" i="1" s="1"/>
  <c r="U89" i="1"/>
  <c r="AG41" i="1"/>
  <c r="AH41" i="1" s="1"/>
  <c r="AI41" i="1" s="1"/>
  <c r="AY41" i="1"/>
  <c r="Q40" i="1"/>
  <c r="Q49" i="1"/>
  <c r="Q52" i="1"/>
  <c r="Q44" i="1"/>
  <c r="Q45" i="1" s="1"/>
  <c r="Q58" i="1"/>
  <c r="Q73" i="1"/>
  <c r="P40" i="1"/>
  <c r="P44" i="1"/>
  <c r="P45" i="1" s="1"/>
  <c r="P58" i="1"/>
  <c r="P73" i="1"/>
  <c r="P49" i="1"/>
  <c r="P52" i="1"/>
  <c r="M58" i="1"/>
  <c r="M44" i="1"/>
  <c r="M45" i="1" s="1"/>
  <c r="M73" i="1"/>
  <c r="M52" i="1"/>
  <c r="M40" i="1"/>
  <c r="M49" i="1"/>
  <c r="L49" i="1"/>
  <c r="L73" i="1"/>
  <c r="L44" i="1"/>
  <c r="L45" i="1" s="1"/>
  <c r="L52" i="1"/>
  <c r="L58" i="1"/>
  <c r="L40" i="1"/>
  <c r="AO43" i="1"/>
  <c r="AP43" i="1" s="1"/>
  <c r="BA43" i="1"/>
  <c r="K73" i="1"/>
  <c r="K52" i="1"/>
  <c r="K40" i="1"/>
  <c r="K49" i="1"/>
  <c r="K44" i="1"/>
  <c r="K45" i="1" s="1"/>
  <c r="K58" i="1"/>
  <c r="F79" i="1"/>
  <c r="F80" i="1" s="1"/>
  <c r="F74" i="1"/>
  <c r="F84" i="1"/>
  <c r="AF66" i="1"/>
  <c r="AG66" i="1" s="1"/>
  <c r="AH66" i="1" s="1"/>
  <c r="AI66" i="1" s="1"/>
  <c r="AT93" i="1"/>
  <c r="AT94" i="1"/>
  <c r="T111" i="1"/>
  <c r="U111" i="1" s="1"/>
  <c r="S158" i="1"/>
  <c r="AV67" i="1"/>
  <c r="W67" i="1"/>
  <c r="V76" i="1"/>
  <c r="V89" i="1" s="1"/>
  <c r="S15" i="1"/>
  <c r="S72" i="1"/>
  <c r="O49" i="1"/>
  <c r="O52" i="1"/>
  <c r="O73" i="1"/>
  <c r="O58" i="1"/>
  <c r="O44" i="1"/>
  <c r="O45" i="1" s="1"/>
  <c r="O40" i="1"/>
  <c r="V39" i="1"/>
  <c r="V36" i="1" s="1"/>
  <c r="V37" i="1" s="1"/>
  <c r="V51" i="1"/>
  <c r="V53" i="1" s="1"/>
  <c r="V15" i="1"/>
  <c r="AA10" i="1"/>
  <c r="W61" i="1"/>
  <c r="W14" i="1"/>
  <c r="AC96" i="1"/>
  <c r="AD96" i="1" s="1"/>
  <c r="AE96" i="1" s="1"/>
  <c r="AG69" i="1"/>
  <c r="AH69" i="1" s="1"/>
  <c r="AI69" i="1" s="1"/>
  <c r="V133" i="1"/>
  <c r="T108" i="1"/>
  <c r="E6" i="1"/>
  <c r="F5" i="1"/>
  <c r="G79" i="1"/>
  <c r="G80" i="1" s="1"/>
  <c r="G74" i="1"/>
  <c r="G84" i="1"/>
  <c r="W90" i="1"/>
  <c r="X77" i="1"/>
  <c r="Y68" i="1"/>
  <c r="N79" i="1"/>
  <c r="N80" i="1" s="1"/>
  <c r="N74" i="1"/>
  <c r="N84" i="1"/>
  <c r="E79" i="1"/>
  <c r="E80" i="1" s="1"/>
  <c r="E84" i="1"/>
  <c r="E74" i="1"/>
  <c r="Y15" i="1"/>
  <c r="Y39" i="1"/>
  <c r="Y51" i="1"/>
  <c r="Y53" i="1" s="1"/>
  <c r="Y36" i="1"/>
  <c r="Y37" i="1" s="1"/>
  <c r="T123" i="1"/>
  <c r="S159" i="1"/>
  <c r="AU72" i="1"/>
  <c r="AU15" i="1"/>
  <c r="AU39" i="1"/>
  <c r="AC61" i="1"/>
  <c r="AG10" i="1"/>
  <c r="AC14" i="1"/>
  <c r="AR74" i="1"/>
  <c r="AR84" i="1"/>
  <c r="AR79" i="1"/>
  <c r="AR80" i="1" s="1"/>
  <c r="AV75" i="1"/>
  <c r="U88" i="1"/>
  <c r="T124" i="1"/>
  <c r="S160" i="1"/>
  <c r="S126" i="1"/>
  <c r="S130" i="1" s="1"/>
  <c r="AX96" i="1" l="1"/>
  <c r="AV127" i="1"/>
  <c r="AV130" i="1" s="1"/>
  <c r="T158" i="1"/>
  <c r="AV89" i="1"/>
  <c r="AF96" i="1"/>
  <c r="AG96" i="1" s="1"/>
  <c r="AH96" i="1" s="1"/>
  <c r="AI96" i="1" s="1"/>
  <c r="N87" i="1"/>
  <c r="N86" i="1"/>
  <c r="AW11" i="1"/>
  <c r="AW14" i="1"/>
  <c r="AA61" i="1"/>
  <c r="AE10" i="1"/>
  <c r="AA14" i="1"/>
  <c r="Z68" i="1"/>
  <c r="Y77" i="1"/>
  <c r="D79" i="1"/>
  <c r="D80" i="1" s="1"/>
  <c r="D84" i="1"/>
  <c r="D74" i="1"/>
  <c r="X61" i="1"/>
  <c r="AW61" i="1" s="1"/>
  <c r="AW62" i="1" s="1"/>
  <c r="AB10" i="1"/>
  <c r="X14" i="1"/>
  <c r="AC39" i="1"/>
  <c r="AC15" i="1"/>
  <c r="AC51" i="1"/>
  <c r="AC53" i="1" s="1"/>
  <c r="F6" i="1"/>
  <c r="G5" i="1"/>
  <c r="AV82" i="1"/>
  <c r="AV76" i="1"/>
  <c r="I87" i="1"/>
  <c r="I86" i="1"/>
  <c r="U149" i="1"/>
  <c r="U135" i="1" s="1"/>
  <c r="AV88" i="1"/>
  <c r="F86" i="1"/>
  <c r="F87" i="1"/>
  <c r="X65" i="1"/>
  <c r="W75" i="1"/>
  <c r="W71" i="1"/>
  <c r="W72" i="1" s="1"/>
  <c r="AU52" i="1"/>
  <c r="AU58" i="1"/>
  <c r="AU73" i="1"/>
  <c r="AU44" i="1"/>
  <c r="AU45" i="1" s="1"/>
  <c r="AU49" i="1"/>
  <c r="AU40" i="1"/>
  <c r="AJ66" i="1"/>
  <c r="AK66" i="1" s="1"/>
  <c r="AL66" i="1" s="1"/>
  <c r="AM66" i="1" s="1"/>
  <c r="AN66" i="1" s="1"/>
  <c r="AO66" i="1" s="1"/>
  <c r="AP66" i="1" s="1"/>
  <c r="BA66" i="1" s="1"/>
  <c r="AR86" i="1"/>
  <c r="AR87" i="1"/>
  <c r="AR92" i="1" s="1"/>
  <c r="P79" i="1"/>
  <c r="P80" i="1" s="1"/>
  <c r="P84" i="1"/>
  <c r="P74" i="1"/>
  <c r="X82" i="1"/>
  <c r="Y82" i="1" s="1"/>
  <c r="Z82" i="1" s="1"/>
  <c r="AA82" i="1" s="1"/>
  <c r="O79" i="1"/>
  <c r="O80" i="1" s="1"/>
  <c r="O74" i="1"/>
  <c r="O84" i="1"/>
  <c r="AJ69" i="1"/>
  <c r="AK69" i="1" s="1"/>
  <c r="AL69" i="1" s="1"/>
  <c r="AM69" i="1" s="1"/>
  <c r="W76" i="1"/>
  <c r="X67" i="1"/>
  <c r="E86" i="1"/>
  <c r="E87" i="1"/>
  <c r="AJ41" i="1"/>
  <c r="AK41" i="1" s="1"/>
  <c r="AL41" i="1" s="1"/>
  <c r="AM41" i="1" s="1"/>
  <c r="Z51" i="1"/>
  <c r="Z53" i="1" s="1"/>
  <c r="Z39" i="1"/>
  <c r="Z15" i="1"/>
  <c r="W39" i="1"/>
  <c r="W36" i="1" s="1"/>
  <c r="W51" i="1"/>
  <c r="W15" i="1"/>
  <c r="L79" i="1"/>
  <c r="L80" i="1" s="1"/>
  <c r="L84" i="1"/>
  <c r="L74" i="1"/>
  <c r="AD61" i="1"/>
  <c r="AH10" i="1"/>
  <c r="AD14" i="1"/>
  <c r="U158" i="1"/>
  <c r="V111" i="1"/>
  <c r="AV111" i="1" s="1"/>
  <c r="M79" i="1"/>
  <c r="M80" i="1" s="1"/>
  <c r="M74" i="1"/>
  <c r="M84" i="1"/>
  <c r="Y78" i="1"/>
  <c r="Y90" i="1" s="1"/>
  <c r="Z70" i="1"/>
  <c r="AY66" i="1"/>
  <c r="V48" i="1"/>
  <c r="V44" i="1"/>
  <c r="V45" i="1" s="1"/>
  <c r="G87" i="1"/>
  <c r="G86" i="1"/>
  <c r="T15" i="1"/>
  <c r="T72" i="1"/>
  <c r="T51" i="1"/>
  <c r="T53" i="1" s="1"/>
  <c r="T39" i="1"/>
  <c r="T36" i="1"/>
  <c r="T37" i="1" s="1"/>
  <c r="AG61" i="1"/>
  <c r="AK10" i="1"/>
  <c r="AG14" i="1"/>
  <c r="AV71" i="1"/>
  <c r="AV72" i="1" s="1"/>
  <c r="V72" i="1"/>
  <c r="AV15" i="1"/>
  <c r="H87" i="1"/>
  <c r="H86" i="1"/>
  <c r="S37" i="1"/>
  <c r="Q79" i="1"/>
  <c r="Q80" i="1" s="1"/>
  <c r="Q74" i="1"/>
  <c r="Q84" i="1"/>
  <c r="U123" i="1"/>
  <c r="T159" i="1"/>
  <c r="U108" i="1"/>
  <c r="K79" i="1"/>
  <c r="K80" i="1" s="1"/>
  <c r="K84" i="1"/>
  <c r="K74" i="1"/>
  <c r="U57" i="1"/>
  <c r="U50" i="1"/>
  <c r="S53" i="1"/>
  <c r="AV51" i="1"/>
  <c r="C86" i="1"/>
  <c r="C87" i="1"/>
  <c r="W133" i="1"/>
  <c r="X133" i="1" s="1"/>
  <c r="S44" i="1"/>
  <c r="S45" i="1" s="1"/>
  <c r="Y44" i="1"/>
  <c r="Y45" i="1" s="1"/>
  <c r="Y48" i="1"/>
  <c r="AY69" i="1"/>
  <c r="U124" i="1"/>
  <c r="T126" i="1"/>
  <c r="T130" i="1" s="1"/>
  <c r="T160" i="1"/>
  <c r="AW127" i="1" l="1"/>
  <c r="AW130" i="1" s="1"/>
  <c r="AZ66" i="1"/>
  <c r="AW82" i="1"/>
  <c r="AZ41" i="1"/>
  <c r="AV36" i="1"/>
  <c r="AV37" i="1" s="1"/>
  <c r="W37" i="1"/>
  <c r="V57" i="1"/>
  <c r="V50" i="1"/>
  <c r="Y57" i="1"/>
  <c r="Y50" i="1"/>
  <c r="AN41" i="1"/>
  <c r="AO41" i="1" s="1"/>
  <c r="AP41" i="1" s="1"/>
  <c r="BA41" i="1"/>
  <c r="AW70" i="1"/>
  <c r="AA70" i="1"/>
  <c r="Z78" i="1"/>
  <c r="Z90" i="1" s="1"/>
  <c r="AW90" i="1" s="1"/>
  <c r="X39" i="1"/>
  <c r="X15" i="1"/>
  <c r="X51" i="1"/>
  <c r="X53" i="1" s="1"/>
  <c r="X36" i="1"/>
  <c r="X37" i="1" s="1"/>
  <c r="S50" i="1"/>
  <c r="S57" i="1"/>
  <c r="C92" i="1"/>
  <c r="C147" i="1"/>
  <c r="C162" i="1" s="1"/>
  <c r="C186" i="1" s="1"/>
  <c r="C100" i="1"/>
  <c r="C99" i="1"/>
  <c r="AG39" i="1"/>
  <c r="AG15" i="1"/>
  <c r="AG51" i="1"/>
  <c r="AG53" i="1" s="1"/>
  <c r="AG36" i="1"/>
  <c r="Y65" i="1"/>
  <c r="X71" i="1"/>
  <c r="X72" i="1" s="1"/>
  <c r="X75" i="1"/>
  <c r="X88" i="1" s="1"/>
  <c r="X149" i="1" s="1"/>
  <c r="F92" i="1"/>
  <c r="F162" i="1"/>
  <c r="F186" i="1" s="1"/>
  <c r="F100" i="1"/>
  <c r="F99" i="1"/>
  <c r="V135" i="1"/>
  <c r="E99" i="1"/>
  <c r="E100" i="1"/>
  <c r="E92" i="1"/>
  <c r="E147" i="1"/>
  <c r="E162" i="1" s="1"/>
  <c r="E186" i="1" s="1"/>
  <c r="AV39" i="1"/>
  <c r="AV52" i="1" s="1"/>
  <c r="AK61" i="1"/>
  <c r="AO10" i="1"/>
  <c r="AK14" i="1"/>
  <c r="AC48" i="1"/>
  <c r="AC44" i="1"/>
  <c r="AC45" i="1" s="1"/>
  <c r="AB61" i="1"/>
  <c r="AF10" i="1"/>
  <c r="AB14" i="1"/>
  <c r="AU84" i="1"/>
  <c r="AU79" i="1"/>
  <c r="AU80" i="1" s="1"/>
  <c r="AU74" i="1"/>
  <c r="Y133" i="1"/>
  <c r="V158" i="1"/>
  <c r="AV158" i="1" s="1"/>
  <c r="W111" i="1"/>
  <c r="D87" i="1"/>
  <c r="D86" i="1"/>
  <c r="W88" i="1"/>
  <c r="AV53" i="1"/>
  <c r="AZ69" i="1"/>
  <c r="AH61" i="1"/>
  <c r="AL10" i="1"/>
  <c r="AH14" i="1"/>
  <c r="AW68" i="1"/>
  <c r="AA68" i="1"/>
  <c r="Z77" i="1"/>
  <c r="AW77" i="1" s="1"/>
  <c r="AA51" i="1"/>
  <c r="AA15" i="1"/>
  <c r="AA39" i="1"/>
  <c r="AA36" i="1" s="1"/>
  <c r="U58" i="1"/>
  <c r="U59" i="1"/>
  <c r="U73" i="1"/>
  <c r="AI10" i="1"/>
  <c r="AE61" i="1"/>
  <c r="AY10" i="1"/>
  <c r="AE14" i="1"/>
  <c r="T44" i="1"/>
  <c r="T45" i="1" s="1"/>
  <c r="T48" i="1"/>
  <c r="AV48" i="1" s="1"/>
  <c r="AX61" i="1"/>
  <c r="K86" i="1"/>
  <c r="K87" i="1"/>
  <c r="AB82" i="1"/>
  <c r="AC82" i="1" s="1"/>
  <c r="AD82" i="1" s="1"/>
  <c r="AE82" i="1" s="1"/>
  <c r="AX10" i="1"/>
  <c r="I92" i="1"/>
  <c r="I100" i="1"/>
  <c r="I147" i="1"/>
  <c r="I162" i="1" s="1"/>
  <c r="I186" i="1" s="1"/>
  <c r="I99" i="1"/>
  <c r="AW15" i="1"/>
  <c r="P86" i="1"/>
  <c r="P87" i="1"/>
  <c r="V108" i="1"/>
  <c r="W53" i="1"/>
  <c r="M86" i="1"/>
  <c r="M87" i="1"/>
  <c r="X76" i="1"/>
  <c r="X89" i="1" s="1"/>
  <c r="Y67" i="1"/>
  <c r="W89" i="1"/>
  <c r="AN69" i="1"/>
  <c r="AO69" i="1" s="1"/>
  <c r="AP69" i="1" s="1"/>
  <c r="BA69" i="1"/>
  <c r="AD51" i="1"/>
  <c r="AD53" i="1" s="1"/>
  <c r="AD39" i="1"/>
  <c r="AD36" i="1" s="1"/>
  <c r="AD15" i="1"/>
  <c r="O87" i="1"/>
  <c r="O86" i="1"/>
  <c r="L87" i="1"/>
  <c r="L86" i="1"/>
  <c r="G92" i="1"/>
  <c r="G100" i="1"/>
  <c r="AS100" i="1" s="1"/>
  <c r="G99" i="1"/>
  <c r="G147" i="1"/>
  <c r="G162" i="1" s="1"/>
  <c r="G186" i="1" s="1"/>
  <c r="W48" i="1"/>
  <c r="W44" i="1"/>
  <c r="W45" i="1" s="1"/>
  <c r="G6" i="1"/>
  <c r="H5" i="1"/>
  <c r="N92" i="1"/>
  <c r="N100" i="1"/>
  <c r="N147" i="1"/>
  <c r="N162" i="1" s="1"/>
  <c r="N186" i="1" s="1"/>
  <c r="N99" i="1"/>
  <c r="H92" i="1"/>
  <c r="H147" i="1"/>
  <c r="H162" i="1" s="1"/>
  <c r="H186" i="1" s="1"/>
  <c r="H100" i="1"/>
  <c r="H99" i="1"/>
  <c r="V123" i="1"/>
  <c r="U159" i="1"/>
  <c r="AR93" i="1"/>
  <c r="AS94" i="1"/>
  <c r="AJ96" i="1"/>
  <c r="AK96" i="1" s="1"/>
  <c r="AL96" i="1" s="1"/>
  <c r="AM96" i="1" s="1"/>
  <c r="Q87" i="1"/>
  <c r="Q86" i="1"/>
  <c r="Z36" i="1"/>
  <c r="Z37" i="1" s="1"/>
  <c r="Z48" i="1"/>
  <c r="Z44" i="1"/>
  <c r="Z45" i="1" s="1"/>
  <c r="AC36" i="1"/>
  <c r="AC37" i="1" s="1"/>
  <c r="AY96" i="1"/>
  <c r="V124" i="1"/>
  <c r="U126" i="1"/>
  <c r="U130" i="1" s="1"/>
  <c r="U160" i="1"/>
  <c r="F194" i="1" l="1"/>
  <c r="AX127" i="1"/>
  <c r="AX130" i="1" s="1"/>
  <c r="AV156" i="1"/>
  <c r="AV108" i="1"/>
  <c r="AZ96" i="1"/>
  <c r="AX62" i="1"/>
  <c r="AW51" i="1"/>
  <c r="AW78" i="1"/>
  <c r="AS99" i="1"/>
  <c r="AV57" i="1"/>
  <c r="AV73" i="1" s="1"/>
  <c r="AV50" i="1"/>
  <c r="AV49" i="1"/>
  <c r="AO61" i="1"/>
  <c r="AO14" i="1"/>
  <c r="AL61" i="1"/>
  <c r="AP10" i="1"/>
  <c r="AL14" i="1"/>
  <c r="G94" i="1"/>
  <c r="C101" i="1"/>
  <c r="C93" i="1"/>
  <c r="AR100" i="1"/>
  <c r="N101" i="1"/>
  <c r="N94" i="1"/>
  <c r="N93" i="1"/>
  <c r="R94" i="1"/>
  <c r="K92" i="1"/>
  <c r="K94" i="1" s="1"/>
  <c r="K147" i="1"/>
  <c r="K99" i="1"/>
  <c r="K100" i="1"/>
  <c r="Z67" i="1"/>
  <c r="Y76" i="1"/>
  <c r="D92" i="1"/>
  <c r="D99" i="1"/>
  <c r="D162" i="1"/>
  <c r="D186" i="1" s="1"/>
  <c r="D100" i="1"/>
  <c r="Z133" i="1"/>
  <c r="L92" i="1"/>
  <c r="L147" i="1"/>
  <c r="L162" i="1" s="1"/>
  <c r="L186" i="1" s="1"/>
  <c r="L100" i="1"/>
  <c r="L99" i="1"/>
  <c r="AA37" i="1"/>
  <c r="AD37" i="1"/>
  <c r="AD48" i="1"/>
  <c r="AD44" i="1"/>
  <c r="AD45" i="1" s="1"/>
  <c r="V59" i="1"/>
  <c r="V58" i="1"/>
  <c r="V73" i="1"/>
  <c r="AV44" i="1"/>
  <c r="AV45" i="1" s="1"/>
  <c r="AV40" i="1"/>
  <c r="Z50" i="1"/>
  <c r="Z57" i="1"/>
  <c r="G101" i="1"/>
  <c r="G93" i="1"/>
  <c r="V159" i="1"/>
  <c r="W123" i="1"/>
  <c r="AU86" i="1"/>
  <c r="AU87" i="1"/>
  <c r="AU92" i="1" s="1"/>
  <c r="Z65" i="1"/>
  <c r="Y71" i="1"/>
  <c r="Y72" i="1" s="1"/>
  <c r="Y75" i="1"/>
  <c r="AA53" i="1"/>
  <c r="I101" i="1"/>
  <c r="I93" i="1"/>
  <c r="AB68" i="1"/>
  <c r="AA77" i="1"/>
  <c r="H6" i="1"/>
  <c r="I5" i="1"/>
  <c r="S58" i="1"/>
  <c r="S59" i="1"/>
  <c r="S73" i="1"/>
  <c r="M99" i="1"/>
  <c r="M147" i="1"/>
  <c r="M162" i="1" s="1"/>
  <c r="M186" i="1" s="1"/>
  <c r="M92" i="1"/>
  <c r="M100" i="1"/>
  <c r="I94" i="1"/>
  <c r="E93" i="1"/>
  <c r="E101" i="1"/>
  <c r="AW53" i="1"/>
  <c r="W57" i="1"/>
  <c r="W50" i="1"/>
  <c r="AE15" i="1"/>
  <c r="AE51" i="1"/>
  <c r="AE39" i="1"/>
  <c r="AE36" i="1" s="1"/>
  <c r="Q92" i="1"/>
  <c r="Q147" i="1"/>
  <c r="Q162" i="1" s="1"/>
  <c r="Q186" i="1" s="1"/>
  <c r="Q99" i="1"/>
  <c r="Q100" i="1"/>
  <c r="W108" i="1"/>
  <c r="W158" i="1"/>
  <c r="X111" i="1"/>
  <c r="AM10" i="1"/>
  <c r="AI61" i="1"/>
  <c r="AI14" i="1"/>
  <c r="P99" i="1"/>
  <c r="P92" i="1"/>
  <c r="P100" i="1"/>
  <c r="P147" i="1"/>
  <c r="P162" i="1" s="1"/>
  <c r="P186" i="1" s="1"/>
  <c r="AB70" i="1"/>
  <c r="AA78" i="1"/>
  <c r="F101" i="1"/>
  <c r="F93" i="1"/>
  <c r="J94" i="1"/>
  <c r="AA48" i="1"/>
  <c r="AA44" i="1"/>
  <c r="AA45" i="1" s="1"/>
  <c r="Y59" i="1"/>
  <c r="Y58" i="1"/>
  <c r="Y73" i="1"/>
  <c r="AF61" i="1"/>
  <c r="AY61" i="1" s="1"/>
  <c r="AY62" i="1" s="1"/>
  <c r="AJ10" i="1"/>
  <c r="AZ10" i="1" s="1"/>
  <c r="AF14" i="1"/>
  <c r="AX11" i="1"/>
  <c r="AX14" i="1"/>
  <c r="AG48" i="1"/>
  <c r="AG44" i="1"/>
  <c r="AG45" i="1" s="1"/>
  <c r="AW36" i="1"/>
  <c r="AF82" i="1"/>
  <c r="AG82" i="1" s="1"/>
  <c r="AH82" i="1" s="1"/>
  <c r="AI82" i="1" s="1"/>
  <c r="AK15" i="1"/>
  <c r="AK39" i="1"/>
  <c r="AK51" i="1"/>
  <c r="AK53" i="1" s="1"/>
  <c r="AK36" i="1"/>
  <c r="AK37" i="1" s="1"/>
  <c r="T50" i="1"/>
  <c r="T57" i="1"/>
  <c r="W149" i="1"/>
  <c r="W135" i="1" s="1"/>
  <c r="AY11" i="1"/>
  <c r="AY14" i="1"/>
  <c r="X48" i="1"/>
  <c r="AW48" i="1" s="1"/>
  <c r="X44" i="1"/>
  <c r="X45" i="1" s="1"/>
  <c r="AN96" i="1"/>
  <c r="AO96" i="1" s="1"/>
  <c r="AP96" i="1" s="1"/>
  <c r="U79" i="1"/>
  <c r="U80" i="1" s="1"/>
  <c r="U84" i="1"/>
  <c r="U74" i="1"/>
  <c r="O92" i="1"/>
  <c r="O99" i="1"/>
  <c r="O100" i="1"/>
  <c r="O147" i="1"/>
  <c r="O162" i="1" s="1"/>
  <c r="O186" i="1" s="1"/>
  <c r="AB15" i="1"/>
  <c r="AB51" i="1"/>
  <c r="AB53" i="1" s="1"/>
  <c r="AB39" i="1"/>
  <c r="AB36" i="1"/>
  <c r="AB37" i="1" s="1"/>
  <c r="AG37" i="1"/>
  <c r="H94" i="1"/>
  <c r="H101" i="1"/>
  <c r="H93" i="1"/>
  <c r="AX82" i="1"/>
  <c r="AH15" i="1"/>
  <c r="AH51" i="1"/>
  <c r="AH53" i="1" s="1"/>
  <c r="AH39" i="1"/>
  <c r="AH36" i="1"/>
  <c r="AH37" i="1" s="1"/>
  <c r="AC57" i="1"/>
  <c r="AC50" i="1"/>
  <c r="AR99" i="1"/>
  <c r="W124" i="1"/>
  <c r="V160" i="1"/>
  <c r="V126" i="1"/>
  <c r="V130" i="1" s="1"/>
  <c r="BA96" i="1" l="1"/>
  <c r="AY127" i="1"/>
  <c r="AY130" i="1" s="1"/>
  <c r="AU100" i="1"/>
  <c r="AT100" i="1"/>
  <c r="AT99" i="1"/>
  <c r="AW67" i="1"/>
  <c r="Z76" i="1"/>
  <c r="Z89" i="1" s="1"/>
  <c r="AA67" i="1"/>
  <c r="V79" i="1"/>
  <c r="V80" i="1" s="1"/>
  <c r="V74" i="1"/>
  <c r="V84" i="1"/>
  <c r="AE37" i="1"/>
  <c r="AE44" i="1"/>
  <c r="AE45" i="1" s="1"/>
  <c r="AE48" i="1"/>
  <c r="K162" i="1"/>
  <c r="K186" i="1" s="1"/>
  <c r="AA90" i="1"/>
  <c r="AW50" i="1"/>
  <c r="AW57" i="1"/>
  <c r="AG57" i="1"/>
  <c r="AG50" i="1"/>
  <c r="AM61" i="1"/>
  <c r="AM14" i="1"/>
  <c r="W159" i="1"/>
  <c r="X123" i="1"/>
  <c r="AO15" i="1"/>
  <c r="AO51" i="1"/>
  <c r="AO53" i="1" s="1"/>
  <c r="AO39" i="1"/>
  <c r="AO36" i="1" s="1"/>
  <c r="AO37" i="1" s="1"/>
  <c r="I6" i="1"/>
  <c r="J5" i="1"/>
  <c r="Y89" i="1"/>
  <c r="AW76" i="1"/>
  <c r="AB48" i="1"/>
  <c r="AB44" i="1"/>
  <c r="AB45" i="1" s="1"/>
  <c r="AX48" i="1"/>
  <c r="AA57" i="1"/>
  <c r="AA50" i="1"/>
  <c r="AV79" i="1"/>
  <c r="AV80" i="1" s="1"/>
  <c r="AV84" i="1"/>
  <c r="AV74" i="1"/>
  <c r="AJ82" i="1"/>
  <c r="AK82" i="1" s="1"/>
  <c r="AL82" i="1" s="1"/>
  <c r="AM82" i="1" s="1"/>
  <c r="AN82" i="1" s="1"/>
  <c r="AO82" i="1" s="1"/>
  <c r="AP82" i="1" s="1"/>
  <c r="BA82" i="1" s="1"/>
  <c r="AX36" i="1"/>
  <c r="AX37" i="1" s="1"/>
  <c r="AC58" i="1"/>
  <c r="AC59" i="1"/>
  <c r="AC73" i="1"/>
  <c r="AW65" i="1"/>
  <c r="AA65" i="1"/>
  <c r="Z71" i="1"/>
  <c r="Z75" i="1"/>
  <c r="Z88" i="1" s="1"/>
  <c r="Z149" i="1" s="1"/>
  <c r="AH48" i="1"/>
  <c r="AH44" i="1"/>
  <c r="AH45" i="1" s="1"/>
  <c r="AL39" i="1"/>
  <c r="AL15" i="1"/>
  <c r="AL51" i="1"/>
  <c r="AL53" i="1" s="1"/>
  <c r="AL36" i="1"/>
  <c r="AL37" i="1" s="1"/>
  <c r="AF15" i="1"/>
  <c r="AF39" i="1"/>
  <c r="AF51" i="1"/>
  <c r="AF53" i="1" s="1"/>
  <c r="AF36" i="1"/>
  <c r="AF37" i="1" s="1"/>
  <c r="AY15" i="1"/>
  <c r="S79" i="1"/>
  <c r="S80" i="1" s="1"/>
  <c r="S74" i="1"/>
  <c r="S84" i="1"/>
  <c r="Z59" i="1"/>
  <c r="Z58" i="1"/>
  <c r="Z73" i="1"/>
  <c r="Q101" i="1"/>
  <c r="Q93" i="1"/>
  <c r="AK44" i="1"/>
  <c r="AK45" i="1" s="1"/>
  <c r="AK48" i="1"/>
  <c r="AB77" i="1"/>
  <c r="AC68" i="1"/>
  <c r="AE53" i="1"/>
  <c r="AU99" i="1"/>
  <c r="AC70" i="1"/>
  <c r="AB78" i="1"/>
  <c r="AB90" i="1" s="1"/>
  <c r="O93" i="1"/>
  <c r="O101" i="1"/>
  <c r="O94" i="1"/>
  <c r="C5" i="2"/>
  <c r="AX51" i="1"/>
  <c r="AW37" i="1"/>
  <c r="AW39" i="1"/>
  <c r="AW49" i="1" s="1"/>
  <c r="P94" i="1"/>
  <c r="P101" i="1"/>
  <c r="P93" i="1"/>
  <c r="AI39" i="1"/>
  <c r="AI36" i="1" s="1"/>
  <c r="AI15" i="1"/>
  <c r="AI51" i="1"/>
  <c r="AX15" i="1"/>
  <c r="L93" i="1"/>
  <c r="L101" i="1"/>
  <c r="L94" i="1"/>
  <c r="Q94" i="1"/>
  <c r="M94" i="1"/>
  <c r="M101" i="1"/>
  <c r="M93" i="1"/>
  <c r="AS101" i="1"/>
  <c r="Y79" i="1"/>
  <c r="Y80" i="1" s="1"/>
  <c r="Y74" i="1"/>
  <c r="Y84" i="1"/>
  <c r="T59" i="1"/>
  <c r="T58" i="1"/>
  <c r="T73" i="1"/>
  <c r="X108" i="1"/>
  <c r="AY82" i="1"/>
  <c r="K93" i="1"/>
  <c r="K101" i="1"/>
  <c r="AD50" i="1"/>
  <c r="AD57" i="1"/>
  <c r="W58" i="1"/>
  <c r="W59" i="1"/>
  <c r="W73" i="1"/>
  <c r="U85" i="1"/>
  <c r="U87" i="1" s="1"/>
  <c r="Y88" i="1"/>
  <c r="AU93" i="1"/>
  <c r="AU94" i="1"/>
  <c r="AZ11" i="1"/>
  <c r="AZ14" i="1"/>
  <c r="X57" i="1"/>
  <c r="X50" i="1"/>
  <c r="AP61" i="1"/>
  <c r="AP14" i="1"/>
  <c r="AJ61" i="1"/>
  <c r="AZ61" i="1" s="1"/>
  <c r="AZ62" i="1" s="1"/>
  <c r="AN10" i="1"/>
  <c r="AJ14" i="1"/>
  <c r="X135" i="1"/>
  <c r="AA133" i="1"/>
  <c r="X158" i="1"/>
  <c r="Y111" i="1"/>
  <c r="Y158" i="1" s="1"/>
  <c r="D101" i="1"/>
  <c r="AR101" i="1" s="1"/>
  <c r="D93" i="1"/>
  <c r="AV59" i="1"/>
  <c r="AV58" i="1"/>
  <c r="X124" i="1"/>
  <c r="W160" i="1"/>
  <c r="W126" i="1"/>
  <c r="W130" i="1" s="1"/>
  <c r="C7" i="2" l="1"/>
  <c r="C9" i="2" s="1"/>
  <c r="BA127" i="1"/>
  <c r="BA130" i="1" s="1"/>
  <c r="AZ127" i="1"/>
  <c r="AZ130" i="1" s="1"/>
  <c r="AW75" i="1"/>
  <c r="AZ82" i="1"/>
  <c r="AW89" i="1"/>
  <c r="AU101" i="1"/>
  <c r="AX39" i="1"/>
  <c r="AX44" i="1" s="1"/>
  <c r="AX45" i="1" s="1"/>
  <c r="AF48" i="1"/>
  <c r="AF44" i="1"/>
  <c r="AF45" i="1" s="1"/>
  <c r="AW59" i="1"/>
  <c r="AW58" i="1"/>
  <c r="AT101" i="1"/>
  <c r="AK50" i="1"/>
  <c r="AK57" i="1"/>
  <c r="AY36" i="1"/>
  <c r="Y123" i="1"/>
  <c r="X159" i="1"/>
  <c r="V85" i="1"/>
  <c r="V87" i="1" s="1"/>
  <c r="AO44" i="1"/>
  <c r="AO45" i="1" s="1"/>
  <c r="AO48" i="1"/>
  <c r="X59" i="1"/>
  <c r="X58" i="1"/>
  <c r="X73" i="1"/>
  <c r="AW73" i="1"/>
  <c r="AW44" i="1"/>
  <c r="AW45" i="1" s="1"/>
  <c r="AW40" i="1"/>
  <c r="AW52" i="1"/>
  <c r="S87" i="1"/>
  <c r="S138" i="1" s="1"/>
  <c r="AG58" i="1"/>
  <c r="AG59" i="1"/>
  <c r="AG73" i="1"/>
  <c r="Y149" i="1"/>
  <c r="Y135" i="1" s="1"/>
  <c r="AW88" i="1"/>
  <c r="U100" i="1"/>
  <c r="U147" i="1"/>
  <c r="U162" i="1" s="1"/>
  <c r="U186" i="1" s="1"/>
  <c r="U99" i="1"/>
  <c r="U92" i="1"/>
  <c r="AA58" i="1"/>
  <c r="AA59" i="1"/>
  <c r="AA73" i="1"/>
  <c r="Z111" i="1"/>
  <c r="AW111" i="1" s="1"/>
  <c r="AL48" i="1"/>
  <c r="AL44" i="1"/>
  <c r="AL45" i="1" s="1"/>
  <c r="AD58" i="1"/>
  <c r="AD59" i="1"/>
  <c r="AD73" i="1"/>
  <c r="AI37" i="1"/>
  <c r="AD70" i="1"/>
  <c r="AC78" i="1"/>
  <c r="AC90" i="1" s="1"/>
  <c r="AH50" i="1"/>
  <c r="AH57" i="1"/>
  <c r="AI53" i="1"/>
  <c r="AI48" i="1"/>
  <c r="AI44" i="1"/>
  <c r="AI45" i="1" s="1"/>
  <c r="AC84" i="1"/>
  <c r="AC85" i="1" s="1"/>
  <c r="AC87" i="1" s="1"/>
  <c r="AC74" i="1"/>
  <c r="AX50" i="1"/>
  <c r="AX57" i="1"/>
  <c r="AX59" i="1" s="1"/>
  <c r="AX49" i="1"/>
  <c r="W79" i="1"/>
  <c r="W80" i="1" s="1"/>
  <c r="W74" i="1"/>
  <c r="W84" i="1"/>
  <c r="AY51" i="1"/>
  <c r="AD68" i="1"/>
  <c r="AC77" i="1"/>
  <c r="AB57" i="1"/>
  <c r="AB50" i="1"/>
  <c r="AB133" i="1"/>
  <c r="J6" i="1"/>
  <c r="K5" i="1"/>
  <c r="AJ39" i="1"/>
  <c r="AJ36" i="1" s="1"/>
  <c r="AJ37" i="1" s="1"/>
  <c r="AJ15" i="1"/>
  <c r="AJ51" i="1"/>
  <c r="AJ53" i="1" s="1"/>
  <c r="AN61" i="1"/>
  <c r="BA61" i="1" s="1"/>
  <c r="AN14" i="1"/>
  <c r="AW71" i="1"/>
  <c r="AW72" i="1" s="1"/>
  <c r="Z72" i="1"/>
  <c r="AE57" i="1"/>
  <c r="AE50" i="1"/>
  <c r="AB65" i="1"/>
  <c r="AA75" i="1"/>
  <c r="AA71" i="1"/>
  <c r="AA72" i="1" s="1"/>
  <c r="AP39" i="1"/>
  <c r="AP51" i="1"/>
  <c r="AP53" i="1" s="1"/>
  <c r="AP15" i="1"/>
  <c r="AP36" i="1"/>
  <c r="AP37" i="1" s="1"/>
  <c r="Z79" i="1"/>
  <c r="Z80" i="1" s="1"/>
  <c r="Z74" i="1"/>
  <c r="Z84" i="1"/>
  <c r="Y108" i="1"/>
  <c r="T79" i="1"/>
  <c r="T80" i="1" s="1"/>
  <c r="T84" i="1"/>
  <c r="T74" i="1"/>
  <c r="AZ15" i="1"/>
  <c r="AM39" i="1"/>
  <c r="AM15" i="1"/>
  <c r="AM51" i="1"/>
  <c r="AM36" i="1"/>
  <c r="Y85" i="1"/>
  <c r="Y87" i="1" s="1"/>
  <c r="AX53" i="1"/>
  <c r="AX52" i="1"/>
  <c r="BA10" i="1"/>
  <c r="AA76" i="1"/>
  <c r="AB67" i="1"/>
  <c r="Y124" i="1"/>
  <c r="X160" i="1"/>
  <c r="X126" i="1"/>
  <c r="X130" i="1" s="1"/>
  <c r="Z158" i="1" l="1"/>
  <c r="AW158" i="1" s="1"/>
  <c r="AX40" i="1"/>
  <c r="BA62" i="1"/>
  <c r="AN51" i="1"/>
  <c r="AN53" i="1" s="1"/>
  <c r="AN39" i="1"/>
  <c r="AN36" i="1" s="1"/>
  <c r="AN37" i="1" s="1"/>
  <c r="AN15" i="1"/>
  <c r="T85" i="1"/>
  <c r="T87" i="1" s="1"/>
  <c r="T138" i="1" s="1"/>
  <c r="U138" i="1" s="1"/>
  <c r="V138" i="1" s="1"/>
  <c r="AA111" i="1"/>
  <c r="AB111" i="1" s="1"/>
  <c r="AJ48" i="1"/>
  <c r="AJ44" i="1"/>
  <c r="AJ45" i="1" s="1"/>
  <c r="Z85" i="1"/>
  <c r="Z87" i="1"/>
  <c r="BA11" i="1"/>
  <c r="BA14" i="1"/>
  <c r="AX73" i="1"/>
  <c r="AX58" i="1"/>
  <c r="AH58" i="1"/>
  <c r="AH59" i="1"/>
  <c r="AH73" i="1"/>
  <c r="X79" i="1"/>
  <c r="X80" i="1" s="1"/>
  <c r="X74" i="1"/>
  <c r="X84" i="1"/>
  <c r="AL57" i="1"/>
  <c r="AL50" i="1"/>
  <c r="K6" i="1"/>
  <c r="L5" i="1"/>
  <c r="L6" i="1" s="1"/>
  <c r="U93" i="1"/>
  <c r="U101" i="1"/>
  <c r="U94" i="1"/>
  <c r="Z135" i="1"/>
  <c r="AB76" i="1"/>
  <c r="AB89" i="1" s="1"/>
  <c r="AC67" i="1"/>
  <c r="AZ48" i="1"/>
  <c r="AI57" i="1"/>
  <c r="AI50" i="1"/>
  <c r="AY37" i="1"/>
  <c r="AY39" i="1"/>
  <c r="AY52" i="1" s="1"/>
  <c r="AP44" i="1"/>
  <c r="AP45" i="1" s="1"/>
  <c r="AP48" i="1"/>
  <c r="Y147" i="1"/>
  <c r="Y100" i="1"/>
  <c r="Y99" i="1"/>
  <c r="Y92" i="1"/>
  <c r="AA88" i="1"/>
  <c r="AX70" i="1"/>
  <c r="AD78" i="1"/>
  <c r="AD90" i="1" s="1"/>
  <c r="AX90" i="1" s="1"/>
  <c r="AE70" i="1"/>
  <c r="AB75" i="1"/>
  <c r="AB88" i="1" s="1"/>
  <c r="AB149" i="1" s="1"/>
  <c r="AB71" i="1"/>
  <c r="AB72" i="1" s="1"/>
  <c r="AC65" i="1"/>
  <c r="AW79" i="1"/>
  <c r="AW80" i="1" s="1"/>
  <c r="AW84" i="1"/>
  <c r="AW74" i="1"/>
  <c r="AA79" i="1"/>
  <c r="AA80" i="1" s="1"/>
  <c r="AA74" i="1"/>
  <c r="AA84" i="1"/>
  <c r="AO57" i="1"/>
  <c r="AO50" i="1"/>
  <c r="AC147" i="1"/>
  <c r="AC99" i="1"/>
  <c r="AC100" i="1"/>
  <c r="Z108" i="1"/>
  <c r="AW156" i="1"/>
  <c r="V100" i="1"/>
  <c r="V99" i="1"/>
  <c r="V147" i="1"/>
  <c r="V162" i="1" s="1"/>
  <c r="V186" i="1" s="1"/>
  <c r="V92" i="1"/>
  <c r="Z123" i="1"/>
  <c r="Y159" i="1"/>
  <c r="AA89" i="1"/>
  <c r="AZ51" i="1"/>
  <c r="AK58" i="1"/>
  <c r="AK59" i="1"/>
  <c r="AK73" i="1"/>
  <c r="AG84" i="1"/>
  <c r="AG74" i="1"/>
  <c r="AC133" i="1"/>
  <c r="AM37" i="1"/>
  <c r="AB58" i="1"/>
  <c r="AB59" i="1"/>
  <c r="AB73" i="1"/>
  <c r="AZ36" i="1"/>
  <c r="S100" i="1"/>
  <c r="S147" i="1"/>
  <c r="S92" i="1"/>
  <c r="S99" i="1"/>
  <c r="AM53" i="1"/>
  <c r="AE58" i="1"/>
  <c r="AE59" i="1"/>
  <c r="AE73" i="1"/>
  <c r="AX68" i="1"/>
  <c r="AD77" i="1"/>
  <c r="AX77" i="1" s="1"/>
  <c r="AE68" i="1"/>
  <c r="AD74" i="1"/>
  <c r="AD84" i="1"/>
  <c r="AF57" i="1"/>
  <c r="AF50" i="1"/>
  <c r="AY48" i="1"/>
  <c r="AM44" i="1"/>
  <c r="AM45" i="1" s="1"/>
  <c r="AM48" i="1"/>
  <c r="AY53" i="1"/>
  <c r="W85" i="1"/>
  <c r="W87" i="1" s="1"/>
  <c r="Z124" i="1"/>
  <c r="Y160" i="1"/>
  <c r="Y126" i="1"/>
  <c r="Y130" i="1" s="1"/>
  <c r="AV85" i="1" l="1"/>
  <c r="W138" i="1"/>
  <c r="Y162" i="1"/>
  <c r="S162" i="1"/>
  <c r="S186" i="1" s="1"/>
  <c r="S107" i="1" s="1"/>
  <c r="AA108" i="1"/>
  <c r="AB108" i="1" s="1"/>
  <c r="AC108" i="1" s="1"/>
  <c r="AW108" i="1"/>
  <c r="AX78" i="1"/>
  <c r="BA51" i="1"/>
  <c r="BA53" i="1" s="1"/>
  <c r="AA158" i="1"/>
  <c r="AE84" i="1"/>
  <c r="AE74" i="1"/>
  <c r="T99" i="1"/>
  <c r="AV99" i="1" s="1"/>
  <c r="T147" i="1"/>
  <c r="T162" i="1" s="1"/>
  <c r="T186" i="1" s="1"/>
  <c r="T107" i="1" s="1"/>
  <c r="U107" i="1" s="1"/>
  <c r="V107" i="1" s="1"/>
  <c r="T100" i="1"/>
  <c r="T92" i="1"/>
  <c r="D5" i="2" s="1"/>
  <c r="D7" i="2" s="1"/>
  <c r="AH74" i="1"/>
  <c r="AH84" i="1"/>
  <c r="AA85" i="1"/>
  <c r="AA87" i="1" s="1"/>
  <c r="AK74" i="1"/>
  <c r="AK84" i="1"/>
  <c r="AZ53" i="1"/>
  <c r="AP57" i="1"/>
  <c r="AP50" i="1"/>
  <c r="AG85" i="1"/>
  <c r="AG87" i="1" s="1"/>
  <c r="AI58" i="1"/>
  <c r="AI59" i="1"/>
  <c r="AI73" i="1"/>
  <c r="AD67" i="1"/>
  <c r="AC76" i="1"/>
  <c r="W100" i="1"/>
  <c r="W99" i="1"/>
  <c r="W147" i="1"/>
  <c r="W92" i="1"/>
  <c r="S94" i="1"/>
  <c r="S101" i="1"/>
  <c r="S93" i="1"/>
  <c r="AJ50" i="1"/>
  <c r="AJ57" i="1"/>
  <c r="AV100" i="1"/>
  <c r="AM57" i="1"/>
  <c r="AM50" i="1"/>
  <c r="AL58" i="1"/>
  <c r="AL59" i="1"/>
  <c r="AL73" i="1"/>
  <c r="AD85" i="1"/>
  <c r="AD87" i="1" s="1"/>
  <c r="AO58" i="1"/>
  <c r="AO59" i="1"/>
  <c r="AO73" i="1"/>
  <c r="BA15" i="1"/>
  <c r="Z99" i="1"/>
  <c r="Z100" i="1"/>
  <c r="Z147" i="1"/>
  <c r="Z92" i="1"/>
  <c r="AV86" i="1"/>
  <c r="AV87" i="1"/>
  <c r="AV92" i="1" s="1"/>
  <c r="AC71" i="1"/>
  <c r="AC72" i="1" s="1"/>
  <c r="AC75" i="1"/>
  <c r="AD65" i="1"/>
  <c r="S139" i="1"/>
  <c r="S140" i="1" s="1"/>
  <c r="Y94" i="1"/>
  <c r="Y93" i="1"/>
  <c r="Y101" i="1"/>
  <c r="X85" i="1"/>
  <c r="AW85" i="1" s="1"/>
  <c r="AN44" i="1"/>
  <c r="AN45" i="1" s="1"/>
  <c r="AN48" i="1"/>
  <c r="BA48" i="1" s="1"/>
  <c r="AD133" i="1"/>
  <c r="AF68" i="1"/>
  <c r="AE77" i="1"/>
  <c r="AY44" i="1"/>
  <c r="AY45" i="1" s="1"/>
  <c r="AY40" i="1"/>
  <c r="AX74" i="1"/>
  <c r="AX84" i="1"/>
  <c r="AZ57" i="1"/>
  <c r="AZ50" i="1"/>
  <c r="AA123" i="1"/>
  <c r="Z159" i="1"/>
  <c r="V93" i="1"/>
  <c r="V94" i="1"/>
  <c r="V101" i="1"/>
  <c r="AF70" i="1"/>
  <c r="AE78" i="1"/>
  <c r="AB158" i="1"/>
  <c r="AC111" i="1"/>
  <c r="AZ37" i="1"/>
  <c r="AZ39" i="1"/>
  <c r="AZ49" i="1" s="1"/>
  <c r="AB79" i="1"/>
  <c r="AB80" i="1" s="1"/>
  <c r="AB84" i="1"/>
  <c r="AB74" i="1"/>
  <c r="AA149" i="1"/>
  <c r="AA135" i="1" s="1"/>
  <c r="AY50" i="1"/>
  <c r="AY57" i="1"/>
  <c r="AY59" i="1" s="1"/>
  <c r="AY49" i="1"/>
  <c r="BA36" i="1"/>
  <c r="BA37" i="1" s="1"/>
  <c r="AF58" i="1"/>
  <c r="AF59" i="1"/>
  <c r="AF73" i="1"/>
  <c r="Y186" i="1"/>
  <c r="AA124" i="1"/>
  <c r="Z126" i="1"/>
  <c r="Z130" i="1" s="1"/>
  <c r="Z160" i="1"/>
  <c r="X87" i="1" l="1"/>
  <c r="X138" i="1" s="1"/>
  <c r="Y138" i="1" s="1"/>
  <c r="Z138" i="1" s="1"/>
  <c r="AA138" i="1" s="1"/>
  <c r="AV147" i="1"/>
  <c r="AV162" i="1" s="1"/>
  <c r="AV186" i="1" s="1"/>
  <c r="W162" i="1"/>
  <c r="W186" i="1" s="1"/>
  <c r="S112" i="1" s="1"/>
  <c r="S119" i="1" s="1"/>
  <c r="S142" i="1" s="1"/>
  <c r="Z162" i="1"/>
  <c r="Z186" i="1" s="1"/>
  <c r="AZ52" i="1"/>
  <c r="AW86" i="1"/>
  <c r="AW87" i="1"/>
  <c r="AW92" i="1" s="1"/>
  <c r="AW94" i="1" s="1"/>
  <c r="BA39" i="1"/>
  <c r="BA44" i="1" s="1"/>
  <c r="BA45" i="1" s="1"/>
  <c r="AY73" i="1"/>
  <c r="AY74" i="1" s="1"/>
  <c r="AY58" i="1"/>
  <c r="AD99" i="1"/>
  <c r="AD100" i="1"/>
  <c r="AD147" i="1"/>
  <c r="AB135" i="1"/>
  <c r="AG147" i="1"/>
  <c r="AG100" i="1"/>
  <c r="AG99" i="1"/>
  <c r="BA50" i="1"/>
  <c r="BA57" i="1"/>
  <c r="AK85" i="1"/>
  <c r="AK87" i="1" s="1"/>
  <c r="AV93" i="1"/>
  <c r="AV94" i="1"/>
  <c r="AA147" i="1"/>
  <c r="AA100" i="1"/>
  <c r="AA99" i="1"/>
  <c r="AA92" i="1"/>
  <c r="Z93" i="1"/>
  <c r="Z94" i="1"/>
  <c r="Z101" i="1"/>
  <c r="AD108" i="1"/>
  <c r="AX108" i="1" s="1"/>
  <c r="AZ59" i="1"/>
  <c r="AZ58" i="1"/>
  <c r="AE90" i="1"/>
  <c r="AG68" i="1"/>
  <c r="AF77" i="1"/>
  <c r="W101" i="1"/>
  <c r="W93" i="1"/>
  <c r="W94" i="1"/>
  <c r="E5" i="2"/>
  <c r="E7" i="2" s="1"/>
  <c r="AG70" i="1"/>
  <c r="AF78" i="1"/>
  <c r="AF90" i="1" s="1"/>
  <c r="T94" i="1"/>
  <c r="T101" i="1"/>
  <c r="AV101" i="1" s="1"/>
  <c r="T93" i="1"/>
  <c r="AN57" i="1"/>
  <c r="AN50" i="1"/>
  <c r="AO74" i="1"/>
  <c r="AO84" i="1"/>
  <c r="AC89" i="1"/>
  <c r="AX67" i="1"/>
  <c r="AE67" i="1"/>
  <c r="AD76" i="1"/>
  <c r="AD89" i="1" s="1"/>
  <c r="AX89" i="1" s="1"/>
  <c r="X99" i="1"/>
  <c r="AW99" i="1" s="1"/>
  <c r="X100" i="1"/>
  <c r="AW100" i="1" s="1"/>
  <c r="X147" i="1"/>
  <c r="X162" i="1" s="1"/>
  <c r="X186" i="1" s="1"/>
  <c r="T112" i="1" s="1"/>
  <c r="T119" i="1" s="1"/>
  <c r="X92" i="1"/>
  <c r="AI84" i="1"/>
  <c r="AI74" i="1"/>
  <c r="AL74" i="1"/>
  <c r="AL84" i="1"/>
  <c r="T139" i="1"/>
  <c r="T140" i="1" s="1"/>
  <c r="AM58" i="1"/>
  <c r="AM59" i="1"/>
  <c r="AM73" i="1"/>
  <c r="AB85" i="1"/>
  <c r="AB87" i="1" s="1"/>
  <c r="AC88" i="1"/>
  <c r="AC79" i="1"/>
  <c r="AC80" i="1" s="1"/>
  <c r="AJ59" i="1"/>
  <c r="AJ58" i="1"/>
  <c r="AJ73" i="1"/>
  <c r="AC158" i="1"/>
  <c r="AD111" i="1"/>
  <c r="AX111" i="1" s="1"/>
  <c r="AH85" i="1"/>
  <c r="AH87" i="1"/>
  <c r="AF84" i="1"/>
  <c r="AF74" i="1"/>
  <c r="AE133" i="1"/>
  <c r="AB123" i="1"/>
  <c r="AA159" i="1"/>
  <c r="AE85" i="1"/>
  <c r="AE87" i="1" s="1"/>
  <c r="AP59" i="1"/>
  <c r="AP58" i="1"/>
  <c r="AP73" i="1"/>
  <c r="AX65" i="1"/>
  <c r="AD71" i="1"/>
  <c r="AD75" i="1"/>
  <c r="AE65" i="1"/>
  <c r="AZ73" i="1"/>
  <c r="AZ44" i="1"/>
  <c r="AZ45" i="1" s="1"/>
  <c r="AZ40" i="1"/>
  <c r="AB124" i="1"/>
  <c r="AA126" i="1"/>
  <c r="AA130" i="1" s="1"/>
  <c r="AA160" i="1"/>
  <c r="AX85" i="1" l="1"/>
  <c r="AX86" i="1" s="1"/>
  <c r="AB138" i="1"/>
  <c r="AC138" i="1" s="1"/>
  <c r="AD138" i="1" s="1"/>
  <c r="AE138" i="1" s="1"/>
  <c r="AW147" i="1"/>
  <c r="AW162" i="1" s="1"/>
  <c r="AW186" i="1" s="1"/>
  <c r="BA52" i="1"/>
  <c r="BA49" i="1"/>
  <c r="BA73" i="1"/>
  <c r="BA40" i="1"/>
  <c r="AY84" i="1"/>
  <c r="AW93" i="1"/>
  <c r="W107" i="1"/>
  <c r="X107" i="1" s="1"/>
  <c r="Y107" i="1" s="1"/>
  <c r="Z107" i="1" s="1"/>
  <c r="BA84" i="1"/>
  <c r="BA74" i="1"/>
  <c r="AG78" i="1"/>
  <c r="AH70" i="1"/>
  <c r="AJ74" i="1"/>
  <c r="AJ84" i="1"/>
  <c r="AJ85" i="1" s="1"/>
  <c r="AJ87" i="1" s="1"/>
  <c r="AX76" i="1"/>
  <c r="AO85" i="1"/>
  <c r="AO87" i="1" s="1"/>
  <c r="AH100" i="1"/>
  <c r="AH99" i="1"/>
  <c r="AH147" i="1"/>
  <c r="AI85" i="1"/>
  <c r="AI87" i="1" s="1"/>
  <c r="AZ74" i="1"/>
  <c r="AZ84" i="1"/>
  <c r="AE75" i="1"/>
  <c r="AE71" i="1"/>
  <c r="AE72" i="1" s="1"/>
  <c r="AF65" i="1"/>
  <c r="X94" i="1"/>
  <c r="X93" i="1"/>
  <c r="X101" i="1"/>
  <c r="AW101" i="1" s="1"/>
  <c r="AP74" i="1"/>
  <c r="AP84" i="1"/>
  <c r="AH68" i="1"/>
  <c r="AG77" i="1"/>
  <c r="AE76" i="1"/>
  <c r="AF67" i="1"/>
  <c r="AE100" i="1"/>
  <c r="AE99" i="1"/>
  <c r="AE147" i="1"/>
  <c r="AC149" i="1"/>
  <c r="AC135" i="1" s="1"/>
  <c r="AC92" i="1"/>
  <c r="AN58" i="1"/>
  <c r="AN59" i="1"/>
  <c r="AN73" i="1"/>
  <c r="T142" i="1"/>
  <c r="AL85" i="1"/>
  <c r="AL87" i="1" s="1"/>
  <c r="AD88" i="1"/>
  <c r="AX88" i="1" s="1"/>
  <c r="AD79" i="1"/>
  <c r="AD80" i="1" s="1"/>
  <c r="AK100" i="1"/>
  <c r="AK147" i="1"/>
  <c r="AK99" i="1"/>
  <c r="AX75" i="1"/>
  <c r="BA59" i="1"/>
  <c r="BA58" i="1"/>
  <c r="AB147" i="1"/>
  <c r="AX147" i="1" s="1"/>
  <c r="AB100" i="1"/>
  <c r="AX100" i="1" s="1"/>
  <c r="AB99" i="1"/>
  <c r="AX99" i="1" s="1"/>
  <c r="AB92" i="1"/>
  <c r="AA162" i="1"/>
  <c r="AA186" i="1" s="1"/>
  <c r="AA94" i="1"/>
  <c r="AA93" i="1"/>
  <c r="AA101" i="1"/>
  <c r="AD158" i="1"/>
  <c r="AX158" i="1" s="1"/>
  <c r="AE111" i="1"/>
  <c r="AX71" i="1"/>
  <c r="AX72" i="1" s="1"/>
  <c r="AD72" i="1"/>
  <c r="AC123" i="1"/>
  <c r="AB159" i="1"/>
  <c r="AM74" i="1"/>
  <c r="AM84" i="1"/>
  <c r="AX156" i="1"/>
  <c r="AE108" i="1"/>
  <c r="AV138" i="1"/>
  <c r="AV139" i="1" s="1"/>
  <c r="AV140" i="1" s="1"/>
  <c r="U139" i="1"/>
  <c r="U140" i="1" s="1"/>
  <c r="AF133" i="1"/>
  <c r="AF85" i="1"/>
  <c r="AY85" i="1" s="1"/>
  <c r="AF87" i="1"/>
  <c r="AC124" i="1"/>
  <c r="AB126" i="1"/>
  <c r="AB130" i="1" s="1"/>
  <c r="AB160" i="1"/>
  <c r="AX87" i="1" l="1"/>
  <c r="AF138" i="1"/>
  <c r="AG138" i="1" s="1"/>
  <c r="AH138" i="1" s="1"/>
  <c r="AI138" i="1" s="1"/>
  <c r="AJ138" i="1" s="1"/>
  <c r="AK138" i="1" s="1"/>
  <c r="AL138" i="1" s="1"/>
  <c r="AX92" i="1"/>
  <c r="AX93" i="1" s="1"/>
  <c r="AY86" i="1"/>
  <c r="AX162" i="1"/>
  <c r="AX186" i="1" s="1"/>
  <c r="AA107" i="1"/>
  <c r="AZ85" i="1"/>
  <c r="AZ87" i="1" s="1"/>
  <c r="AX79" i="1"/>
  <c r="AX80" i="1" s="1"/>
  <c r="AY87" i="1"/>
  <c r="AC101" i="1"/>
  <c r="AC94" i="1"/>
  <c r="AC93" i="1"/>
  <c r="AM85" i="1"/>
  <c r="AM87" i="1"/>
  <c r="AG67" i="1"/>
  <c r="AF76" i="1"/>
  <c r="AF89" i="1" s="1"/>
  <c r="AG133" i="1"/>
  <c r="V139" i="1"/>
  <c r="V140" i="1" s="1"/>
  <c r="AO147" i="1"/>
  <c r="AO100" i="1"/>
  <c r="AO99" i="1"/>
  <c r="AJ99" i="1"/>
  <c r="AJ147" i="1"/>
  <c r="AJ100" i="1"/>
  <c r="AD149" i="1"/>
  <c r="AD135" i="1" s="1"/>
  <c r="AD92" i="1"/>
  <c r="AY70" i="1"/>
  <c r="AH78" i="1"/>
  <c r="AH90" i="1" s="1"/>
  <c r="AI70" i="1"/>
  <c r="AN84" i="1"/>
  <c r="AN74" i="1"/>
  <c r="AF108" i="1"/>
  <c r="AD123" i="1"/>
  <c r="AC159" i="1"/>
  <c r="AY68" i="1"/>
  <c r="AI68" i="1"/>
  <c r="AH77" i="1"/>
  <c r="AY77" i="1" s="1"/>
  <c r="AL147" i="1"/>
  <c r="AL99" i="1"/>
  <c r="AL100" i="1"/>
  <c r="AE88" i="1"/>
  <c r="AE79" i="1"/>
  <c r="AE80" i="1" s="1"/>
  <c r="AB94" i="1"/>
  <c r="AB93" i="1"/>
  <c r="AB101" i="1"/>
  <c r="AI100" i="1"/>
  <c r="AI99" i="1"/>
  <c r="AI147" i="1"/>
  <c r="U112" i="1"/>
  <c r="U119" i="1" s="1"/>
  <c r="U142" i="1" s="1"/>
  <c r="D9" i="2"/>
  <c r="AE89" i="1"/>
  <c r="AB162" i="1"/>
  <c r="AB186" i="1" s="1"/>
  <c r="AP85" i="1"/>
  <c r="AP87" i="1" s="1"/>
  <c r="AE158" i="1"/>
  <c r="AF111" i="1"/>
  <c r="AG90" i="1"/>
  <c r="AF147" i="1"/>
  <c r="AY147" i="1" s="1"/>
  <c r="AF100" i="1"/>
  <c r="AY100" i="1" s="1"/>
  <c r="AF99" i="1"/>
  <c r="AY99" i="1" s="1"/>
  <c r="AF75" i="1"/>
  <c r="AF71" i="1"/>
  <c r="AF72" i="1" s="1"/>
  <c r="AG65" i="1"/>
  <c r="AD124" i="1"/>
  <c r="AC160" i="1"/>
  <c r="AC126" i="1"/>
  <c r="AC130" i="1" s="1"/>
  <c r="AX94" i="1" l="1"/>
  <c r="AM138" i="1"/>
  <c r="AZ147" i="1"/>
  <c r="AB107" i="1"/>
  <c r="V112" i="1"/>
  <c r="V119" i="1" s="1"/>
  <c r="V142" i="1" s="1"/>
  <c r="AV107" i="1"/>
  <c r="AV112" i="1" s="1"/>
  <c r="AV119" i="1" s="1"/>
  <c r="AV142" i="1" s="1"/>
  <c r="AZ86" i="1"/>
  <c r="AY90" i="1"/>
  <c r="AZ100" i="1"/>
  <c r="AP99" i="1"/>
  <c r="AP147" i="1"/>
  <c r="AP100" i="1"/>
  <c r="AC162" i="1"/>
  <c r="AC186" i="1" s="1"/>
  <c r="AJ68" i="1"/>
  <c r="AI77" i="1"/>
  <c r="AH133" i="1"/>
  <c r="AI133" i="1" s="1"/>
  <c r="AN85" i="1"/>
  <c r="BA85" i="1" s="1"/>
  <c r="AY78" i="1"/>
  <c r="AF158" i="1"/>
  <c r="AG111" i="1"/>
  <c r="W112" i="1"/>
  <c r="W119" i="1" s="1"/>
  <c r="AE123" i="1"/>
  <c r="AD159" i="1"/>
  <c r="AG108" i="1"/>
  <c r="AZ99" i="1"/>
  <c r="AM147" i="1"/>
  <c r="AM99" i="1"/>
  <c r="AM100" i="1"/>
  <c r="W139" i="1"/>
  <c r="W140" i="1" s="1"/>
  <c r="AG75" i="1"/>
  <c r="AH65" i="1"/>
  <c r="AG71" i="1"/>
  <c r="AG72" i="1" s="1"/>
  <c r="AF88" i="1"/>
  <c r="AF79" i="1"/>
  <c r="AF80" i="1" s="1"/>
  <c r="AH67" i="1"/>
  <c r="AG76" i="1"/>
  <c r="AJ70" i="1"/>
  <c r="AI78" i="1"/>
  <c r="AE149" i="1"/>
  <c r="AE135" i="1" s="1"/>
  <c r="AE92" i="1"/>
  <c r="F5" i="2"/>
  <c r="F7" i="2" s="1"/>
  <c r="AD101" i="1"/>
  <c r="AX101" i="1" s="1"/>
  <c r="AD94" i="1"/>
  <c r="AD93" i="1"/>
  <c r="AE124" i="1"/>
  <c r="AD160" i="1"/>
  <c r="AD162" i="1" s="1"/>
  <c r="AD126" i="1"/>
  <c r="AD130" i="1" s="1"/>
  <c r="AC107" i="1" l="1"/>
  <c r="AN87" i="1"/>
  <c r="AN147" i="1" s="1"/>
  <c r="BA147" i="1" s="1"/>
  <c r="BA86" i="1"/>
  <c r="BA87" i="1"/>
  <c r="AI90" i="1"/>
  <c r="AG158" i="1"/>
  <c r="AH111" i="1"/>
  <c r="AY111" i="1" s="1"/>
  <c r="AG89" i="1"/>
  <c r="AY67" i="1"/>
  <c r="AI67" i="1"/>
  <c r="AH76" i="1"/>
  <c r="AH89" i="1" s="1"/>
  <c r="AY89" i="1" s="1"/>
  <c r="AY65" i="1"/>
  <c r="AH71" i="1"/>
  <c r="AH75" i="1"/>
  <c r="AY75" i="1" s="1"/>
  <c r="AI65" i="1"/>
  <c r="AG88" i="1"/>
  <c r="AG79" i="1"/>
  <c r="AG80" i="1" s="1"/>
  <c r="X139" i="1"/>
  <c r="X140" i="1" s="1"/>
  <c r="AH108" i="1"/>
  <c r="AY108" i="1" s="1"/>
  <c r="AJ133" i="1"/>
  <c r="AK70" i="1"/>
  <c r="AJ78" i="1"/>
  <c r="AJ90" i="1" s="1"/>
  <c r="AF149" i="1"/>
  <c r="AF135" i="1" s="1"/>
  <c r="AF92" i="1"/>
  <c r="W142" i="1"/>
  <c r="AK68" i="1"/>
  <c r="AJ77" i="1"/>
  <c r="X112" i="1"/>
  <c r="X119" i="1" s="1"/>
  <c r="AE94" i="1"/>
  <c r="AE93" i="1"/>
  <c r="AE101" i="1"/>
  <c r="AF123" i="1"/>
  <c r="AE159" i="1"/>
  <c r="AD186" i="1"/>
  <c r="AF124" i="1"/>
  <c r="AE160" i="1"/>
  <c r="AE162" i="1" s="1"/>
  <c r="AE126" i="1"/>
  <c r="AE130" i="1" s="1"/>
  <c r="AN138" i="1" l="1"/>
  <c r="AO138" i="1" s="1"/>
  <c r="AP138" i="1" s="1"/>
  <c r="AY156" i="1"/>
  <c r="AD107" i="1"/>
  <c r="AN100" i="1"/>
  <c r="BA100" i="1" s="1"/>
  <c r="AN99" i="1"/>
  <c r="BA99" i="1" s="1"/>
  <c r="AI75" i="1"/>
  <c r="AI71" i="1"/>
  <c r="AI72" i="1" s="1"/>
  <c r="AJ65" i="1"/>
  <c r="AF94" i="1"/>
  <c r="AF93" i="1"/>
  <c r="AF101" i="1"/>
  <c r="AH88" i="1"/>
  <c r="AH79" i="1"/>
  <c r="AH80" i="1" s="1"/>
  <c r="AY76" i="1"/>
  <c r="AY79" i="1" s="1"/>
  <c r="AY80" i="1" s="1"/>
  <c r="AG123" i="1"/>
  <c r="AF159" i="1"/>
  <c r="AY71" i="1"/>
  <c r="AY72" i="1" s="1"/>
  <c r="AH72" i="1"/>
  <c r="AL68" i="1"/>
  <c r="AK77" i="1"/>
  <c r="AI76" i="1"/>
  <c r="AJ67" i="1"/>
  <c r="AL70" i="1"/>
  <c r="AK78" i="1"/>
  <c r="AK90" i="1" s="1"/>
  <c r="AH158" i="1"/>
  <c r="AY158" i="1" s="1"/>
  <c r="AI111" i="1"/>
  <c r="AK133" i="1"/>
  <c r="AI108" i="1"/>
  <c r="X142" i="1"/>
  <c r="AW138" i="1"/>
  <c r="AW139" i="1" s="1"/>
  <c r="AW140" i="1" s="1"/>
  <c r="Y139" i="1"/>
  <c r="Y140" i="1" s="1"/>
  <c r="AG149" i="1"/>
  <c r="AG135" i="1" s="1"/>
  <c r="AG92" i="1"/>
  <c r="AE186" i="1"/>
  <c r="AG124" i="1"/>
  <c r="AF160" i="1"/>
  <c r="AF126" i="1"/>
  <c r="AF130" i="1" s="1"/>
  <c r="AE107" i="1" l="1"/>
  <c r="AY162" i="1"/>
  <c r="AY186" i="1" s="1"/>
  <c r="Z112" i="1"/>
  <c r="Z119" i="1" s="1"/>
  <c r="AW107" i="1"/>
  <c r="AW112" i="1" s="1"/>
  <c r="AW119" i="1" s="1"/>
  <c r="AW142" i="1" s="1"/>
  <c r="AA112" i="1"/>
  <c r="AA119" i="1" s="1"/>
  <c r="AF162" i="1"/>
  <c r="AF186" i="1" s="1"/>
  <c r="AJ76" i="1"/>
  <c r="AJ89" i="1" s="1"/>
  <c r="AK67" i="1"/>
  <c r="AI89" i="1"/>
  <c r="AH123" i="1"/>
  <c r="AG159" i="1"/>
  <c r="Z139" i="1"/>
  <c r="Z140" i="1" s="1"/>
  <c r="Z142" i="1" s="1"/>
  <c r="AH149" i="1"/>
  <c r="AH135" i="1" s="1"/>
  <c r="AH92" i="1"/>
  <c r="AY88" i="1"/>
  <c r="AY92" i="1" s="1"/>
  <c r="AL133" i="1"/>
  <c r="AI88" i="1"/>
  <c r="AI79" i="1"/>
  <c r="AI80" i="1" s="1"/>
  <c r="AZ68" i="1"/>
  <c r="AL77" i="1"/>
  <c r="AZ77" i="1" s="1"/>
  <c r="AM68" i="1"/>
  <c r="AG101" i="1"/>
  <c r="AG93" i="1"/>
  <c r="AG94" i="1"/>
  <c r="Y112" i="1"/>
  <c r="Y119" i="1" s="1"/>
  <c r="Y142" i="1" s="1"/>
  <c r="E9" i="2"/>
  <c r="AJ108" i="1"/>
  <c r="AJ71" i="1"/>
  <c r="AJ72" i="1" s="1"/>
  <c r="AK65" i="1"/>
  <c r="AJ75" i="1"/>
  <c r="AI158" i="1"/>
  <c r="AJ111" i="1"/>
  <c r="AJ158" i="1" s="1"/>
  <c r="AZ70" i="1"/>
  <c r="AM70" i="1"/>
  <c r="AL78" i="1"/>
  <c r="AH124" i="1"/>
  <c r="AG126" i="1"/>
  <c r="AG130" i="1" s="1"/>
  <c r="AG160" i="1"/>
  <c r="AG162" i="1" s="1"/>
  <c r="AF107" i="1" l="1"/>
  <c r="AB112" i="1"/>
  <c r="AB119" i="1" s="1"/>
  <c r="AI149" i="1"/>
  <c r="AI135" i="1" s="1"/>
  <c r="AI92" i="1"/>
  <c r="AY93" i="1"/>
  <c r="AY94" i="1"/>
  <c r="AK71" i="1"/>
  <c r="AK72" i="1" s="1"/>
  <c r="AL65" i="1"/>
  <c r="AK75" i="1"/>
  <c r="AL90" i="1"/>
  <c r="AZ90" i="1" s="1"/>
  <c r="AZ78" i="1"/>
  <c r="AN70" i="1"/>
  <c r="AM78" i="1"/>
  <c r="AK111" i="1"/>
  <c r="AK158" i="1" s="1"/>
  <c r="AA139" i="1"/>
  <c r="AA140" i="1" s="1"/>
  <c r="AA142" i="1" s="1"/>
  <c r="AL67" i="1"/>
  <c r="AK76" i="1"/>
  <c r="AM133" i="1"/>
  <c r="AN133" i="1" s="1"/>
  <c r="AH94" i="1"/>
  <c r="AH101" i="1"/>
  <c r="AY101" i="1" s="1"/>
  <c r="AH93" i="1"/>
  <c r="AJ88" i="1"/>
  <c r="AJ79" i="1"/>
  <c r="AJ80" i="1" s="1"/>
  <c r="AH159" i="1"/>
  <c r="AI123" i="1"/>
  <c r="AK108" i="1"/>
  <c r="G5" i="2"/>
  <c r="G7" i="2" s="1"/>
  <c r="AM77" i="1"/>
  <c r="AN68" i="1"/>
  <c r="AG186" i="1"/>
  <c r="AI124" i="1"/>
  <c r="AH160" i="1"/>
  <c r="AH162" i="1" s="1"/>
  <c r="AH126" i="1"/>
  <c r="AH130" i="1" s="1"/>
  <c r="AG107" i="1" l="1"/>
  <c r="AK89" i="1"/>
  <c r="AZ67" i="1"/>
  <c r="AL76" i="1"/>
  <c r="AL89" i="1" s="1"/>
  <c r="AM67" i="1"/>
  <c r="AB139" i="1"/>
  <c r="AB140" i="1" s="1"/>
  <c r="AB142" i="1" s="1"/>
  <c r="AL111" i="1"/>
  <c r="AZ111" i="1" s="1"/>
  <c r="AL108" i="1"/>
  <c r="AI159" i="1"/>
  <c r="AJ123" i="1"/>
  <c r="AC112" i="1"/>
  <c r="AC119" i="1" s="1"/>
  <c r="F9" i="2"/>
  <c r="AM90" i="1"/>
  <c r="AO68" i="1"/>
  <c r="AN77" i="1"/>
  <c r="AO70" i="1"/>
  <c r="AN78" i="1"/>
  <c r="AN90" i="1" s="1"/>
  <c r="AK88" i="1"/>
  <c r="AK79" i="1"/>
  <c r="AK80" i="1" s="1"/>
  <c r="AZ65" i="1"/>
  <c r="AM65" i="1"/>
  <c r="AL71" i="1"/>
  <c r="AL75" i="1"/>
  <c r="AJ149" i="1"/>
  <c r="AJ135" i="1" s="1"/>
  <c r="AJ92" i="1"/>
  <c r="AI94" i="1"/>
  <c r="AI93" i="1"/>
  <c r="AI101" i="1"/>
  <c r="AO133" i="1"/>
  <c r="AH186" i="1"/>
  <c r="AJ124" i="1"/>
  <c r="AI126" i="1"/>
  <c r="AI130" i="1" s="1"/>
  <c r="AI160" i="1"/>
  <c r="AL158" i="1" l="1"/>
  <c r="AZ158" i="1" s="1"/>
  <c r="AH107" i="1"/>
  <c r="AZ156" i="1"/>
  <c r="AZ108" i="1"/>
  <c r="AD112" i="1"/>
  <c r="AD119" i="1" s="1"/>
  <c r="AX107" i="1"/>
  <c r="AX112" i="1" s="1"/>
  <c r="AX119" i="1" s="1"/>
  <c r="AZ89" i="1"/>
  <c r="AP68" i="1"/>
  <c r="AP77" i="1" s="1"/>
  <c r="AO77" i="1"/>
  <c r="AM108" i="1"/>
  <c r="AM111" i="1"/>
  <c r="AM158" i="1" s="1"/>
  <c r="AL88" i="1"/>
  <c r="AL79" i="1"/>
  <c r="AL80" i="1" s="1"/>
  <c r="AX138" i="1"/>
  <c r="AX139" i="1" s="1"/>
  <c r="AX140" i="1" s="1"/>
  <c r="AC139" i="1"/>
  <c r="AC140" i="1" s="1"/>
  <c r="AC142" i="1" s="1"/>
  <c r="AM75" i="1"/>
  <c r="AM71" i="1"/>
  <c r="AM72" i="1" s="1"/>
  <c r="AN65" i="1"/>
  <c r="AZ75" i="1"/>
  <c r="AZ79" i="1" s="1"/>
  <c r="AZ80" i="1" s="1"/>
  <c r="AK149" i="1"/>
  <c r="AK135" i="1" s="1"/>
  <c r="AK92" i="1"/>
  <c r="AO78" i="1"/>
  <c r="AP70" i="1"/>
  <c r="AP78" i="1" s="1"/>
  <c r="AP90" i="1" s="1"/>
  <c r="AP133" i="1"/>
  <c r="AJ159" i="1"/>
  <c r="AK123" i="1"/>
  <c r="AJ93" i="1"/>
  <c r="AJ101" i="1"/>
  <c r="AJ94" i="1"/>
  <c r="AZ71" i="1"/>
  <c r="AZ72" i="1" s="1"/>
  <c r="AL72" i="1"/>
  <c r="AM76" i="1"/>
  <c r="AN67" i="1"/>
  <c r="AZ76" i="1"/>
  <c r="AI162" i="1"/>
  <c r="AI186" i="1" s="1"/>
  <c r="AK124" i="1"/>
  <c r="AJ160" i="1"/>
  <c r="AJ126" i="1"/>
  <c r="AJ130" i="1" s="1"/>
  <c r="AI107" i="1" l="1"/>
  <c r="AZ162" i="1"/>
  <c r="AZ186" i="1" s="1"/>
  <c r="AX142" i="1"/>
  <c r="BA68" i="1"/>
  <c r="BA77" i="1"/>
  <c r="BA70" i="1"/>
  <c r="AJ162" i="1"/>
  <c r="AJ186" i="1" s="1"/>
  <c r="AJ107" i="1" s="1"/>
  <c r="AO65" i="1"/>
  <c r="AN75" i="1"/>
  <c r="AN71" i="1"/>
  <c r="AN72" i="1" s="1"/>
  <c r="AD139" i="1"/>
  <c r="AD140" i="1" s="1"/>
  <c r="AD142" i="1" s="1"/>
  <c r="AN76" i="1"/>
  <c r="AN89" i="1" s="1"/>
  <c r="AO67" i="1"/>
  <c r="AL149" i="1"/>
  <c r="AL135" i="1" s="1"/>
  <c r="AL92" i="1"/>
  <c r="AZ88" i="1"/>
  <c r="AZ92" i="1" s="1"/>
  <c r="AN111" i="1"/>
  <c r="AO111" i="1" s="1"/>
  <c r="AN108" i="1"/>
  <c r="AL123" i="1"/>
  <c r="AK159" i="1"/>
  <c r="AO90" i="1"/>
  <c r="BA90" i="1" s="1"/>
  <c r="BA78" i="1"/>
  <c r="AK94" i="1"/>
  <c r="AK101" i="1"/>
  <c r="AK93" i="1"/>
  <c r="AE112" i="1"/>
  <c r="AE119" i="1" s="1"/>
  <c r="AM88" i="1"/>
  <c r="AM79" i="1"/>
  <c r="AM80" i="1" s="1"/>
  <c r="AM89" i="1"/>
  <c r="AL124" i="1"/>
  <c r="AK126" i="1"/>
  <c r="AK130" i="1" s="1"/>
  <c r="AK160" i="1"/>
  <c r="AN158" i="1" l="1"/>
  <c r="AL159" i="1"/>
  <c r="AM123" i="1"/>
  <c r="AO108" i="1"/>
  <c r="AP108" i="1" s="1"/>
  <c r="AO158" i="1"/>
  <c r="AP111" i="1"/>
  <c r="AZ93" i="1"/>
  <c r="AZ94" i="1"/>
  <c r="AE139" i="1"/>
  <c r="AE140" i="1" s="1"/>
  <c r="AE142" i="1" s="1"/>
  <c r="AM149" i="1"/>
  <c r="AM135" i="1" s="1"/>
  <c r="AM92" i="1"/>
  <c r="AF112" i="1"/>
  <c r="AF119" i="1" s="1"/>
  <c r="AN88" i="1"/>
  <c r="AN79" i="1"/>
  <c r="AN80" i="1" s="1"/>
  <c r="AP65" i="1"/>
  <c r="AO75" i="1"/>
  <c r="AO71" i="1"/>
  <c r="AO72" i="1" s="1"/>
  <c r="AK162" i="1"/>
  <c r="AK186" i="1" s="1"/>
  <c r="AK107" i="1" s="1"/>
  <c r="AL94" i="1"/>
  <c r="AL93" i="1"/>
  <c r="AL101" i="1"/>
  <c r="AZ101" i="1" s="1"/>
  <c r="AP67" i="1"/>
  <c r="AP76" i="1" s="1"/>
  <c r="AP89" i="1" s="1"/>
  <c r="AO76" i="1"/>
  <c r="BA67" i="1"/>
  <c r="H5" i="2"/>
  <c r="H7" i="2" s="1"/>
  <c r="AM124" i="1"/>
  <c r="AL126" i="1"/>
  <c r="AL130" i="1" s="1"/>
  <c r="AL160" i="1"/>
  <c r="AL162" i="1" s="1"/>
  <c r="AP158" i="1" l="1"/>
  <c r="BA158" i="1" s="1"/>
  <c r="BA111" i="1"/>
  <c r="BA108" i="1"/>
  <c r="BA156" i="1"/>
  <c r="AO88" i="1"/>
  <c r="AO79" i="1"/>
  <c r="AO80" i="1" s="1"/>
  <c r="BA65" i="1"/>
  <c r="AP75" i="1"/>
  <c r="AP71" i="1"/>
  <c r="AN149" i="1"/>
  <c r="AN135" i="1" s="1"/>
  <c r="AN92" i="1"/>
  <c r="AG112" i="1"/>
  <c r="AG119" i="1" s="1"/>
  <c r="G9" i="2"/>
  <c r="AN123" i="1"/>
  <c r="AM159" i="1"/>
  <c r="AM101" i="1"/>
  <c r="AM94" i="1"/>
  <c r="AM93" i="1"/>
  <c r="AF139" i="1"/>
  <c r="AF140" i="1" s="1"/>
  <c r="AF142" i="1" s="1"/>
  <c r="AO89" i="1"/>
  <c r="BA89" i="1" s="1"/>
  <c r="BA76" i="1"/>
  <c r="AL186" i="1"/>
  <c r="AL107" i="1" s="1"/>
  <c r="AN124" i="1"/>
  <c r="AM160" i="1"/>
  <c r="AM126" i="1"/>
  <c r="AM130" i="1" s="1"/>
  <c r="BA162" i="1" l="1"/>
  <c r="BA186" i="1" s="1"/>
  <c r="AH112" i="1"/>
  <c r="AH119" i="1" s="1"/>
  <c r="AY107" i="1"/>
  <c r="AY112" i="1" s="1"/>
  <c r="AY119" i="1" s="1"/>
  <c r="AO123" i="1"/>
  <c r="AN159" i="1"/>
  <c r="AP88" i="1"/>
  <c r="AP79" i="1"/>
  <c r="AP80" i="1" s="1"/>
  <c r="AM162" i="1"/>
  <c r="AM186" i="1" s="1"/>
  <c r="AI112" i="1" s="1"/>
  <c r="AI119" i="1" s="1"/>
  <c r="AY138" i="1"/>
  <c r="AY139" i="1" s="1"/>
  <c r="AY140" i="1" s="1"/>
  <c r="AG139" i="1"/>
  <c r="AG140" i="1" s="1"/>
  <c r="AG142" i="1" s="1"/>
  <c r="AN93" i="1"/>
  <c r="AN94" i="1"/>
  <c r="AN101" i="1"/>
  <c r="BA71" i="1"/>
  <c r="BA72" i="1" s="1"/>
  <c r="AP72" i="1"/>
  <c r="BA75" i="1"/>
  <c r="BA79" i="1" s="1"/>
  <c r="BA80" i="1" s="1"/>
  <c r="AO149" i="1"/>
  <c r="AO135" i="1" s="1"/>
  <c r="AO92" i="1"/>
  <c r="AO124" i="1"/>
  <c r="AN126" i="1"/>
  <c r="AN130" i="1" s="1"/>
  <c r="AN160" i="1"/>
  <c r="AY142" i="1" l="1"/>
  <c r="AM107" i="1"/>
  <c r="AO93" i="1"/>
  <c r="AO101" i="1"/>
  <c r="AO94" i="1"/>
  <c r="AH139" i="1"/>
  <c r="AH140" i="1" s="1"/>
  <c r="AH142" i="1" s="1"/>
  <c r="AP149" i="1"/>
  <c r="AP135" i="1" s="1"/>
  <c r="AP92" i="1"/>
  <c r="BA88" i="1"/>
  <c r="BA92" i="1" s="1"/>
  <c r="AP123" i="1"/>
  <c r="AP159" i="1" s="1"/>
  <c r="AO159" i="1"/>
  <c r="AN162" i="1"/>
  <c r="AN186" i="1" s="1"/>
  <c r="AJ112" i="1" s="1"/>
  <c r="AJ119" i="1" s="1"/>
  <c r="AP124" i="1"/>
  <c r="AO160" i="1"/>
  <c r="AO162" i="1" s="1"/>
  <c r="AO126" i="1"/>
  <c r="AO130" i="1" s="1"/>
  <c r="AN107" i="1" l="1"/>
  <c r="BA93" i="1"/>
  <c r="BA94" i="1"/>
  <c r="AP94" i="1"/>
  <c r="AP93" i="1"/>
  <c r="AP101" i="1"/>
  <c r="BA101" i="1" s="1"/>
  <c r="AI139" i="1"/>
  <c r="AI140" i="1" s="1"/>
  <c r="AI142" i="1" s="1"/>
  <c r="I5" i="2"/>
  <c r="I7" i="2" s="1"/>
  <c r="AO186" i="1"/>
  <c r="AP160" i="1"/>
  <c r="AP162" i="1" s="1"/>
  <c r="AP126" i="1"/>
  <c r="AP130" i="1" s="1"/>
  <c r="AO107" i="1" l="1"/>
  <c r="AJ139" i="1"/>
  <c r="AJ140" i="1" s="1"/>
  <c r="AJ142" i="1" s="1"/>
  <c r="AK112" i="1"/>
  <c r="AK119" i="1" s="1"/>
  <c r="H9" i="2"/>
  <c r="AP186" i="1"/>
  <c r="AZ107" i="1" s="1"/>
  <c r="AZ112" i="1" s="1"/>
  <c r="AZ119" i="1" s="1"/>
  <c r="AP107" i="1" l="1"/>
  <c r="AL112" i="1"/>
  <c r="AL119" i="1" s="1"/>
  <c r="AZ138" i="1"/>
  <c r="AZ139" i="1" s="1"/>
  <c r="AZ140" i="1" s="1"/>
  <c r="AZ142" i="1" s="1"/>
  <c r="AK139" i="1"/>
  <c r="AK140" i="1" s="1"/>
  <c r="AK142" i="1" s="1"/>
  <c r="AL139" i="1" l="1"/>
  <c r="AL140" i="1" s="1"/>
  <c r="AL142" i="1" s="1"/>
  <c r="AM112" i="1"/>
  <c r="AM119" i="1" s="1"/>
  <c r="AN112" i="1" l="1"/>
  <c r="AN119" i="1" s="1"/>
  <c r="AM139" i="1"/>
  <c r="AM140" i="1" s="1"/>
  <c r="AM142" i="1" s="1"/>
  <c r="AN139" i="1" l="1"/>
  <c r="AN140" i="1" s="1"/>
  <c r="AN142" i="1" s="1"/>
  <c r="I9" i="2"/>
  <c r="AO112" i="1"/>
  <c r="AO119" i="1" s="1"/>
  <c r="AP112" i="1" l="1"/>
  <c r="AP119" i="1" s="1"/>
  <c r="BA107" i="1"/>
  <c r="BA112" i="1" s="1"/>
  <c r="BA119" i="1" s="1"/>
  <c r="AO139" i="1"/>
  <c r="AO140" i="1" s="1"/>
  <c r="AO142" i="1" s="1"/>
  <c r="AP139" i="1" l="1"/>
  <c r="AP140" i="1" s="1"/>
  <c r="AP142" i="1" s="1"/>
  <c r="BA138" i="1"/>
  <c r="BA139" i="1" s="1"/>
  <c r="BA140" i="1" s="1"/>
  <c r="BA142" i="1" s="1"/>
</calcChain>
</file>

<file path=xl/sharedStrings.xml><?xml version="1.0" encoding="utf-8"?>
<sst xmlns="http://schemas.openxmlformats.org/spreadsheetml/2006/main" count="174" uniqueCount="136">
  <si>
    <t>INCOME STATEMENT</t>
  </si>
  <si>
    <t>BALANCE SHEET</t>
  </si>
  <si>
    <t>VALUATION</t>
  </si>
  <si>
    <t>REVENUE</t>
  </si>
  <si>
    <t>% chg</t>
  </si>
  <si>
    <t>TOTAL REVENUE</t>
  </si>
  <si>
    <t>GROSS PROFIT</t>
  </si>
  <si>
    <t>% margin</t>
  </si>
  <si>
    <t>OPERATING EXPENSES</t>
  </si>
  <si>
    <t>Research and development</t>
  </si>
  <si>
    <t>TOTAL OPERATING EXPENSES</t>
  </si>
  <si>
    <t>OPERATING INCOME</t>
  </si>
  <si>
    <t>Interest expense</t>
  </si>
  <si>
    <t>Other income/(expense)</t>
  </si>
  <si>
    <t>PROFIT BEFORE TAX</t>
  </si>
  <si>
    <t>NET INCOME</t>
  </si>
  <si>
    <t>COST OF REVENUE</t>
  </si>
  <si>
    <t xml:space="preserve"> </t>
  </si>
  <si>
    <t>Basic</t>
  </si>
  <si>
    <t>Diluted</t>
  </si>
  <si>
    <t>EPS - Basic</t>
  </si>
  <si>
    <t>EPS - Diluted</t>
  </si>
  <si>
    <t>Tax rate</t>
  </si>
  <si>
    <t>Cash and cash equivalents</t>
  </si>
  <si>
    <t>Accounts receivable, net</t>
  </si>
  <si>
    <t>Prepaid expensese and other current assets</t>
  </si>
  <si>
    <t>ASSETS</t>
  </si>
  <si>
    <t>Property  and equipment, net</t>
  </si>
  <si>
    <t>Goodwill</t>
  </si>
  <si>
    <t>Intangible assets, net</t>
  </si>
  <si>
    <t>Other assets</t>
  </si>
  <si>
    <t>TOTAL ASSETS</t>
  </si>
  <si>
    <t>Accounts payable</t>
  </si>
  <si>
    <t>Accrued and other current liabilities</t>
  </si>
  <si>
    <t>Total current liaibilities</t>
  </si>
  <si>
    <t>LIABILITIES</t>
  </si>
  <si>
    <t>Current liabilities</t>
  </si>
  <si>
    <t>Current assets</t>
  </si>
  <si>
    <t>Total current assets</t>
  </si>
  <si>
    <t>Long-term debt</t>
  </si>
  <si>
    <t>TOTAL LIABILITIES</t>
  </si>
  <si>
    <t>STOCKHOLDER'S EQUITY</t>
  </si>
  <si>
    <t>Preferred stock</t>
  </si>
  <si>
    <t>Additional paid-in capital</t>
  </si>
  <si>
    <t>Accumulated other comprehensive loss</t>
  </si>
  <si>
    <t>Retained earnings (accumulated deficit)</t>
  </si>
  <si>
    <t>TOTAL STOCKHOLDER'S EQUITY</t>
  </si>
  <si>
    <t>TOTAL LIABILITIES &amp; STOCKHOLDER'S EQUITY</t>
  </si>
  <si>
    <t>Short-term debt</t>
  </si>
  <si>
    <t>BALANCE SHEET CHECK</t>
  </si>
  <si>
    <t>CASH FLOW STATEMENT</t>
  </si>
  <si>
    <t>OPERATING ACTIVITIES</t>
  </si>
  <si>
    <t>Net Income</t>
  </si>
  <si>
    <t>Other</t>
  </si>
  <si>
    <t>Accounts receivable</t>
  </si>
  <si>
    <t>Prepaid expenses and other assets</t>
  </si>
  <si>
    <t>NET CASH PROVIDED BY OPERATING ACTIVITIES</t>
  </si>
  <si>
    <t>INVESTING ACTIVITIES</t>
  </si>
  <si>
    <t>Purchase of non-marketable equity securities</t>
  </si>
  <si>
    <t>FINANCING ACTIVITIES</t>
  </si>
  <si>
    <t>NET CASH PROVIDED BY (USED IN) FINANCING ACTIVITIES</t>
  </si>
  <si>
    <t>NET CASH PROVIDED BY (USED IN) INVESTING ACTIVITIES</t>
  </si>
  <si>
    <t>Multiple</t>
  </si>
  <si>
    <t>Market Cap</t>
  </si>
  <si>
    <t>FDSO</t>
  </si>
  <si>
    <t>PPS</t>
  </si>
  <si>
    <t>Compute &amp; Networking</t>
  </si>
  <si>
    <t>Graphics</t>
  </si>
  <si>
    <t>Sales, general and administrative</t>
  </si>
  <si>
    <t>Acquisition related and other costs</t>
  </si>
  <si>
    <t>Unallocated cost of revenue and operating expenses</t>
  </si>
  <si>
    <t>United States</t>
  </si>
  <si>
    <t>Taiwan</t>
  </si>
  <si>
    <t>Singapore</t>
  </si>
  <si>
    <t>China (including Hong Kong)</t>
  </si>
  <si>
    <t>Other countires</t>
  </si>
  <si>
    <t>Total Revenue</t>
  </si>
  <si>
    <t>Interest income</t>
  </si>
  <si>
    <t>OPERATING INCOME - Compute &amp; Networking</t>
  </si>
  <si>
    <t>OPERATING INCOME - Graphics</t>
  </si>
  <si>
    <t>OPERATING INCOME - All Other</t>
  </si>
  <si>
    <t>Revenue by specialized market</t>
  </si>
  <si>
    <t>Data Center</t>
  </si>
  <si>
    <t>Compute</t>
  </si>
  <si>
    <t>Networking</t>
  </si>
  <si>
    <t>Gaming</t>
  </si>
  <si>
    <t>Professional Visualization</t>
  </si>
  <si>
    <t>OEM and Other</t>
  </si>
  <si>
    <t>Automotive</t>
  </si>
  <si>
    <t>Data Center Total</t>
  </si>
  <si>
    <t>Acquisition-Related and Other Costs</t>
  </si>
  <si>
    <t>Stock-Based Compensation</t>
  </si>
  <si>
    <t>Tax Impact of Adjustments</t>
  </si>
  <si>
    <t>ADJUSTED NET INCOME</t>
  </si>
  <si>
    <t>ADJUSTED GROSS PROFIT</t>
  </si>
  <si>
    <t>ADJUSTED OPERATING INCOME</t>
  </si>
  <si>
    <t>Revenue by geography</t>
  </si>
  <si>
    <t>EPS - Adjusted</t>
  </si>
  <si>
    <t>Income tax expense/(benefit)</t>
  </si>
  <si>
    <t>Acquisition termination cost</t>
  </si>
  <si>
    <t>Stock-based compensation expense</t>
  </si>
  <si>
    <t>IP-related and legal settlement costs</t>
  </si>
  <si>
    <t>Marketable Securities</t>
  </si>
  <si>
    <t>Inventories</t>
  </si>
  <si>
    <t>Operating lease assets</t>
  </si>
  <si>
    <t>Deferred income tax assets</t>
  </si>
  <si>
    <t>Long-term operating lease liabilities</t>
  </si>
  <si>
    <t>Other long-term liabilities</t>
  </si>
  <si>
    <t>Depreciation and amortization</t>
  </si>
  <si>
    <t>Deferred income taxes</t>
  </si>
  <si>
    <t>(Gains) losses on non-marketable equity securities and publicly-held equity securities, net</t>
  </si>
  <si>
    <t>Changes in operating assets and liabilities, net of acquisitions</t>
  </si>
  <si>
    <t>Adjustments to reconcile net income to  operating activities:</t>
  </si>
  <si>
    <t>Purchases related to property and equipment and intangible assets</t>
  </si>
  <si>
    <t>Acquisitions, net of cash acquired</t>
  </si>
  <si>
    <t>Proceeds from maturities of marketable securities</t>
  </si>
  <si>
    <t>Proceeds from sales of marketable securities</t>
  </si>
  <si>
    <t>Proceeds from sales of non-marketable equity securities</t>
  </si>
  <si>
    <t>Purchases of marketable securities</t>
  </si>
  <si>
    <t>Payments related to repurchases of common stock</t>
  </si>
  <si>
    <t>Payments related to tax on restricted stock units</t>
  </si>
  <si>
    <t>Repayment of debt</t>
  </si>
  <si>
    <t>Principal payments on property and equipment and intangible assets</t>
  </si>
  <si>
    <t>Dividends paid</t>
  </si>
  <si>
    <t>Proceeds related to employee stock plans</t>
  </si>
  <si>
    <t>Change in cash and cash equivalents</t>
  </si>
  <si>
    <t>Cash and cash equivalents at beginning of period</t>
  </si>
  <si>
    <t>Cash and cash equivalents at end of period</t>
  </si>
  <si>
    <t>Cash paid for income taxes, net</t>
  </si>
  <si>
    <t>Cash paid for interest</t>
  </si>
  <si>
    <t>Issuance of debt, net of issuance costs</t>
  </si>
  <si>
    <t>Treasury stock, at cost</t>
  </si>
  <si>
    <t>Common stock</t>
  </si>
  <si>
    <t>P/E</t>
  </si>
  <si>
    <t>ADJ. NET INCOME</t>
  </si>
  <si>
    <t>1Q26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</si>
</sst>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_);\(#,##0.000\)"/>
    <numFmt numFmtId="166" formatCode="0.0&quot;x&quot;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FF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color rgb="FF000099"/>
      <name val="Calibri"/>
      <family val="2"/>
    </font>
    <font>
      <u/>
      <sz val="11"/>
      <color rgb="FF000099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9" fontId="0" fillId="0" borderId="0" xfId="0" applyNumberFormat="1"/>
    <xf numFmtId="3" fontId="0" fillId="0" borderId="0" xfId="0" applyNumberFormat="1"/>
    <xf numFmtId="166" fontId="2" fillId="0" borderId="0" xfId="0" applyNumberFormat="1" applyFont="1"/>
    <xf numFmtId="14" fontId="6" fillId="0" borderId="0" xfId="0" applyNumberFormat="1" applyFont="1"/>
    <xf numFmtId="164" fontId="8" fillId="0" borderId="0" xfId="0" applyNumberFormat="1" applyFont="1"/>
    <xf numFmtId="39" fontId="7" fillId="0" borderId="0" xfId="0" applyNumberFormat="1" applyFont="1"/>
    <xf numFmtId="165" fontId="7" fillId="0" borderId="0" xfId="0" applyNumberFormat="1" applyFont="1"/>
    <xf numFmtId="39" fontId="7" fillId="0" borderId="1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165" fontId="3" fillId="0" borderId="1" xfId="0" applyNumberFormat="1" applyFont="1" applyBorder="1" applyAlignment="1">
      <alignment horizontal="center"/>
    </xf>
    <xf numFmtId="165" fontId="13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8" fillId="0" borderId="0" xfId="0" applyNumberFormat="1" applyFont="1" applyAlignment="1">
      <alignment horizontal="left" indent="1"/>
    </xf>
    <xf numFmtId="165" fontId="11" fillId="0" borderId="0" xfId="0" applyNumberFormat="1" applyFont="1"/>
    <xf numFmtId="165" fontId="3" fillId="0" borderId="0" xfId="0" applyNumberFormat="1" applyFont="1" applyAlignment="1">
      <alignment horizontal="left" indent="1"/>
    </xf>
    <xf numFmtId="165" fontId="3" fillId="0" borderId="0" xfId="0" applyNumberFormat="1" applyFont="1" applyAlignment="1">
      <alignment horizontal="left"/>
    </xf>
    <xf numFmtId="165" fontId="7" fillId="0" borderId="1" xfId="0" applyNumberFormat="1" applyFont="1" applyBorder="1"/>
    <xf numFmtId="165" fontId="10" fillId="0" borderId="0" xfId="0" applyNumberFormat="1" applyFont="1"/>
    <xf numFmtId="165" fontId="7" fillId="0" borderId="0" xfId="0" applyNumberFormat="1" applyFont="1" applyAlignment="1">
      <alignment horizontal="left"/>
    </xf>
    <xf numFmtId="165" fontId="12" fillId="0" borderId="0" xfId="0" applyNumberFormat="1" applyFont="1"/>
    <xf numFmtId="165" fontId="3" fillId="0" borderId="1" xfId="0" applyNumberFormat="1" applyFont="1" applyBorder="1"/>
    <xf numFmtId="10" fontId="8" fillId="0" borderId="0" xfId="0" applyNumberFormat="1" applyFont="1"/>
    <xf numFmtId="10" fontId="5" fillId="0" borderId="0" xfId="0" applyNumberFormat="1" applyFont="1"/>
    <xf numFmtId="10" fontId="9" fillId="0" borderId="0" xfId="0" applyNumberFormat="1" applyFont="1"/>
    <xf numFmtId="164" fontId="9" fillId="0" borderId="0" xfId="0" applyNumberFormat="1" applyFont="1"/>
    <xf numFmtId="0" fontId="3" fillId="0" borderId="0" xfId="0" applyFont="1"/>
    <xf numFmtId="165" fontId="14" fillId="0" borderId="0" xfId="0" applyNumberFormat="1" applyFont="1"/>
    <xf numFmtId="14" fontId="13" fillId="0" borderId="0" xfId="0" applyNumberFormat="1" applyFont="1"/>
    <xf numFmtId="4" fontId="0" fillId="0" borderId="0" xfId="0" applyNumberFormat="1"/>
    <xf numFmtId="165" fontId="15" fillId="0" borderId="0" xfId="0" applyNumberFormat="1" applyFont="1"/>
    <xf numFmtId="165" fontId="16" fillId="0" borderId="0" xfId="0" applyNumberFormat="1" applyFont="1"/>
    <xf numFmtId="37" fontId="3" fillId="0" borderId="0" xfId="0" applyNumberFormat="1" applyFont="1" applyAlignment="1">
      <alignment horizontal="center"/>
    </xf>
    <xf numFmtId="14" fontId="6" fillId="2" borderId="0" xfId="0" applyNumberFormat="1" applyFont="1" applyFill="1"/>
    <xf numFmtId="10" fontId="3" fillId="0" borderId="0" xfId="0" applyNumberFormat="1" applyFont="1"/>
    <xf numFmtId="1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133602</xdr:rowOff>
    </xdr:from>
    <xdr:to>
      <xdr:col>1</xdr:col>
      <xdr:colOff>2203174</xdr:colOff>
      <xdr:row>4</xdr:row>
      <xdr:rowOff>62355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A83CF-A7A1-5DCD-9563-3B42213F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509" y="324102"/>
          <a:ext cx="2169556" cy="49901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18</xdr:col>
      <xdr:colOff>439799</xdr:colOff>
      <xdr:row>37</xdr:row>
      <xdr:rowOff>76716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73D82-3222-E9CC-EFDB-D34B9AE3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11812649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AC6-48B2-425B-9DCB-5274C0B2E725}">
  <dimension ref="A2:XEZ194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J194" sqref="J194"/>
    </sheetView>
  </sheetViews>
  <sheetFormatPr defaultColWidth="10.5703125" defaultRowHeight="15" outlineLevelRow="1" outlineLevelCol="1" x14ac:dyDescent="0.25"/>
  <cols>
    <col min="1" max="1" width="4.28515625" style="10" customWidth="1"/>
    <col min="2" max="2" width="49.140625" style="10" bestFit="1" customWidth="1"/>
    <col min="3" max="19" width="10.5703125" style="10" customWidth="1"/>
    <col min="20" max="42" width="10.5703125" style="10" customWidth="1" outlineLevel="1"/>
    <col min="43" max="43" width="10.5703125" style="10"/>
    <col min="44" max="45" width="10.5703125" style="10" hidden="1" customWidth="1" outlineLevel="1"/>
    <col min="46" max="53" width="0" style="10" hidden="1" customWidth="1" outlineLevel="1"/>
    <col min="54" max="54" width="10.5703125" style="10" collapsed="1"/>
    <col min="55" max="16384" width="10.5703125" style="10"/>
  </cols>
  <sheetData>
    <row r="2" spans="2:57" x14ac:dyDescent="0.25">
      <c r="C2" s="13"/>
      <c r="D2" s="13"/>
      <c r="E2" s="39"/>
      <c r="F2" s="39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1"/>
      <c r="W2" s="12"/>
      <c r="X2" s="11"/>
      <c r="BC2" s="13"/>
      <c r="BD2" s="13"/>
    </row>
    <row r="3" spans="2:57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BC3" s="13"/>
      <c r="BD3" s="13"/>
    </row>
    <row r="5" spans="2:57" x14ac:dyDescent="0.25">
      <c r="C5" s="35">
        <v>44316</v>
      </c>
      <c r="D5" s="5">
        <f>EOMONTH(C5,3)</f>
        <v>44408</v>
      </c>
      <c r="E5" s="5">
        <f t="shared" ref="E5:K5" si="0">EOMONTH(D5,3)</f>
        <v>44500</v>
      </c>
      <c r="F5" s="5">
        <f t="shared" si="0"/>
        <v>44592</v>
      </c>
      <c r="G5" s="5">
        <f t="shared" si="0"/>
        <v>44681</v>
      </c>
      <c r="H5" s="5">
        <f t="shared" si="0"/>
        <v>44773</v>
      </c>
      <c r="I5" s="5">
        <f t="shared" si="0"/>
        <v>44865</v>
      </c>
      <c r="J5" s="5">
        <f t="shared" si="0"/>
        <v>44957</v>
      </c>
      <c r="K5" s="5">
        <f t="shared" si="0"/>
        <v>45046</v>
      </c>
      <c r="L5" s="5">
        <f>EOMONTH(K5,3)</f>
        <v>45138</v>
      </c>
      <c r="M5" s="5">
        <v>45228</v>
      </c>
      <c r="N5" s="5">
        <v>45319</v>
      </c>
      <c r="O5" s="5">
        <f>EOMONTH(N5,3)</f>
        <v>45412</v>
      </c>
      <c r="P5" s="5">
        <f>EOMONTH(O5,3)</f>
        <v>45504</v>
      </c>
      <c r="Q5" s="5">
        <v>45592</v>
      </c>
      <c r="R5" s="5">
        <f>EOMONTH(Q5,3)</f>
        <v>45688</v>
      </c>
      <c r="S5" s="40">
        <f>EOMONTH(R5,3)</f>
        <v>45777</v>
      </c>
      <c r="T5" s="5">
        <f t="shared" ref="T5:AP5" si="1">EOMONTH(S5,3)</f>
        <v>45869</v>
      </c>
      <c r="U5" s="5">
        <f t="shared" si="1"/>
        <v>45961</v>
      </c>
      <c r="V5" s="5">
        <f t="shared" si="1"/>
        <v>46053</v>
      </c>
      <c r="W5" s="5">
        <f t="shared" si="1"/>
        <v>46142</v>
      </c>
      <c r="X5" s="5">
        <f t="shared" si="1"/>
        <v>46234</v>
      </c>
      <c r="Y5" s="5">
        <f t="shared" si="1"/>
        <v>46326</v>
      </c>
      <c r="Z5" s="5">
        <f t="shared" si="1"/>
        <v>46418</v>
      </c>
      <c r="AA5" s="5">
        <f t="shared" si="1"/>
        <v>46507</v>
      </c>
      <c r="AB5" s="5">
        <f t="shared" si="1"/>
        <v>46599</v>
      </c>
      <c r="AC5" s="5">
        <f t="shared" si="1"/>
        <v>46691</v>
      </c>
      <c r="AD5" s="5">
        <f t="shared" si="1"/>
        <v>46783</v>
      </c>
      <c r="AE5" s="5">
        <f t="shared" si="1"/>
        <v>46873</v>
      </c>
      <c r="AF5" s="5">
        <f t="shared" si="1"/>
        <v>46965</v>
      </c>
      <c r="AG5" s="5">
        <f t="shared" si="1"/>
        <v>47057</v>
      </c>
      <c r="AH5" s="5">
        <f t="shared" si="1"/>
        <v>47149</v>
      </c>
      <c r="AI5" s="5">
        <f t="shared" si="1"/>
        <v>47238</v>
      </c>
      <c r="AJ5" s="5">
        <f t="shared" si="1"/>
        <v>47330</v>
      </c>
      <c r="AK5" s="5">
        <f t="shared" si="1"/>
        <v>47422</v>
      </c>
      <c r="AL5" s="5">
        <f t="shared" si="1"/>
        <v>47514</v>
      </c>
      <c r="AM5" s="5">
        <f t="shared" si="1"/>
        <v>47603</v>
      </c>
      <c r="AN5" s="5">
        <f t="shared" si="1"/>
        <v>47695</v>
      </c>
      <c r="AO5" s="5">
        <f t="shared" si="1"/>
        <v>47787</v>
      </c>
      <c r="AP5" s="5">
        <f t="shared" si="1"/>
        <v>47879</v>
      </c>
      <c r="BC5" s="5">
        <v>45777</v>
      </c>
      <c r="BD5" s="5"/>
    </row>
    <row r="6" spans="2:57" x14ac:dyDescent="0.25">
      <c r="C6" s="13" t="str">
        <f>IF(MONTH(C5)=4,"1Q"&amp;RIGHT(YEAR(C5),2)+1,IF(MONTH(C5)=7,"2Q"&amp;RIGHT(YEAR(C5),2)+1,IF(MONTH(C5)=10,"3Q"&amp;RIGHT(YEAR(C5),2)+1,IF(MONTH(C5)=1,"4Q"&amp;RIGHT(YEAR(C5),2)))))</f>
        <v>1Q22</v>
      </c>
      <c r="D6" s="13" t="str">
        <f t="shared" ref="D6:AP6" si="2">IF(MONTH(D5)=4,"1Q"&amp;RIGHT(YEAR(D5),2)+1,IF(MONTH(D5)=7,"2Q"&amp;RIGHT(YEAR(D5),2)+1,IF(MONTH(D5)=10,"3Q"&amp;RIGHT(YEAR(D5),2)+1,IF(MONTH(D5)=1,"4Q"&amp;RIGHT(YEAR(D5),2)))))</f>
        <v>2Q22</v>
      </c>
      <c r="E6" s="13" t="str">
        <f t="shared" si="2"/>
        <v>3Q22</v>
      </c>
      <c r="F6" s="13" t="str">
        <f t="shared" si="2"/>
        <v>4Q22</v>
      </c>
      <c r="G6" s="13" t="str">
        <f t="shared" si="2"/>
        <v>1Q23</v>
      </c>
      <c r="H6" s="13" t="str">
        <f t="shared" si="2"/>
        <v>2Q23</v>
      </c>
      <c r="I6" s="13" t="str">
        <f t="shared" si="2"/>
        <v>3Q23</v>
      </c>
      <c r="J6" s="13" t="str">
        <f t="shared" si="2"/>
        <v>4Q23</v>
      </c>
      <c r="K6" s="13" t="str">
        <f t="shared" si="2"/>
        <v>1Q24</v>
      </c>
      <c r="L6" s="13" t="str">
        <f t="shared" si="2"/>
        <v>2Q24</v>
      </c>
      <c r="M6" s="13" t="str">
        <f t="shared" si="2"/>
        <v>3Q24</v>
      </c>
      <c r="N6" s="13" t="str">
        <f t="shared" si="2"/>
        <v>4Q24</v>
      </c>
      <c r="O6" s="13" t="str">
        <f t="shared" si="2"/>
        <v>1Q25</v>
      </c>
      <c r="P6" s="13" t="str">
        <f t="shared" si="2"/>
        <v>2Q25</v>
      </c>
      <c r="Q6" s="13" t="str">
        <f t="shared" si="2"/>
        <v>3Q25</v>
      </c>
      <c r="R6" s="13" t="str">
        <f t="shared" si="2"/>
        <v>4Q25</v>
      </c>
      <c r="S6" s="16" t="str">
        <f t="shared" si="2"/>
        <v>1Q26</v>
      </c>
      <c r="T6" s="16" t="str">
        <f t="shared" si="2"/>
        <v>2Q26</v>
      </c>
      <c r="U6" s="16" t="str">
        <f t="shared" si="2"/>
        <v>3Q26</v>
      </c>
      <c r="V6" s="16" t="str">
        <f t="shared" si="2"/>
        <v>4Q26</v>
      </c>
      <c r="W6" s="16" t="str">
        <f t="shared" si="2"/>
        <v>1Q27</v>
      </c>
      <c r="X6" s="16" t="str">
        <f t="shared" si="2"/>
        <v>2Q27</v>
      </c>
      <c r="Y6" s="16" t="str">
        <f t="shared" si="2"/>
        <v>3Q27</v>
      </c>
      <c r="Z6" s="16" t="str">
        <f t="shared" si="2"/>
        <v>4Q27</v>
      </c>
      <c r="AA6" s="16" t="str">
        <f t="shared" si="2"/>
        <v>1Q28</v>
      </c>
      <c r="AB6" s="16" t="str">
        <f t="shared" si="2"/>
        <v>2Q28</v>
      </c>
      <c r="AC6" s="16" t="str">
        <f t="shared" si="2"/>
        <v>3Q28</v>
      </c>
      <c r="AD6" s="16" t="str">
        <f t="shared" si="2"/>
        <v>4Q28</v>
      </c>
      <c r="AE6" s="16" t="str">
        <f t="shared" si="2"/>
        <v>1Q29</v>
      </c>
      <c r="AF6" s="16" t="str">
        <f t="shared" si="2"/>
        <v>2Q29</v>
      </c>
      <c r="AG6" s="16" t="str">
        <f t="shared" si="2"/>
        <v>3Q29</v>
      </c>
      <c r="AH6" s="16" t="str">
        <f t="shared" si="2"/>
        <v>4Q29</v>
      </c>
      <c r="AI6" s="16" t="str">
        <f t="shared" si="2"/>
        <v>1Q30</v>
      </c>
      <c r="AJ6" s="16" t="str">
        <f t="shared" si="2"/>
        <v>2Q30</v>
      </c>
      <c r="AK6" s="16" t="str">
        <f t="shared" si="2"/>
        <v>3Q30</v>
      </c>
      <c r="AL6" s="16" t="str">
        <f t="shared" si="2"/>
        <v>4Q30</v>
      </c>
      <c r="AM6" s="16" t="str">
        <f t="shared" si="2"/>
        <v>1Q31</v>
      </c>
      <c r="AN6" s="16" t="str">
        <f t="shared" si="2"/>
        <v>2Q31</v>
      </c>
      <c r="AO6" s="16" t="str">
        <f t="shared" si="2"/>
        <v>3Q31</v>
      </c>
      <c r="AP6" s="16" t="str">
        <f t="shared" si="2"/>
        <v>4Q31</v>
      </c>
      <c r="AR6" s="33">
        <v>2022</v>
      </c>
      <c r="AS6" s="33">
        <f>AR6+1</f>
        <v>2023</v>
      </c>
      <c r="AT6" s="33">
        <f t="shared" ref="AT6:BA6" si="3">AS6+1</f>
        <v>2024</v>
      </c>
      <c r="AU6" s="33">
        <f t="shared" si="3"/>
        <v>2025</v>
      </c>
      <c r="AV6" s="33">
        <f t="shared" si="3"/>
        <v>2026</v>
      </c>
      <c r="AW6" s="33">
        <f t="shared" si="3"/>
        <v>2027</v>
      </c>
      <c r="AX6" s="33">
        <f t="shared" si="3"/>
        <v>2028</v>
      </c>
      <c r="AY6" s="33">
        <f t="shared" si="3"/>
        <v>2029</v>
      </c>
      <c r="AZ6" s="33">
        <f t="shared" si="3"/>
        <v>2030</v>
      </c>
      <c r="BA6" s="33">
        <f t="shared" si="3"/>
        <v>2031</v>
      </c>
      <c r="BC6" s="16" t="s">
        <v>135</v>
      </c>
      <c r="BD6" s="16"/>
    </row>
    <row r="7" spans="2:57" x14ac:dyDescent="0.25">
      <c r="B7" s="8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BC7" s="13"/>
      <c r="BD7" s="13"/>
    </row>
    <row r="8" spans="2:57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BC8" s="13"/>
      <c r="BD8" s="13"/>
    </row>
    <row r="9" spans="2:57" x14ac:dyDescent="0.25">
      <c r="B9" s="8" t="s">
        <v>3</v>
      </c>
    </row>
    <row r="10" spans="2:57" x14ac:dyDescent="0.25">
      <c r="B10" s="10" t="s">
        <v>66</v>
      </c>
      <c r="C10" s="17">
        <v>3.4510000000000001</v>
      </c>
      <c r="D10" s="17">
        <v>3.907</v>
      </c>
      <c r="E10" s="17">
        <v>3.0110000000000001</v>
      </c>
      <c r="F10" s="17">
        <f>11.046-SUM(C10:E10)</f>
        <v>0.6769999999999996</v>
      </c>
      <c r="G10" s="17">
        <v>3.6720000000000002</v>
      </c>
      <c r="H10" s="17">
        <v>3.907</v>
      </c>
      <c r="I10" s="17">
        <v>3.8159999999999998</v>
      </c>
      <c r="J10" s="17">
        <f>15.068-SUM(G10:I10)</f>
        <v>3.673</v>
      </c>
      <c r="K10" s="17">
        <v>4.46</v>
      </c>
      <c r="L10" s="17">
        <v>10.401999999999999</v>
      </c>
      <c r="M10" s="17">
        <v>14.645</v>
      </c>
      <c r="N10" s="17">
        <f>47.405-SUM(K10:M10)</f>
        <v>17.898000000000003</v>
      </c>
      <c r="O10" s="17">
        <v>22.675000000000001</v>
      </c>
      <c r="P10" s="17">
        <v>26.446000000000002</v>
      </c>
      <c r="Q10" s="17">
        <v>31.036000000000001</v>
      </c>
      <c r="R10" s="17">
        <f>116.193-SUM(O10:Q10)</f>
        <v>36.035999999999987</v>
      </c>
      <c r="S10" s="10">
        <f>S29</f>
        <v>39.112000000000002</v>
      </c>
      <c r="T10" s="10">
        <f>P10*(1+T11)</f>
        <v>46.280500000000004</v>
      </c>
      <c r="U10" s="10">
        <f>Q10*(1+U11)</f>
        <v>52.761200000000002</v>
      </c>
      <c r="V10" s="10">
        <f>R10*(1+V11)</f>
        <v>59.459399999999974</v>
      </c>
      <c r="W10" s="10">
        <f>S10*(1+W11)</f>
        <v>62.5792</v>
      </c>
      <c r="X10" s="10">
        <f t="shared" ref="X10:AP10" si="4">T10*(1+X11)</f>
        <v>71.734774999999999</v>
      </c>
      <c r="Y10" s="10">
        <f t="shared" si="4"/>
        <v>79.141799999999989</v>
      </c>
      <c r="Z10" s="10">
        <f t="shared" si="4"/>
        <v>86.21612999999995</v>
      </c>
      <c r="AA10" s="10">
        <f t="shared" si="4"/>
        <v>87.610879999999995</v>
      </c>
      <c r="AB10" s="10">
        <f t="shared" si="4"/>
        <v>100.42868499999999</v>
      </c>
      <c r="AC10" s="10">
        <f t="shared" si="4"/>
        <v>110.79851999999998</v>
      </c>
      <c r="AD10" s="10">
        <f t="shared" si="4"/>
        <v>120.70258199999992</v>
      </c>
      <c r="AE10" s="10">
        <f t="shared" si="4"/>
        <v>118.27468799999998</v>
      </c>
      <c r="AF10" s="10">
        <f t="shared" si="4"/>
        <v>135.57872474999996</v>
      </c>
      <c r="AG10" s="10">
        <f t="shared" si="4"/>
        <v>149.57800199999997</v>
      </c>
      <c r="AH10" s="10">
        <f t="shared" si="4"/>
        <v>162.94848569999988</v>
      </c>
      <c r="AI10" s="10">
        <f t="shared" si="4"/>
        <v>159.67082879999995</v>
      </c>
      <c r="AJ10" s="10">
        <f t="shared" si="4"/>
        <v>183.03127841249994</v>
      </c>
      <c r="AK10" s="10">
        <f t="shared" si="4"/>
        <v>201.93030269999994</v>
      </c>
      <c r="AL10" s="10">
        <f t="shared" si="4"/>
        <v>219.98045569499982</v>
      </c>
      <c r="AM10" s="10">
        <f t="shared" si="4"/>
        <v>215.55561887999991</v>
      </c>
      <c r="AN10" s="10">
        <f t="shared" si="4"/>
        <v>247.0922258568749</v>
      </c>
      <c r="AO10" s="10">
        <f t="shared" si="4"/>
        <v>272.60590864499989</v>
      </c>
      <c r="AP10" s="10">
        <f t="shared" si="4"/>
        <v>296.97361518824971</v>
      </c>
      <c r="AR10" s="10">
        <f>SUM(C10:F10)</f>
        <v>11.045999999999999</v>
      </c>
      <c r="AS10" s="10">
        <f>SUM(G10:J10)</f>
        <v>15.068</v>
      </c>
      <c r="AT10" s="10">
        <f>SUM(K10:N10)</f>
        <v>47.405000000000001</v>
      </c>
      <c r="AU10" s="10">
        <f>SUM(O10:R10)</f>
        <v>116.193</v>
      </c>
      <c r="AV10" s="10">
        <f>SUM(S10:V10)</f>
        <v>197.61309999999997</v>
      </c>
      <c r="AW10" s="10">
        <f>SUM(W10:Z10)</f>
        <v>299.67190499999992</v>
      </c>
      <c r="AX10" s="10">
        <f>SUM(AA10:AD10)</f>
        <v>419.54066699999987</v>
      </c>
      <c r="AY10" s="10">
        <f>SUM(AE10:AH10)</f>
        <v>566.37990044999981</v>
      </c>
      <c r="AZ10" s="10">
        <f>SUM(AI10:AL10)</f>
        <v>764.61286560749966</v>
      </c>
      <c r="BA10" s="10">
        <f>SUM(AM10:AP10)</f>
        <v>1032.2273685701243</v>
      </c>
      <c r="BC10" s="10">
        <v>40.815000000000005</v>
      </c>
      <c r="BD10" s="10">
        <f>S10-BC10</f>
        <v>-1.703000000000003</v>
      </c>
      <c r="BE10" s="41">
        <f>BD10/BC10</f>
        <v>-4.1724856057821946E-2</v>
      </c>
    </row>
    <row r="11" spans="2:57" x14ac:dyDescent="0.25">
      <c r="B11" s="18" t="s">
        <v>4</v>
      </c>
      <c r="C11" s="6"/>
      <c r="D11" s="6"/>
      <c r="E11" s="6"/>
      <c r="F11" s="6"/>
      <c r="G11" s="6">
        <f t="shared" ref="G11:R11" si="5">G10/C10-1</f>
        <v>6.4039408866995107E-2</v>
      </c>
      <c r="H11" s="6">
        <f t="shared" si="5"/>
        <v>0</v>
      </c>
      <c r="I11" s="6">
        <f t="shared" si="5"/>
        <v>0.26735303885752226</v>
      </c>
      <c r="J11" s="6">
        <f t="shared" si="5"/>
        <v>4.4254062038404758</v>
      </c>
      <c r="K11" s="6">
        <f t="shared" si="5"/>
        <v>0.21459694989106737</v>
      </c>
      <c r="L11" s="6">
        <f t="shared" si="5"/>
        <v>1.6624008190427437</v>
      </c>
      <c r="M11" s="6">
        <f t="shared" si="5"/>
        <v>2.8377882599580713</v>
      </c>
      <c r="N11" s="6">
        <f t="shared" si="5"/>
        <v>3.8728559760413841</v>
      </c>
      <c r="O11" s="6">
        <f t="shared" si="5"/>
        <v>4.0840807174887894</v>
      </c>
      <c r="P11" s="6">
        <f t="shared" si="5"/>
        <v>1.5423956931359357</v>
      </c>
      <c r="Q11" s="6">
        <f t="shared" si="5"/>
        <v>1.1192215773301468</v>
      </c>
      <c r="R11" s="6">
        <f t="shared" si="5"/>
        <v>1.0134093194770353</v>
      </c>
      <c r="S11" s="32">
        <v>0.8</v>
      </c>
      <c r="T11" s="32">
        <f>S11-5%</f>
        <v>0.75</v>
      </c>
      <c r="U11" s="32">
        <f>T11-5%</f>
        <v>0.7</v>
      </c>
      <c r="V11" s="32">
        <f>U11-5%</f>
        <v>0.64999999999999991</v>
      </c>
      <c r="W11" s="32">
        <f>V11-5%</f>
        <v>0.59999999999999987</v>
      </c>
      <c r="X11" s="32">
        <f>W11-5%</f>
        <v>0.54999999999999982</v>
      </c>
      <c r="Y11" s="32">
        <f t="shared" ref="Y11:AE11" si="6">X11-5%</f>
        <v>0.49999999999999983</v>
      </c>
      <c r="Z11" s="32">
        <f t="shared" si="6"/>
        <v>0.44999999999999984</v>
      </c>
      <c r="AA11" s="32">
        <f t="shared" si="6"/>
        <v>0.39999999999999986</v>
      </c>
      <c r="AB11" s="32">
        <f>AA11</f>
        <v>0.39999999999999986</v>
      </c>
      <c r="AC11" s="32">
        <f>AB11</f>
        <v>0.39999999999999986</v>
      </c>
      <c r="AD11" s="32">
        <f>AC11</f>
        <v>0.39999999999999986</v>
      </c>
      <c r="AE11" s="32">
        <f t="shared" si="6"/>
        <v>0.34999999999999987</v>
      </c>
      <c r="AF11" s="32">
        <f>AE11</f>
        <v>0.34999999999999987</v>
      </c>
      <c r="AG11" s="32">
        <f t="shared" ref="AG11:AP11" si="7">AF11</f>
        <v>0.34999999999999987</v>
      </c>
      <c r="AH11" s="32">
        <f t="shared" si="7"/>
        <v>0.34999999999999987</v>
      </c>
      <c r="AI11" s="32">
        <f t="shared" si="7"/>
        <v>0.34999999999999987</v>
      </c>
      <c r="AJ11" s="32">
        <f t="shared" si="7"/>
        <v>0.34999999999999987</v>
      </c>
      <c r="AK11" s="32">
        <f t="shared" si="7"/>
        <v>0.34999999999999987</v>
      </c>
      <c r="AL11" s="32">
        <f t="shared" si="7"/>
        <v>0.34999999999999987</v>
      </c>
      <c r="AM11" s="32">
        <f t="shared" si="7"/>
        <v>0.34999999999999987</v>
      </c>
      <c r="AN11" s="32">
        <f t="shared" si="7"/>
        <v>0.34999999999999987</v>
      </c>
      <c r="AO11" s="32">
        <f t="shared" si="7"/>
        <v>0.34999999999999987</v>
      </c>
      <c r="AP11" s="32">
        <f t="shared" si="7"/>
        <v>0.34999999999999987</v>
      </c>
      <c r="AR11" s="6"/>
      <c r="AS11" s="6">
        <f>AS10/AR10-1</f>
        <v>0.36411370631902962</v>
      </c>
      <c r="AT11" s="6">
        <f t="shared" ref="AT11:BA11" si="8">AT10/AS10-1</f>
        <v>2.1460711441465357</v>
      </c>
      <c r="AU11" s="6">
        <f t="shared" si="8"/>
        <v>1.4510705621769855</v>
      </c>
      <c r="AV11" s="6">
        <f t="shared" si="8"/>
        <v>0.70073154148700856</v>
      </c>
      <c r="AW11" s="6">
        <f t="shared" si="8"/>
        <v>0.51645768929286562</v>
      </c>
      <c r="AX11" s="6">
        <f t="shared" si="8"/>
        <v>0.39999999999999991</v>
      </c>
      <c r="AY11" s="6">
        <f t="shared" si="8"/>
        <v>0.34999999999999987</v>
      </c>
      <c r="AZ11" s="6">
        <f t="shared" si="8"/>
        <v>0.34999999999999987</v>
      </c>
      <c r="BA11" s="6">
        <f t="shared" si="8"/>
        <v>0.34999999999999964</v>
      </c>
      <c r="BC11" s="32">
        <v>0.8</v>
      </c>
      <c r="BD11" s="32">
        <f t="shared" ref="BD11:BD15" si="9">S11-BC11</f>
        <v>0</v>
      </c>
      <c r="BE11" s="41">
        <f t="shared" ref="BE11:BE15" si="10">BD11/BC11</f>
        <v>0</v>
      </c>
    </row>
    <row r="12" spans="2:57" x14ac:dyDescent="0.25">
      <c r="B12" s="10" t="s">
        <v>67</v>
      </c>
      <c r="C12" s="17">
        <v>2.21</v>
      </c>
      <c r="D12" s="17">
        <v>2.6</v>
      </c>
      <c r="E12" s="17">
        <v>4.0919999999999996</v>
      </c>
      <c r="F12" s="17">
        <f>15.868-SUM(C12:E12)</f>
        <v>6.9659999999999993</v>
      </c>
      <c r="G12" s="17">
        <v>4.6159999999999997</v>
      </c>
      <c r="H12" s="17">
        <v>2.7970000000000002</v>
      </c>
      <c r="I12" s="17">
        <v>2.1150000000000002</v>
      </c>
      <c r="J12" s="17">
        <f>11.906-SUM(G12:I12)</f>
        <v>2.3780000000000001</v>
      </c>
      <c r="K12" s="17">
        <v>2.7320000000000002</v>
      </c>
      <c r="L12" s="17">
        <v>3.105</v>
      </c>
      <c r="M12" s="17">
        <v>3.4750000000000001</v>
      </c>
      <c r="N12" s="17">
        <f>13.517-SUM(K12:M12)</f>
        <v>4.2050000000000001</v>
      </c>
      <c r="O12" s="17">
        <v>3.3690000000000002</v>
      </c>
      <c r="P12" s="17">
        <v>3.5939999999999999</v>
      </c>
      <c r="Q12" s="17">
        <v>4.0460000000000003</v>
      </c>
      <c r="R12" s="17">
        <f>14.304-SUM(O12:Q12)</f>
        <v>3.2949999999999999</v>
      </c>
      <c r="S12" s="10">
        <f>S14-S10</f>
        <v>4.9499999999999957</v>
      </c>
      <c r="T12" s="10">
        <f>P12*(1+T13)</f>
        <v>4.1330999999999998</v>
      </c>
      <c r="U12" s="10">
        <f>Q12*(1+U13)</f>
        <v>4.6528999999999998</v>
      </c>
      <c r="V12" s="10">
        <f>R12*(1+V13)</f>
        <v>3.7892499999999996</v>
      </c>
      <c r="W12" s="10">
        <f t="shared" ref="W12:AP12" si="11">S12*(1+W13)</f>
        <v>3.8362499999999966</v>
      </c>
      <c r="X12" s="10">
        <f t="shared" si="11"/>
        <v>4.6497374999999996</v>
      </c>
      <c r="Y12" s="10">
        <f t="shared" si="11"/>
        <v>5.2345125000000001</v>
      </c>
      <c r="Z12" s="10">
        <f t="shared" si="11"/>
        <v>4.2629062499999995</v>
      </c>
      <c r="AA12" s="10">
        <f t="shared" si="11"/>
        <v>2.8771874999999976</v>
      </c>
      <c r="AB12" s="10">
        <f t="shared" si="11"/>
        <v>5.11471125</v>
      </c>
      <c r="AC12" s="10">
        <f t="shared" si="11"/>
        <v>5.7579637500000009</v>
      </c>
      <c r="AD12" s="10">
        <f t="shared" si="11"/>
        <v>4.6891968749999995</v>
      </c>
      <c r="AE12" s="10">
        <f t="shared" si="11"/>
        <v>2.0859609374999981</v>
      </c>
      <c r="AF12" s="10">
        <f t="shared" si="11"/>
        <v>5.49831459375</v>
      </c>
      <c r="AG12" s="10">
        <f t="shared" si="11"/>
        <v>6.1898110312500005</v>
      </c>
      <c r="AH12" s="10">
        <f t="shared" si="11"/>
        <v>5.0408866406249988</v>
      </c>
      <c r="AI12" s="10">
        <f t="shared" si="11"/>
        <v>1.4601726562499986</v>
      </c>
      <c r="AJ12" s="10">
        <f t="shared" si="11"/>
        <v>5.7732303234375006</v>
      </c>
      <c r="AK12" s="10">
        <f t="shared" si="11"/>
        <v>6.4993015828125005</v>
      </c>
      <c r="AL12" s="10">
        <f t="shared" si="11"/>
        <v>5.292930972656249</v>
      </c>
      <c r="AM12" s="10">
        <f t="shared" si="11"/>
        <v>1.5331812890624985</v>
      </c>
      <c r="AN12" s="10">
        <f t="shared" si="11"/>
        <v>6.0618918396093759</v>
      </c>
      <c r="AO12" s="10">
        <f t="shared" si="11"/>
        <v>6.8242666619531258</v>
      </c>
      <c r="AP12" s="10">
        <f t="shared" si="11"/>
        <v>5.5575775212890619</v>
      </c>
      <c r="AR12" s="10">
        <f>SUM(C12:F12)</f>
        <v>15.868</v>
      </c>
      <c r="AS12" s="10">
        <f>SUM(G12:J12)</f>
        <v>11.906000000000001</v>
      </c>
      <c r="AT12" s="10">
        <f>SUM(K12:N12)</f>
        <v>13.516999999999999</v>
      </c>
      <c r="AU12" s="10">
        <f>SUM(O12:R12)</f>
        <v>14.304</v>
      </c>
      <c r="AV12" s="10">
        <f>SUM(S12:V12)</f>
        <v>17.525249999999993</v>
      </c>
      <c r="AW12" s="10">
        <f>SUM(W12:Z12)</f>
        <v>17.983406249999998</v>
      </c>
      <c r="AX12" s="10">
        <f>SUM(AA12:AD12)</f>
        <v>18.439059374999999</v>
      </c>
      <c r="AY12" s="10">
        <f>SUM(AE12:AH12)</f>
        <v>18.814973203125</v>
      </c>
      <c r="AZ12" s="10">
        <f>SUM(AI12:AL12)</f>
        <v>19.025635535156248</v>
      </c>
      <c r="BA12" s="10">
        <f>SUM(AM12:AP12)</f>
        <v>19.976917311914061</v>
      </c>
      <c r="BC12" s="10">
        <v>2.6952000000000003</v>
      </c>
      <c r="BD12" s="10">
        <f t="shared" si="9"/>
        <v>2.2547999999999955</v>
      </c>
      <c r="BE12" s="41">
        <f t="shared" si="10"/>
        <v>0.836598397150488</v>
      </c>
    </row>
    <row r="13" spans="2:57" x14ac:dyDescent="0.25">
      <c r="B13" s="18" t="s">
        <v>4</v>
      </c>
      <c r="C13" s="6"/>
      <c r="D13" s="6"/>
      <c r="E13" s="6"/>
      <c r="F13" s="6"/>
      <c r="G13" s="6">
        <f t="shared" ref="G13:R13" si="12">G12/C12-1</f>
        <v>1.0886877828054295</v>
      </c>
      <c r="H13" s="6">
        <f t="shared" si="12"/>
        <v>7.5769230769230811E-2</v>
      </c>
      <c r="I13" s="6">
        <f t="shared" si="12"/>
        <v>-0.48313782991202336</v>
      </c>
      <c r="J13" s="6">
        <f t="shared" si="12"/>
        <v>-0.65862761986792995</v>
      </c>
      <c r="K13" s="6">
        <f t="shared" si="12"/>
        <v>-0.40814558058925465</v>
      </c>
      <c r="L13" s="6">
        <f t="shared" si="12"/>
        <v>0.11011798355380753</v>
      </c>
      <c r="M13" s="6">
        <f t="shared" si="12"/>
        <v>0.64302600472813221</v>
      </c>
      <c r="N13" s="6">
        <f t="shared" si="12"/>
        <v>0.76829268292682928</v>
      </c>
      <c r="O13" s="6">
        <f t="shared" si="12"/>
        <v>0.23316251830161061</v>
      </c>
      <c r="P13" s="6">
        <f t="shared" si="12"/>
        <v>0.15748792270531387</v>
      </c>
      <c r="Q13" s="6">
        <f t="shared" si="12"/>
        <v>0.16431654676259</v>
      </c>
      <c r="R13" s="6">
        <f t="shared" si="12"/>
        <v>-0.21640903686087998</v>
      </c>
      <c r="S13" s="32">
        <v>-0.2</v>
      </c>
      <c r="T13" s="32">
        <v>0.15</v>
      </c>
      <c r="U13" s="32">
        <v>0.15</v>
      </c>
      <c r="V13" s="32">
        <v>0.15</v>
      </c>
      <c r="W13" s="32">
        <f t="shared" ref="W13:AL13" si="13">S13-2.5%</f>
        <v>-0.22500000000000001</v>
      </c>
      <c r="X13" s="32">
        <f t="shared" si="13"/>
        <v>0.125</v>
      </c>
      <c r="Y13" s="32">
        <f t="shared" si="13"/>
        <v>0.125</v>
      </c>
      <c r="Z13" s="32">
        <f t="shared" si="13"/>
        <v>0.125</v>
      </c>
      <c r="AA13" s="32">
        <f t="shared" si="13"/>
        <v>-0.25</v>
      </c>
      <c r="AB13" s="32">
        <f t="shared" si="13"/>
        <v>0.1</v>
      </c>
      <c r="AC13" s="32">
        <f t="shared" si="13"/>
        <v>0.1</v>
      </c>
      <c r="AD13" s="32">
        <f t="shared" si="13"/>
        <v>0.1</v>
      </c>
      <c r="AE13" s="32">
        <f t="shared" si="13"/>
        <v>-0.27500000000000002</v>
      </c>
      <c r="AF13" s="32">
        <f t="shared" si="13"/>
        <v>7.5000000000000011E-2</v>
      </c>
      <c r="AG13" s="32">
        <f t="shared" si="13"/>
        <v>7.5000000000000011E-2</v>
      </c>
      <c r="AH13" s="32">
        <f t="shared" si="13"/>
        <v>7.5000000000000011E-2</v>
      </c>
      <c r="AI13" s="32">
        <f t="shared" si="13"/>
        <v>-0.30000000000000004</v>
      </c>
      <c r="AJ13" s="32">
        <f t="shared" si="13"/>
        <v>5.000000000000001E-2</v>
      </c>
      <c r="AK13" s="32">
        <f t="shared" si="13"/>
        <v>5.000000000000001E-2</v>
      </c>
      <c r="AL13" s="32">
        <f t="shared" si="13"/>
        <v>5.000000000000001E-2</v>
      </c>
      <c r="AM13" s="32">
        <f>AL13</f>
        <v>5.000000000000001E-2</v>
      </c>
      <c r="AN13" s="32">
        <f>AM13</f>
        <v>5.000000000000001E-2</v>
      </c>
      <c r="AO13" s="32">
        <f>AN13</f>
        <v>5.000000000000001E-2</v>
      </c>
      <c r="AP13" s="32">
        <f>AO13</f>
        <v>5.000000000000001E-2</v>
      </c>
      <c r="AS13" s="6">
        <f t="shared" ref="AS13:BA13" si="14">AS12/AR12-1</f>
        <v>-0.24968490042853542</v>
      </c>
      <c r="AT13" s="6">
        <f t="shared" si="14"/>
        <v>0.13530992776751205</v>
      </c>
      <c r="AU13" s="6">
        <f t="shared" si="14"/>
        <v>5.8222978471554443E-2</v>
      </c>
      <c r="AV13" s="6">
        <f t="shared" si="14"/>
        <v>0.22519924496644239</v>
      </c>
      <c r="AW13" s="6">
        <f t="shared" si="14"/>
        <v>2.6142637052253503E-2</v>
      </c>
      <c r="AX13" s="6">
        <f t="shared" si="14"/>
        <v>2.5337420434463187E-2</v>
      </c>
      <c r="AY13" s="6">
        <f t="shared" si="14"/>
        <v>2.0386822368752222E-2</v>
      </c>
      <c r="AZ13" s="6">
        <f t="shared" si="14"/>
        <v>1.1196525754087139E-2</v>
      </c>
      <c r="BA13" s="6">
        <f t="shared" si="14"/>
        <v>5.0000000000000044E-2</v>
      </c>
      <c r="BC13" s="32">
        <v>-0.2</v>
      </c>
      <c r="BD13" s="32">
        <f t="shared" si="9"/>
        <v>0</v>
      </c>
      <c r="BE13" s="41">
        <f t="shared" si="10"/>
        <v>0</v>
      </c>
    </row>
    <row r="14" spans="2:57" x14ac:dyDescent="0.25">
      <c r="B14" s="8" t="s">
        <v>5</v>
      </c>
      <c r="C14" s="8">
        <f t="shared" ref="C14:BA14" si="15">C10+C12</f>
        <v>5.6609999999999996</v>
      </c>
      <c r="D14" s="8">
        <f t="shared" si="15"/>
        <v>6.5069999999999997</v>
      </c>
      <c r="E14" s="8">
        <f t="shared" si="15"/>
        <v>7.1029999999999998</v>
      </c>
      <c r="F14" s="8">
        <f t="shared" si="15"/>
        <v>7.6429999999999989</v>
      </c>
      <c r="G14" s="8">
        <f t="shared" si="15"/>
        <v>8.2880000000000003</v>
      </c>
      <c r="H14" s="8">
        <f t="shared" si="15"/>
        <v>6.7040000000000006</v>
      </c>
      <c r="I14" s="8">
        <f t="shared" si="15"/>
        <v>5.931</v>
      </c>
      <c r="J14" s="8">
        <f t="shared" si="15"/>
        <v>6.0510000000000002</v>
      </c>
      <c r="K14" s="8">
        <f t="shared" si="15"/>
        <v>7.1920000000000002</v>
      </c>
      <c r="L14" s="8">
        <f t="shared" si="15"/>
        <v>13.507</v>
      </c>
      <c r="M14" s="8">
        <f t="shared" si="15"/>
        <v>18.12</v>
      </c>
      <c r="N14" s="8">
        <f t="shared" si="15"/>
        <v>22.103000000000002</v>
      </c>
      <c r="O14" s="8">
        <f t="shared" si="15"/>
        <v>26.044</v>
      </c>
      <c r="P14" s="8">
        <f t="shared" si="15"/>
        <v>30.040000000000003</v>
      </c>
      <c r="Q14" s="8">
        <f t="shared" si="15"/>
        <v>35.082000000000001</v>
      </c>
      <c r="R14" s="8">
        <f t="shared" si="15"/>
        <v>39.330999999999989</v>
      </c>
      <c r="S14" s="8">
        <v>44.061999999999998</v>
      </c>
      <c r="T14" s="8">
        <f t="shared" si="15"/>
        <v>50.413600000000002</v>
      </c>
      <c r="U14" s="8">
        <f t="shared" si="15"/>
        <v>57.414100000000005</v>
      </c>
      <c r="V14" s="8">
        <f t="shared" si="15"/>
        <v>63.248649999999977</v>
      </c>
      <c r="W14" s="8">
        <f t="shared" si="15"/>
        <v>66.415449999999993</v>
      </c>
      <c r="X14" s="8">
        <f t="shared" si="15"/>
        <v>76.3845125</v>
      </c>
      <c r="Y14" s="8">
        <f t="shared" si="15"/>
        <v>84.376312499999983</v>
      </c>
      <c r="Z14" s="8">
        <f t="shared" si="15"/>
        <v>90.47903624999995</v>
      </c>
      <c r="AA14" s="8">
        <f t="shared" si="15"/>
        <v>90.488067499999985</v>
      </c>
      <c r="AB14" s="8">
        <f t="shared" si="15"/>
        <v>105.54339624999999</v>
      </c>
      <c r="AC14" s="8">
        <f t="shared" si="15"/>
        <v>116.55648374999998</v>
      </c>
      <c r="AD14" s="8">
        <f t="shared" si="15"/>
        <v>125.39177887499991</v>
      </c>
      <c r="AE14" s="8">
        <f t="shared" si="15"/>
        <v>120.36064893749999</v>
      </c>
      <c r="AF14" s="8">
        <f t="shared" si="15"/>
        <v>141.07703934374996</v>
      </c>
      <c r="AG14" s="8">
        <f t="shared" si="15"/>
        <v>155.76781303124997</v>
      </c>
      <c r="AH14" s="8">
        <f t="shared" si="15"/>
        <v>167.98937234062487</v>
      </c>
      <c r="AI14" s="8">
        <f t="shared" si="15"/>
        <v>161.13100145624995</v>
      </c>
      <c r="AJ14" s="8">
        <f t="shared" si="15"/>
        <v>188.80450873593745</v>
      </c>
      <c r="AK14" s="8">
        <f t="shared" si="15"/>
        <v>208.42960428281245</v>
      </c>
      <c r="AL14" s="8">
        <f t="shared" si="15"/>
        <v>225.27338666765607</v>
      </c>
      <c r="AM14" s="8">
        <f t="shared" si="15"/>
        <v>217.08880016906241</v>
      </c>
      <c r="AN14" s="8">
        <f t="shared" si="15"/>
        <v>253.15411769648429</v>
      </c>
      <c r="AO14" s="8">
        <f t="shared" si="15"/>
        <v>279.430175306953</v>
      </c>
      <c r="AP14" s="8">
        <f t="shared" si="15"/>
        <v>302.5311927095388</v>
      </c>
      <c r="AR14" s="8">
        <f t="shared" si="15"/>
        <v>26.914000000000001</v>
      </c>
      <c r="AS14" s="8">
        <f t="shared" si="15"/>
        <v>26.974</v>
      </c>
      <c r="AT14" s="8">
        <f t="shared" si="15"/>
        <v>60.921999999999997</v>
      </c>
      <c r="AU14" s="8">
        <f t="shared" si="15"/>
        <v>130.49699999999999</v>
      </c>
      <c r="AV14" s="8">
        <f t="shared" si="15"/>
        <v>215.13834999999997</v>
      </c>
      <c r="AW14" s="8">
        <f t="shared" si="15"/>
        <v>317.6553112499999</v>
      </c>
      <c r="AX14" s="8">
        <f t="shared" si="15"/>
        <v>437.97972637499987</v>
      </c>
      <c r="AY14" s="8">
        <f t="shared" si="15"/>
        <v>585.19487365312477</v>
      </c>
      <c r="AZ14" s="8">
        <f t="shared" si="15"/>
        <v>783.63850114265585</v>
      </c>
      <c r="BA14" s="8">
        <f t="shared" si="15"/>
        <v>1052.2042858820384</v>
      </c>
      <c r="BC14" s="8">
        <v>43.510200000000005</v>
      </c>
      <c r="BD14" s="8">
        <f t="shared" si="9"/>
        <v>0.55179999999999296</v>
      </c>
      <c r="BE14" s="41">
        <f t="shared" si="10"/>
        <v>1.268208374128349E-2</v>
      </c>
    </row>
    <row r="15" spans="2:57" x14ac:dyDescent="0.25">
      <c r="B15" s="20" t="s">
        <v>4</v>
      </c>
      <c r="C15" s="6"/>
      <c r="D15" s="6"/>
      <c r="E15" s="6"/>
      <c r="F15" s="6"/>
      <c r="G15" s="6">
        <f t="shared" ref="G15:N15" si="16">G14/C14-1</f>
        <v>0.46405228758169947</v>
      </c>
      <c r="H15" s="6">
        <f t="shared" si="16"/>
        <v>3.0275088366374714E-2</v>
      </c>
      <c r="I15" s="6">
        <f t="shared" si="16"/>
        <v>-0.16500070392791777</v>
      </c>
      <c r="J15" s="6">
        <f t="shared" si="16"/>
        <v>-0.20829517205285875</v>
      </c>
      <c r="K15" s="6">
        <f t="shared" si="16"/>
        <v>-0.13223938223938225</v>
      </c>
      <c r="L15" s="6">
        <f t="shared" si="16"/>
        <v>1.0147673031026252</v>
      </c>
      <c r="M15" s="6">
        <f t="shared" si="16"/>
        <v>2.0551340414769856</v>
      </c>
      <c r="N15" s="6">
        <f t="shared" si="16"/>
        <v>2.6527846636919521</v>
      </c>
      <c r="O15" s="6">
        <f t="shared" ref="O15:W15" si="17">O14/K14-1</f>
        <v>2.6212458286985538</v>
      </c>
      <c r="P15" s="6">
        <f t="shared" si="17"/>
        <v>1.2240319834160069</v>
      </c>
      <c r="Q15" s="6">
        <f t="shared" si="17"/>
        <v>0.93609271523178794</v>
      </c>
      <c r="R15" s="6">
        <f>R14/N14-1</f>
        <v>0.77944170474596142</v>
      </c>
      <c r="S15" s="6">
        <f>S14/O14-1</f>
        <v>0.69182921210259551</v>
      </c>
      <c r="T15" s="6">
        <f>T14/P14-1</f>
        <v>0.67821571238348866</v>
      </c>
      <c r="U15" s="6">
        <f>U14/Q14-1</f>
        <v>0.63656861068354154</v>
      </c>
      <c r="V15" s="6">
        <f>V14/R14-1</f>
        <v>0.60811192189367147</v>
      </c>
      <c r="W15" s="6">
        <f t="shared" si="17"/>
        <v>0.50731809722663512</v>
      </c>
      <c r="X15" s="6">
        <f t="shared" ref="X15:AP15" si="18">X14/T14-1</f>
        <v>0.51515687235190488</v>
      </c>
      <c r="Y15" s="6">
        <f t="shared" si="18"/>
        <v>0.46960959938412294</v>
      </c>
      <c r="Z15" s="6">
        <f t="shared" si="18"/>
        <v>0.43052912987075587</v>
      </c>
      <c r="AA15" s="6">
        <f t="shared" si="18"/>
        <v>0.36245508386979219</v>
      </c>
      <c r="AB15" s="6">
        <f t="shared" si="18"/>
        <v>0.38173816649022907</v>
      </c>
      <c r="AC15" s="6">
        <f t="shared" si="18"/>
        <v>0.3813886895092744</v>
      </c>
      <c r="AD15" s="6">
        <f t="shared" si="18"/>
        <v>0.38586554490405489</v>
      </c>
      <c r="AE15" s="6">
        <f t="shared" si="18"/>
        <v>0.33012730034819238</v>
      </c>
      <c r="AF15" s="6">
        <f t="shared" si="18"/>
        <v>0.33667329606848773</v>
      </c>
      <c r="AG15" s="6">
        <f t="shared" si="18"/>
        <v>0.33641482669770384</v>
      </c>
      <c r="AH15" s="6">
        <f t="shared" si="18"/>
        <v>0.33971599930877039</v>
      </c>
      <c r="AI15" s="6">
        <f t="shared" si="18"/>
        <v>0.3387349011380032</v>
      </c>
      <c r="AJ15" s="6">
        <f t="shared" si="18"/>
        <v>0.33830784665032687</v>
      </c>
      <c r="AK15" s="6">
        <f t="shared" si="18"/>
        <v>0.33807877395696329</v>
      </c>
      <c r="AL15" s="6">
        <f t="shared" si="18"/>
        <v>0.34099784723809101</v>
      </c>
      <c r="AM15" s="6">
        <f t="shared" si="18"/>
        <v>0.34728139344436482</v>
      </c>
      <c r="AN15" s="6">
        <f t="shared" si="18"/>
        <v>0.340826653936249</v>
      </c>
      <c r="AO15" s="6">
        <f t="shared" si="18"/>
        <v>0.34064532851965601</v>
      </c>
      <c r="AP15" s="6">
        <f t="shared" si="18"/>
        <v>0.34295132321094157</v>
      </c>
      <c r="AS15" s="6">
        <f t="shared" ref="AS15:BA15" si="19">AS14/AR14-1</f>
        <v>2.2293230289067711E-3</v>
      </c>
      <c r="AT15" s="6">
        <f t="shared" si="19"/>
        <v>1.2585452658115219</v>
      </c>
      <c r="AU15" s="6">
        <f t="shared" si="19"/>
        <v>1.1420340763599355</v>
      </c>
      <c r="AV15" s="6">
        <f t="shared" si="19"/>
        <v>0.64860763082676232</v>
      </c>
      <c r="AW15" s="6">
        <f t="shared" si="19"/>
        <v>0.47651644279134775</v>
      </c>
      <c r="AX15" s="6">
        <f t="shared" si="19"/>
        <v>0.37878924376083445</v>
      </c>
      <c r="AY15" s="6">
        <f t="shared" si="19"/>
        <v>0.3361232002599106</v>
      </c>
      <c r="AZ15" s="6">
        <f t="shared" si="19"/>
        <v>0.33910691365208168</v>
      </c>
      <c r="BA15" s="6">
        <f t="shared" si="19"/>
        <v>0.34271642389670198</v>
      </c>
      <c r="BC15" s="6">
        <v>0.67064199047765327</v>
      </c>
      <c r="BD15" s="6">
        <f t="shared" si="9"/>
        <v>2.1187221624942243E-2</v>
      </c>
      <c r="BE15" s="41">
        <f t="shared" si="10"/>
        <v>3.1592447126449701E-2</v>
      </c>
    </row>
    <row r="16" spans="2:57" outlineLevel="1" x14ac:dyDescent="0.25"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BC16" s="18"/>
      <c r="BD16" s="18"/>
    </row>
    <row r="17" spans="2:16380" outlineLevel="1" x14ac:dyDescent="0.25">
      <c r="B17" s="8" t="s">
        <v>96</v>
      </c>
    </row>
    <row r="18" spans="2:16380" outlineLevel="1" x14ac:dyDescent="0.25">
      <c r="B18" s="10" t="s">
        <v>71</v>
      </c>
      <c r="C18" s="17">
        <v>1.784</v>
      </c>
      <c r="D18" s="17">
        <v>0.996</v>
      </c>
      <c r="E18" s="17">
        <v>1.1259999999999999</v>
      </c>
      <c r="F18" s="17">
        <f>4.439-SUM(C18:E18)</f>
        <v>0.53299999999999992</v>
      </c>
      <c r="G18" s="17">
        <v>1.9319999999999999</v>
      </c>
      <c r="H18" s="17">
        <v>1.988</v>
      </c>
      <c r="I18" s="17">
        <v>2.1480000000000001</v>
      </c>
      <c r="J18" s="17">
        <f>8.292-SUM(G18:I18)</f>
        <v>2.2240000000000002</v>
      </c>
      <c r="K18" s="17">
        <v>2.3849999999999998</v>
      </c>
      <c r="L18" s="17">
        <v>6.0430000000000001</v>
      </c>
      <c r="M18" s="17">
        <v>6.3019999999999996</v>
      </c>
      <c r="N18" s="17">
        <f>26.966-SUM(K18:M18)</f>
        <v>12.236000000000001</v>
      </c>
      <c r="O18" s="17">
        <v>13.496</v>
      </c>
      <c r="P18" s="17">
        <v>13.022</v>
      </c>
      <c r="Q18" s="17">
        <v>14.8</v>
      </c>
      <c r="R18" s="17">
        <f>61.257-SUM(O18:Q18)</f>
        <v>19.939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</row>
    <row r="19" spans="2:16380" outlineLevel="1" x14ac:dyDescent="0.25">
      <c r="B19" s="10" t="s">
        <v>72</v>
      </c>
      <c r="C19" s="17">
        <v>0.76800000000000002</v>
      </c>
      <c r="D19" s="17">
        <v>1.9610000000000001</v>
      </c>
      <c r="E19" s="17">
        <v>2.1869999999999998</v>
      </c>
      <c r="F19" s="17">
        <f>8.544-SUM(C19:E19)</f>
        <v>3.6280000000000001</v>
      </c>
      <c r="G19" s="17">
        <v>2.7770000000000001</v>
      </c>
      <c r="H19" s="17">
        <v>1.204</v>
      </c>
      <c r="I19" s="17">
        <v>1.153</v>
      </c>
      <c r="J19" s="17">
        <f>6.986-SUM(G19:I19)</f>
        <v>1.8519999999999994</v>
      </c>
      <c r="K19" s="17">
        <v>1.796</v>
      </c>
      <c r="L19" s="17">
        <v>2.839</v>
      </c>
      <c r="M19" s="17">
        <v>2.702</v>
      </c>
      <c r="N19" s="17">
        <f>13.405-SUM(K19:M19)</f>
        <v>6.0679999999999996</v>
      </c>
      <c r="O19" s="17">
        <v>4.3730000000000002</v>
      </c>
      <c r="P19" s="17">
        <v>5.74</v>
      </c>
      <c r="Q19" s="17">
        <v>7.6970000000000001</v>
      </c>
      <c r="R19" s="17">
        <f>20.573-SUM(O19:Q19)</f>
        <v>2.7630000000000017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</row>
    <row r="20" spans="2:16380" outlineLevel="1" x14ac:dyDescent="0.25">
      <c r="B20" s="10" t="s">
        <v>74</v>
      </c>
      <c r="C20" s="17">
        <v>1.391</v>
      </c>
      <c r="D20" s="17">
        <v>1.72</v>
      </c>
      <c r="E20" s="17">
        <v>2.0169999999999999</v>
      </c>
      <c r="F20" s="17">
        <f>7.111-SUM(C20:E20)</f>
        <v>1.9829999999999997</v>
      </c>
      <c r="G20" s="17">
        <v>2.081</v>
      </c>
      <c r="H20" s="17">
        <v>1.6020000000000001</v>
      </c>
      <c r="I20" s="17">
        <v>1.1479999999999999</v>
      </c>
      <c r="J20" s="17">
        <f>10.306-SUM(G20:I20)</f>
        <v>5.4749999999999996</v>
      </c>
      <c r="K20" s="17">
        <v>1.59</v>
      </c>
      <c r="L20" s="17">
        <v>2.74</v>
      </c>
      <c r="M20" s="17">
        <v>4.3330000000000002</v>
      </c>
      <c r="N20" s="17">
        <f>10.306-SUM(K20:M20)</f>
        <v>1.6429999999999989</v>
      </c>
      <c r="O20" s="17">
        <v>2.4910000000000001</v>
      </c>
      <c r="P20" s="17">
        <v>3.6669999999999998</v>
      </c>
      <c r="Q20" s="17">
        <v>5.1529999999999996</v>
      </c>
      <c r="R20" s="17">
        <f>17.108-SUM(O20:Q20)</f>
        <v>5.7970000000000006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</row>
    <row r="21" spans="2:16380" outlineLevel="1" x14ac:dyDescent="0.25">
      <c r="B21" s="10" t="s">
        <v>73</v>
      </c>
      <c r="C21" s="17"/>
      <c r="D21" s="17"/>
      <c r="E21" s="17"/>
      <c r="F21" s="17"/>
      <c r="G21" s="17">
        <v>0.45400000000000001</v>
      </c>
      <c r="H21" s="17"/>
      <c r="I21" s="17">
        <v>0.53600000000000003</v>
      </c>
      <c r="J21" s="17"/>
      <c r="K21" s="17">
        <v>0.76200000000000001</v>
      </c>
      <c r="L21" s="17">
        <v>1.042</v>
      </c>
      <c r="M21" s="17">
        <v>4.03</v>
      </c>
      <c r="N21" s="17">
        <f>6.831-SUM(K21:M21)</f>
        <v>0.99699999999999989</v>
      </c>
      <c r="O21" s="17">
        <v>4.0369999999999999</v>
      </c>
      <c r="P21" s="17">
        <v>5.6219999999999999</v>
      </c>
      <c r="Q21" s="17">
        <v>5.4160000000000004</v>
      </c>
      <c r="R21" s="17">
        <f>23.684-SUM(O21:Q21)</f>
        <v>8.6090000000000018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</row>
    <row r="22" spans="2:16380" outlineLevel="1" x14ac:dyDescent="0.25">
      <c r="B22" s="10" t="s">
        <v>75</v>
      </c>
      <c r="C22" s="17">
        <v>1.718</v>
      </c>
      <c r="D22" s="17">
        <v>1.83</v>
      </c>
      <c r="E22" s="17">
        <v>1.7729999999999999</v>
      </c>
      <c r="F22" s="17">
        <f>6.91-SUM(C22:E22)</f>
        <v>1.5890000000000004</v>
      </c>
      <c r="G22" s="17">
        <v>1.044</v>
      </c>
      <c r="H22" s="17">
        <v>1.91</v>
      </c>
      <c r="I22" s="17">
        <v>0.94599999999999995</v>
      </c>
      <c r="J22" s="17">
        <f>10.245-SUM(G22:I22)</f>
        <v>6.3449999999999998</v>
      </c>
      <c r="K22" s="17">
        <v>0.65900000000000003</v>
      </c>
      <c r="L22" s="17">
        <v>0.84299999999999997</v>
      </c>
      <c r="M22" s="17">
        <v>0.753</v>
      </c>
      <c r="N22" s="17">
        <f>3.414-SUM(K22:M22)</f>
        <v>1.1590000000000003</v>
      </c>
      <c r="O22" s="17">
        <v>1.647</v>
      </c>
      <c r="P22" s="17">
        <v>1.9890000000000001</v>
      </c>
      <c r="Q22" s="17">
        <v>2.016</v>
      </c>
      <c r="R22" s="17">
        <f>7.875-SUM(O22:Q22)</f>
        <v>2.2229999999999999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  <c r="XES22" s="15"/>
      <c r="XET22" s="15"/>
      <c r="XEU22" s="15"/>
      <c r="XEV22" s="15"/>
      <c r="XEW22" s="15"/>
      <c r="XEX22" s="15"/>
      <c r="XEY22" s="15"/>
      <c r="XEZ22" s="15"/>
    </row>
    <row r="23" spans="2:16380" outlineLevel="1" x14ac:dyDescent="0.25">
      <c r="B23" s="8" t="s">
        <v>76</v>
      </c>
      <c r="C23" s="21">
        <f t="shared" ref="C23:AP23" si="20">SUM(C18:C22)</f>
        <v>5.6609999999999996</v>
      </c>
      <c r="D23" s="21">
        <f t="shared" si="20"/>
        <v>6.5069999999999997</v>
      </c>
      <c r="E23" s="21">
        <f t="shared" si="20"/>
        <v>7.1029999999999998</v>
      </c>
      <c r="F23" s="21">
        <f t="shared" si="20"/>
        <v>7.7329999999999997</v>
      </c>
      <c r="G23" s="21">
        <f t="shared" si="20"/>
        <v>8.2879999999999985</v>
      </c>
      <c r="H23" s="21">
        <f t="shared" si="20"/>
        <v>6.7040000000000006</v>
      </c>
      <c r="I23" s="21">
        <f t="shared" si="20"/>
        <v>5.9309999999999992</v>
      </c>
      <c r="J23" s="21">
        <f t="shared" si="20"/>
        <v>15.895999999999997</v>
      </c>
      <c r="K23" s="21">
        <f t="shared" si="20"/>
        <v>7.1919999999999993</v>
      </c>
      <c r="L23" s="21">
        <f t="shared" si="20"/>
        <v>13.507</v>
      </c>
      <c r="M23" s="21">
        <f t="shared" si="20"/>
        <v>18.12</v>
      </c>
      <c r="N23" s="21">
        <f t="shared" si="20"/>
        <v>22.103000000000002</v>
      </c>
      <c r="O23" s="21">
        <f t="shared" si="20"/>
        <v>26.043999999999997</v>
      </c>
      <c r="P23" s="21">
        <f t="shared" si="20"/>
        <v>30.040000000000003</v>
      </c>
      <c r="Q23" s="21">
        <f t="shared" si="20"/>
        <v>35.082000000000001</v>
      </c>
      <c r="R23" s="21">
        <f t="shared" si="20"/>
        <v>39.331000000000003</v>
      </c>
      <c r="S23" s="21">
        <f t="shared" si="20"/>
        <v>0</v>
      </c>
      <c r="T23" s="21">
        <f t="shared" si="20"/>
        <v>0</v>
      </c>
      <c r="U23" s="21">
        <f t="shared" si="20"/>
        <v>0</v>
      </c>
      <c r="V23" s="21">
        <f t="shared" si="20"/>
        <v>0</v>
      </c>
      <c r="W23" s="21">
        <f t="shared" si="20"/>
        <v>0</v>
      </c>
      <c r="X23" s="21">
        <f t="shared" si="20"/>
        <v>0</v>
      </c>
      <c r="Y23" s="21">
        <f t="shared" si="20"/>
        <v>0</v>
      </c>
      <c r="Z23" s="21">
        <f t="shared" si="20"/>
        <v>0</v>
      </c>
      <c r="AA23" s="21">
        <f t="shared" si="20"/>
        <v>0</v>
      </c>
      <c r="AB23" s="21">
        <f t="shared" si="20"/>
        <v>0</v>
      </c>
      <c r="AC23" s="21">
        <f t="shared" si="20"/>
        <v>0</v>
      </c>
      <c r="AD23" s="21">
        <f t="shared" si="20"/>
        <v>0</v>
      </c>
      <c r="AE23" s="21">
        <f t="shared" si="20"/>
        <v>0</v>
      </c>
      <c r="AF23" s="21">
        <f t="shared" si="20"/>
        <v>0</v>
      </c>
      <c r="AG23" s="21">
        <f t="shared" si="20"/>
        <v>0</v>
      </c>
      <c r="AH23" s="21">
        <f t="shared" si="20"/>
        <v>0</v>
      </c>
      <c r="AI23" s="21">
        <f t="shared" si="20"/>
        <v>0</v>
      </c>
      <c r="AJ23" s="21">
        <f t="shared" si="20"/>
        <v>0</v>
      </c>
      <c r="AK23" s="21">
        <f t="shared" si="20"/>
        <v>0</v>
      </c>
      <c r="AL23" s="21">
        <f t="shared" si="20"/>
        <v>0</v>
      </c>
      <c r="AM23" s="21">
        <f t="shared" si="20"/>
        <v>0</v>
      </c>
      <c r="AN23" s="21">
        <f t="shared" si="20"/>
        <v>0</v>
      </c>
      <c r="AO23" s="21">
        <f t="shared" si="20"/>
        <v>0</v>
      </c>
      <c r="AP23" s="21">
        <f t="shared" si="20"/>
        <v>0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21">
        <v>0</v>
      </c>
      <c r="BD23" s="21">
        <f>S23-BC23</f>
        <v>0</v>
      </c>
      <c r="BE23" s="41" t="e">
        <f>BD23/BC23</f>
        <v>#DIV/0!</v>
      </c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  <c r="XES23" s="15"/>
      <c r="XET23" s="15"/>
      <c r="XEU23" s="15"/>
      <c r="XEV23" s="15"/>
      <c r="XEW23" s="15"/>
      <c r="XEX23" s="15"/>
      <c r="XEY23" s="15"/>
      <c r="XEZ23" s="15"/>
    </row>
    <row r="24" spans="2:16380" outlineLevel="1" x14ac:dyDescent="0.25"/>
    <row r="25" spans="2:16380" outlineLevel="1" x14ac:dyDescent="0.25">
      <c r="B25" s="8" t="s">
        <v>81</v>
      </c>
    </row>
    <row r="26" spans="2:16380" outlineLevel="1" x14ac:dyDescent="0.25">
      <c r="B26" s="10" t="s">
        <v>82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</row>
    <row r="27" spans="2:16380" outlineLevel="1" x14ac:dyDescent="0.25">
      <c r="B27" s="22" t="s">
        <v>83</v>
      </c>
      <c r="C27" s="17"/>
      <c r="D27" s="17"/>
      <c r="E27" s="17"/>
      <c r="F27" s="17"/>
      <c r="G27" s="17"/>
      <c r="H27" s="17"/>
      <c r="I27" s="17"/>
      <c r="J27" s="17"/>
      <c r="K27" s="17">
        <v>3.3570000000000002</v>
      </c>
      <c r="L27" s="17">
        <v>8.6120000000000001</v>
      </c>
      <c r="M27" s="17">
        <v>11.907999999999999</v>
      </c>
      <c r="N27" s="17">
        <f>38.95-SUM(K27:M27)</f>
        <v>15.073</v>
      </c>
      <c r="O27" s="17">
        <v>19.391999999999999</v>
      </c>
      <c r="P27" s="17">
        <v>22.603999999999999</v>
      </c>
      <c r="Q27" s="17">
        <v>27.643999999999998</v>
      </c>
      <c r="R27" s="17">
        <f>102.196-SUM(O27:Q27)</f>
        <v>32.556000000000012</v>
      </c>
      <c r="S27" s="17">
        <v>34.155000000000001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</row>
    <row r="28" spans="2:16380" outlineLevel="1" x14ac:dyDescent="0.25">
      <c r="B28" s="22" t="s">
        <v>84</v>
      </c>
      <c r="C28" s="17"/>
      <c r="D28" s="17"/>
      <c r="E28" s="17"/>
      <c r="F28" s="17"/>
      <c r="G28" s="17"/>
      <c r="H28" s="17"/>
      <c r="I28" s="17"/>
      <c r="J28" s="17"/>
      <c r="K28" s="17">
        <v>0.92700000000000005</v>
      </c>
      <c r="L28" s="17">
        <v>1.7110000000000001</v>
      </c>
      <c r="M28" s="17">
        <v>2.6059999999999999</v>
      </c>
      <c r="N28" s="17">
        <f>8.575-SUM(K28:M28)</f>
        <v>3.3309999999999995</v>
      </c>
      <c r="O28" s="17">
        <v>3.1709999999999998</v>
      </c>
      <c r="P28" s="17">
        <v>3.6680000000000001</v>
      </c>
      <c r="Q28" s="17">
        <v>3.1269999999999998</v>
      </c>
      <c r="R28" s="17">
        <f>12.99-SUM(O28:Q28)</f>
        <v>3.0239999999999991</v>
      </c>
      <c r="S28" s="17">
        <v>4.9569999999999999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</row>
    <row r="29" spans="2:16380" outlineLevel="1" x14ac:dyDescent="0.25">
      <c r="B29" s="23" t="s">
        <v>89</v>
      </c>
      <c r="C29" s="17">
        <v>2.76</v>
      </c>
      <c r="D29" s="17">
        <v>3.0609999999999999</v>
      </c>
      <c r="E29" s="17">
        <v>2.9359999999999999</v>
      </c>
      <c r="F29" s="17">
        <f>10.613-SUM(C29:E29)</f>
        <v>1.8559999999999999</v>
      </c>
      <c r="G29" s="17">
        <v>3.75</v>
      </c>
      <c r="H29" s="17">
        <v>3.806</v>
      </c>
      <c r="I29" s="17">
        <v>3.8330000000000002</v>
      </c>
      <c r="J29" s="17">
        <f>15.005-SUM(G29:I29)</f>
        <v>3.6160000000000014</v>
      </c>
      <c r="K29" s="15">
        <f t="shared" ref="K29:S29" si="21">SUM(K27:K28)</f>
        <v>4.2840000000000007</v>
      </c>
      <c r="L29" s="15">
        <f t="shared" si="21"/>
        <v>10.323</v>
      </c>
      <c r="M29" s="15">
        <f t="shared" si="21"/>
        <v>14.513999999999999</v>
      </c>
      <c r="N29" s="15">
        <f t="shared" si="21"/>
        <v>18.404</v>
      </c>
      <c r="O29" s="15">
        <f t="shared" si="21"/>
        <v>22.562999999999999</v>
      </c>
      <c r="P29" s="15">
        <f t="shared" si="21"/>
        <v>26.271999999999998</v>
      </c>
      <c r="Q29" s="15">
        <f t="shared" si="21"/>
        <v>30.770999999999997</v>
      </c>
      <c r="R29" s="15">
        <f t="shared" si="21"/>
        <v>35.580000000000013</v>
      </c>
      <c r="S29" s="15">
        <f t="shared" si="21"/>
        <v>39.112000000000002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</row>
    <row r="30" spans="2:16380" outlineLevel="1" x14ac:dyDescent="0.25">
      <c r="B30" s="10" t="s">
        <v>85</v>
      </c>
      <c r="C30" s="17">
        <v>2.048</v>
      </c>
      <c r="D30" s="17">
        <v>2.3660000000000001</v>
      </c>
      <c r="E30" s="17">
        <v>3.2210000000000001</v>
      </c>
      <c r="F30" s="17">
        <f>12.462-SUM(C30:E30)</f>
        <v>4.827</v>
      </c>
      <c r="G30" s="17">
        <v>3.62</v>
      </c>
      <c r="H30" s="17">
        <v>2.0419999999999998</v>
      </c>
      <c r="I30" s="17">
        <v>1.5740000000000001</v>
      </c>
      <c r="J30" s="17">
        <f>9.067-SUM(G30:I30)</f>
        <v>1.8310000000000004</v>
      </c>
      <c r="K30" s="17">
        <v>2.2400000000000002</v>
      </c>
      <c r="L30" s="17">
        <v>2.4860000000000002</v>
      </c>
      <c r="M30" s="17">
        <v>2.8559999999999999</v>
      </c>
      <c r="N30" s="17">
        <f>10.447-SUM(K30:M30)</f>
        <v>2.8649999999999984</v>
      </c>
      <c r="O30" s="17">
        <v>2.6469999999999998</v>
      </c>
      <c r="P30" s="17">
        <v>2.88</v>
      </c>
      <c r="Q30" s="17">
        <v>3.2789999999999999</v>
      </c>
      <c r="R30" s="17">
        <f>11.35-SUM(O30:Q30)</f>
        <v>2.5440000000000005</v>
      </c>
      <c r="S30" s="17">
        <v>3.7629999999999999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</row>
    <row r="31" spans="2:16380" outlineLevel="1" x14ac:dyDescent="0.25">
      <c r="B31" s="10" t="s">
        <v>86</v>
      </c>
      <c r="C31" s="17">
        <v>0.372</v>
      </c>
      <c r="D31" s="17">
        <v>0.51900000000000002</v>
      </c>
      <c r="E31" s="17">
        <v>0.57699999999999996</v>
      </c>
      <c r="F31" s="17">
        <f>2.111-SUM(C31:E31)</f>
        <v>0.64300000000000024</v>
      </c>
      <c r="G31" s="17">
        <v>0.622</v>
      </c>
      <c r="H31" s="17">
        <v>0.496</v>
      </c>
      <c r="I31" s="17">
        <v>0.2</v>
      </c>
      <c r="J31" s="17">
        <f>1.544-SUM(G31:I31)</f>
        <v>0.2260000000000002</v>
      </c>
      <c r="K31" s="17">
        <v>0.29499999999999998</v>
      </c>
      <c r="L31" s="17">
        <v>0.379</v>
      </c>
      <c r="M31" s="17">
        <v>0.41599999999999998</v>
      </c>
      <c r="N31" s="17">
        <f>1.553-SUM(K31:M31)</f>
        <v>0.46300000000000008</v>
      </c>
      <c r="O31" s="17">
        <v>0.42699999999999999</v>
      </c>
      <c r="P31" s="17">
        <v>0.45400000000000001</v>
      </c>
      <c r="Q31" s="17">
        <v>0.48599999999999999</v>
      </c>
      <c r="R31" s="17">
        <f>1.878-SUM(O31:Q31)</f>
        <v>0.5109999999999999</v>
      </c>
      <c r="S31" s="17">
        <v>0.50900000000000001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  <c r="DNM31" s="15"/>
      <c r="DNN31" s="15"/>
      <c r="DNO31" s="15"/>
      <c r="DNP31" s="15"/>
      <c r="DNQ31" s="15"/>
      <c r="DNR31" s="15"/>
      <c r="DNS31" s="15"/>
      <c r="DNT31" s="15"/>
      <c r="DNU31" s="15"/>
      <c r="DNV31" s="15"/>
      <c r="DNW31" s="15"/>
      <c r="DNX31" s="15"/>
      <c r="DNY31" s="15"/>
      <c r="DNZ31" s="15"/>
      <c r="DOA31" s="15"/>
      <c r="DOB31" s="15"/>
      <c r="DOC31" s="15"/>
      <c r="DOD31" s="15"/>
      <c r="DOE31" s="15"/>
      <c r="DOF31" s="15"/>
      <c r="DOG31" s="15"/>
      <c r="DOH31" s="15"/>
      <c r="DOI31" s="15"/>
      <c r="DOJ31" s="15"/>
      <c r="DOK31" s="15"/>
      <c r="DOL31" s="15"/>
      <c r="DOM31" s="15"/>
      <c r="DON31" s="15"/>
      <c r="DOO31" s="15"/>
      <c r="DOP31" s="15"/>
      <c r="DOQ31" s="15"/>
      <c r="DOR31" s="15"/>
      <c r="DOS31" s="15"/>
      <c r="DOT31" s="15"/>
      <c r="DOU31" s="15"/>
      <c r="DOV31" s="15"/>
      <c r="DOW31" s="15"/>
      <c r="DOX31" s="15"/>
      <c r="DOY31" s="15"/>
      <c r="DOZ31" s="15"/>
      <c r="DPA31" s="15"/>
      <c r="DPB31" s="15"/>
      <c r="DPC31" s="15"/>
      <c r="DPD31" s="15"/>
      <c r="DPE31" s="15"/>
      <c r="DPF31" s="15"/>
      <c r="DPG31" s="15"/>
      <c r="DPH31" s="15"/>
      <c r="DPI31" s="15"/>
      <c r="DPJ31" s="15"/>
      <c r="DPK31" s="15"/>
      <c r="DPL31" s="15"/>
      <c r="DPM31" s="15"/>
      <c r="DPN31" s="15"/>
      <c r="DPO31" s="15"/>
      <c r="DPP31" s="15"/>
      <c r="DPQ31" s="15"/>
      <c r="DPR31" s="15"/>
      <c r="DPS31" s="15"/>
      <c r="DPT31" s="15"/>
      <c r="DPU31" s="15"/>
      <c r="DPV31" s="15"/>
      <c r="DPW31" s="15"/>
      <c r="DPX31" s="15"/>
      <c r="DPY31" s="15"/>
      <c r="DPZ31" s="15"/>
      <c r="DQA31" s="15"/>
      <c r="DQB31" s="15"/>
      <c r="DQC31" s="15"/>
      <c r="DQD31" s="15"/>
      <c r="DQE31" s="15"/>
      <c r="DQF31" s="15"/>
      <c r="DQG31" s="15"/>
      <c r="DQH31" s="15"/>
      <c r="DQI31" s="15"/>
      <c r="DQJ31" s="15"/>
      <c r="DQK31" s="15"/>
      <c r="DQL31" s="15"/>
      <c r="DQM31" s="15"/>
      <c r="DQN31" s="15"/>
      <c r="DQO31" s="15"/>
      <c r="DQP31" s="15"/>
      <c r="DQQ31" s="15"/>
      <c r="DQR31" s="15"/>
      <c r="DQS31" s="15"/>
      <c r="DQT31" s="15"/>
      <c r="DQU31" s="15"/>
      <c r="DQV31" s="15"/>
      <c r="DQW31" s="15"/>
      <c r="DQX31" s="15"/>
      <c r="DQY31" s="15"/>
      <c r="DQZ31" s="15"/>
      <c r="DRA31" s="15"/>
      <c r="DRB31" s="15"/>
      <c r="DRC31" s="15"/>
      <c r="DRD31" s="15"/>
      <c r="DRE31" s="15"/>
      <c r="DRF31" s="15"/>
      <c r="DRG31" s="15"/>
      <c r="DRH31" s="15"/>
      <c r="DRI31" s="15"/>
      <c r="DRJ31" s="15"/>
      <c r="DRK31" s="15"/>
      <c r="DRL31" s="15"/>
      <c r="DRM31" s="15"/>
      <c r="DRN31" s="15"/>
      <c r="DRO31" s="15"/>
      <c r="DRP31" s="15"/>
      <c r="DRQ31" s="15"/>
      <c r="DRR31" s="15"/>
      <c r="DRS31" s="15"/>
      <c r="DRT31" s="15"/>
      <c r="DRU31" s="15"/>
      <c r="DRV31" s="15"/>
      <c r="DRW31" s="15"/>
      <c r="DRX31" s="15"/>
      <c r="DRY31" s="15"/>
      <c r="DRZ31" s="15"/>
      <c r="DSA31" s="15"/>
      <c r="DSB31" s="15"/>
      <c r="DSC31" s="15"/>
      <c r="DSD31" s="15"/>
      <c r="DSE31" s="15"/>
      <c r="DSF31" s="15"/>
      <c r="DSG31" s="15"/>
      <c r="DSH31" s="15"/>
      <c r="DSI31" s="15"/>
      <c r="DSJ31" s="15"/>
      <c r="DSK31" s="15"/>
      <c r="DSL31" s="15"/>
      <c r="DSM31" s="15"/>
      <c r="DSN31" s="15"/>
      <c r="DSO31" s="15"/>
      <c r="DSP31" s="15"/>
      <c r="DSQ31" s="15"/>
      <c r="DSR31" s="15"/>
      <c r="DSS31" s="15"/>
      <c r="DST31" s="15"/>
      <c r="DSU31" s="15"/>
      <c r="DSV31" s="15"/>
      <c r="DSW31" s="15"/>
      <c r="DSX31" s="15"/>
      <c r="DSY31" s="15"/>
      <c r="DSZ31" s="15"/>
      <c r="DTA31" s="15"/>
      <c r="DTB31" s="15"/>
      <c r="DTC31" s="15"/>
      <c r="DTD31" s="15"/>
      <c r="DTE31" s="15"/>
      <c r="DTF31" s="15"/>
      <c r="DTG31" s="15"/>
      <c r="DTH31" s="15"/>
      <c r="DTI31" s="15"/>
      <c r="DTJ31" s="15"/>
      <c r="DTK31" s="15"/>
      <c r="DTL31" s="15"/>
      <c r="DTM31" s="15"/>
      <c r="DTN31" s="15"/>
      <c r="DTO31" s="15"/>
      <c r="DTP31" s="15"/>
      <c r="DTQ31" s="15"/>
      <c r="DTR31" s="15"/>
      <c r="DTS31" s="15"/>
      <c r="DTT31" s="15"/>
      <c r="DTU31" s="15"/>
      <c r="DTV31" s="15"/>
      <c r="DTW31" s="15"/>
      <c r="DTX31" s="15"/>
      <c r="DTY31" s="15"/>
      <c r="DTZ31" s="15"/>
      <c r="DUA31" s="15"/>
      <c r="DUB31" s="15"/>
      <c r="DUC31" s="15"/>
      <c r="DUD31" s="15"/>
      <c r="DUE31" s="15"/>
      <c r="DUF31" s="15"/>
      <c r="DUG31" s="15"/>
      <c r="DUH31" s="15"/>
      <c r="DUI31" s="15"/>
      <c r="DUJ31" s="15"/>
      <c r="DUK31" s="15"/>
      <c r="DUL31" s="15"/>
      <c r="DUM31" s="15"/>
      <c r="DUN31" s="15"/>
      <c r="DUO31" s="15"/>
      <c r="DUP31" s="15"/>
      <c r="DUQ31" s="15"/>
      <c r="DUR31" s="15"/>
      <c r="DUS31" s="15"/>
      <c r="DUT31" s="15"/>
      <c r="DUU31" s="15"/>
      <c r="DUV31" s="15"/>
      <c r="DUW31" s="15"/>
      <c r="DUX31" s="15"/>
      <c r="DUY31" s="15"/>
      <c r="DUZ31" s="15"/>
      <c r="DVA31" s="15"/>
      <c r="DVB31" s="15"/>
      <c r="DVC31" s="15"/>
      <c r="DVD31" s="15"/>
      <c r="DVE31" s="15"/>
      <c r="DVF31" s="15"/>
      <c r="DVG31" s="15"/>
      <c r="DVH31" s="15"/>
      <c r="DVI31" s="15"/>
      <c r="DVJ31" s="15"/>
      <c r="DVK31" s="15"/>
      <c r="DVL31" s="15"/>
      <c r="DVM31" s="15"/>
      <c r="DVN31" s="15"/>
      <c r="DVO31" s="15"/>
      <c r="DVP31" s="15"/>
      <c r="DVQ31" s="15"/>
      <c r="DVR31" s="15"/>
      <c r="DVS31" s="15"/>
      <c r="DVT31" s="15"/>
      <c r="DVU31" s="15"/>
      <c r="DVV31" s="15"/>
      <c r="DVW31" s="15"/>
      <c r="DVX31" s="15"/>
      <c r="DVY31" s="15"/>
      <c r="DVZ31" s="15"/>
      <c r="DWA31" s="15"/>
      <c r="DWB31" s="15"/>
      <c r="DWC31" s="15"/>
      <c r="DWD31" s="15"/>
      <c r="DWE31" s="15"/>
      <c r="DWF31" s="15"/>
      <c r="DWG31" s="15"/>
      <c r="DWH31" s="15"/>
      <c r="DWI31" s="15"/>
      <c r="DWJ31" s="15"/>
      <c r="DWK31" s="15"/>
      <c r="DWL31" s="15"/>
      <c r="DWM31" s="15"/>
      <c r="DWN31" s="15"/>
      <c r="DWO31" s="15"/>
      <c r="DWP31" s="15"/>
      <c r="DWQ31" s="15"/>
      <c r="DWR31" s="15"/>
      <c r="DWS31" s="15"/>
      <c r="DWT31" s="15"/>
      <c r="DWU31" s="15"/>
      <c r="DWV31" s="15"/>
      <c r="DWW31" s="15"/>
      <c r="DWX31" s="15"/>
      <c r="DWY31" s="15"/>
      <c r="DWZ31" s="15"/>
      <c r="DXA31" s="15"/>
      <c r="DXB31" s="15"/>
      <c r="DXC31" s="15"/>
      <c r="DXD31" s="15"/>
      <c r="DXE31" s="15"/>
      <c r="DXF31" s="15"/>
      <c r="DXG31" s="15"/>
      <c r="DXH31" s="15"/>
      <c r="DXI31" s="15"/>
      <c r="DXJ31" s="15"/>
      <c r="DXK31" s="15"/>
      <c r="DXL31" s="15"/>
      <c r="DXM31" s="15"/>
      <c r="DXN31" s="15"/>
      <c r="DXO31" s="15"/>
      <c r="DXP31" s="15"/>
      <c r="DXQ31" s="15"/>
      <c r="DXR31" s="15"/>
      <c r="DXS31" s="15"/>
      <c r="DXT31" s="15"/>
      <c r="DXU31" s="15"/>
      <c r="DXV31" s="15"/>
      <c r="DXW31" s="15"/>
      <c r="DXX31" s="15"/>
      <c r="DXY31" s="15"/>
      <c r="DXZ31" s="15"/>
      <c r="DYA31" s="15"/>
      <c r="DYB31" s="15"/>
      <c r="DYC31" s="15"/>
      <c r="DYD31" s="15"/>
      <c r="DYE31" s="15"/>
      <c r="DYF31" s="15"/>
      <c r="DYG31" s="15"/>
      <c r="DYH31" s="15"/>
      <c r="DYI31" s="15"/>
      <c r="DYJ31" s="15"/>
      <c r="DYK31" s="15"/>
      <c r="DYL31" s="15"/>
      <c r="DYM31" s="15"/>
      <c r="DYN31" s="15"/>
      <c r="DYO31" s="15"/>
      <c r="DYP31" s="15"/>
      <c r="DYQ31" s="15"/>
      <c r="DYR31" s="15"/>
      <c r="DYS31" s="15"/>
      <c r="DYT31" s="15"/>
      <c r="DYU31" s="15"/>
      <c r="DYV31" s="15"/>
      <c r="DYW31" s="15"/>
      <c r="DYX31" s="15"/>
      <c r="DYY31" s="15"/>
      <c r="DYZ31" s="15"/>
      <c r="DZA31" s="15"/>
      <c r="DZB31" s="15"/>
      <c r="DZC31" s="15"/>
      <c r="DZD31" s="15"/>
      <c r="DZE31" s="15"/>
      <c r="DZF31" s="15"/>
      <c r="DZG31" s="15"/>
      <c r="DZH31" s="15"/>
      <c r="DZI31" s="15"/>
      <c r="DZJ31" s="15"/>
      <c r="DZK31" s="15"/>
      <c r="DZL31" s="15"/>
      <c r="DZM31" s="15"/>
      <c r="DZN31" s="15"/>
      <c r="DZO31" s="15"/>
      <c r="DZP31" s="15"/>
      <c r="DZQ31" s="15"/>
      <c r="DZR31" s="15"/>
      <c r="DZS31" s="15"/>
      <c r="DZT31" s="15"/>
      <c r="DZU31" s="15"/>
      <c r="DZV31" s="15"/>
      <c r="DZW31" s="15"/>
      <c r="DZX31" s="15"/>
      <c r="DZY31" s="15"/>
      <c r="DZZ31" s="15"/>
      <c r="EAA31" s="15"/>
      <c r="EAB31" s="15"/>
      <c r="EAC31" s="15"/>
      <c r="EAD31" s="15"/>
      <c r="EAE31" s="15"/>
      <c r="EAF31" s="15"/>
      <c r="EAG31" s="15"/>
      <c r="EAH31" s="15"/>
      <c r="EAI31" s="15"/>
      <c r="EAJ31" s="15"/>
      <c r="EAK31" s="15"/>
      <c r="EAL31" s="15"/>
      <c r="EAM31" s="15"/>
      <c r="EAN31" s="15"/>
      <c r="EAO31" s="15"/>
      <c r="EAP31" s="15"/>
      <c r="EAQ31" s="15"/>
      <c r="EAR31" s="15"/>
      <c r="EAS31" s="15"/>
      <c r="EAT31" s="15"/>
      <c r="EAU31" s="15"/>
      <c r="EAV31" s="15"/>
      <c r="EAW31" s="15"/>
      <c r="EAX31" s="15"/>
      <c r="EAY31" s="15"/>
      <c r="EAZ31" s="15"/>
      <c r="EBA31" s="15"/>
      <c r="EBB31" s="15"/>
      <c r="EBC31" s="15"/>
      <c r="EBD31" s="15"/>
      <c r="EBE31" s="15"/>
      <c r="EBF31" s="15"/>
      <c r="EBG31" s="15"/>
      <c r="EBH31" s="15"/>
      <c r="EBI31" s="15"/>
      <c r="EBJ31" s="15"/>
      <c r="EBK31" s="15"/>
      <c r="EBL31" s="15"/>
      <c r="EBM31" s="15"/>
      <c r="EBN31" s="15"/>
      <c r="EBO31" s="15"/>
      <c r="EBP31" s="15"/>
      <c r="EBQ31" s="15"/>
      <c r="EBR31" s="15"/>
      <c r="EBS31" s="15"/>
      <c r="EBT31" s="15"/>
      <c r="EBU31" s="15"/>
      <c r="EBV31" s="15"/>
      <c r="EBW31" s="15"/>
      <c r="EBX31" s="15"/>
      <c r="EBY31" s="15"/>
      <c r="EBZ31" s="15"/>
      <c r="ECA31" s="15"/>
      <c r="ECB31" s="15"/>
      <c r="ECC31" s="15"/>
      <c r="ECD31" s="15"/>
      <c r="ECE31" s="15"/>
      <c r="ECF31" s="15"/>
      <c r="ECG31" s="15"/>
      <c r="ECH31" s="15"/>
      <c r="ECI31" s="15"/>
      <c r="ECJ31" s="15"/>
      <c r="ECK31" s="15"/>
      <c r="ECL31" s="15"/>
      <c r="ECM31" s="15"/>
      <c r="ECN31" s="15"/>
      <c r="ECO31" s="15"/>
      <c r="ECP31" s="15"/>
      <c r="ECQ31" s="15"/>
      <c r="ECR31" s="15"/>
      <c r="ECS31" s="15"/>
      <c r="ECT31" s="15"/>
      <c r="ECU31" s="15"/>
      <c r="ECV31" s="15"/>
      <c r="ECW31" s="15"/>
      <c r="ECX31" s="15"/>
      <c r="ECY31" s="15"/>
      <c r="ECZ31" s="15"/>
      <c r="EDA31" s="15"/>
      <c r="EDB31" s="15"/>
      <c r="EDC31" s="15"/>
      <c r="EDD31" s="15"/>
      <c r="EDE31" s="15"/>
      <c r="EDF31" s="15"/>
      <c r="EDG31" s="15"/>
      <c r="EDH31" s="15"/>
      <c r="EDI31" s="15"/>
      <c r="EDJ31" s="15"/>
      <c r="EDK31" s="15"/>
      <c r="EDL31" s="15"/>
      <c r="EDM31" s="15"/>
      <c r="EDN31" s="15"/>
      <c r="EDO31" s="15"/>
      <c r="EDP31" s="15"/>
      <c r="EDQ31" s="15"/>
      <c r="EDR31" s="15"/>
      <c r="EDS31" s="15"/>
      <c r="EDT31" s="15"/>
      <c r="EDU31" s="15"/>
      <c r="EDV31" s="15"/>
      <c r="EDW31" s="15"/>
      <c r="EDX31" s="15"/>
      <c r="EDY31" s="15"/>
      <c r="EDZ31" s="15"/>
      <c r="EEA31" s="15"/>
      <c r="EEB31" s="15"/>
      <c r="EEC31" s="15"/>
      <c r="EED31" s="15"/>
      <c r="EEE31" s="15"/>
      <c r="EEF31" s="15"/>
      <c r="EEG31" s="15"/>
      <c r="EEH31" s="15"/>
      <c r="EEI31" s="15"/>
      <c r="EEJ31" s="15"/>
      <c r="EEK31" s="15"/>
      <c r="EEL31" s="15"/>
      <c r="EEM31" s="15"/>
      <c r="EEN31" s="15"/>
      <c r="EEO31" s="15"/>
      <c r="EEP31" s="15"/>
      <c r="EEQ31" s="15"/>
      <c r="EER31" s="15"/>
      <c r="EES31" s="15"/>
      <c r="EET31" s="15"/>
      <c r="EEU31" s="15"/>
      <c r="EEV31" s="15"/>
      <c r="EEW31" s="15"/>
      <c r="EEX31" s="15"/>
      <c r="EEY31" s="15"/>
      <c r="EEZ31" s="15"/>
      <c r="EFA31" s="15"/>
      <c r="EFB31" s="15"/>
      <c r="EFC31" s="15"/>
      <c r="EFD31" s="15"/>
      <c r="EFE31" s="15"/>
      <c r="EFF31" s="15"/>
      <c r="EFG31" s="15"/>
      <c r="EFH31" s="15"/>
      <c r="EFI31" s="15"/>
      <c r="EFJ31" s="15"/>
      <c r="EFK31" s="15"/>
      <c r="EFL31" s="15"/>
      <c r="EFM31" s="15"/>
      <c r="EFN31" s="15"/>
      <c r="EFO31" s="15"/>
      <c r="EFP31" s="15"/>
      <c r="EFQ31" s="15"/>
      <c r="EFR31" s="15"/>
      <c r="EFS31" s="15"/>
      <c r="EFT31" s="15"/>
      <c r="EFU31" s="15"/>
      <c r="EFV31" s="15"/>
      <c r="EFW31" s="15"/>
      <c r="EFX31" s="15"/>
      <c r="EFY31" s="15"/>
      <c r="EFZ31" s="15"/>
      <c r="EGA31" s="15"/>
      <c r="EGB31" s="15"/>
      <c r="EGC31" s="15"/>
      <c r="EGD31" s="15"/>
      <c r="EGE31" s="15"/>
      <c r="EGF31" s="15"/>
      <c r="EGG31" s="15"/>
      <c r="EGH31" s="15"/>
      <c r="EGI31" s="15"/>
      <c r="EGJ31" s="15"/>
      <c r="EGK31" s="15"/>
      <c r="EGL31" s="15"/>
      <c r="EGM31" s="15"/>
      <c r="EGN31" s="15"/>
      <c r="EGO31" s="15"/>
      <c r="EGP31" s="15"/>
      <c r="EGQ31" s="15"/>
      <c r="EGR31" s="15"/>
      <c r="EGS31" s="15"/>
      <c r="EGT31" s="15"/>
      <c r="EGU31" s="15"/>
      <c r="EGV31" s="15"/>
      <c r="EGW31" s="15"/>
      <c r="EGX31" s="15"/>
      <c r="EGY31" s="15"/>
      <c r="EGZ31" s="15"/>
      <c r="EHA31" s="15"/>
      <c r="EHB31" s="15"/>
      <c r="EHC31" s="15"/>
      <c r="EHD31" s="15"/>
      <c r="EHE31" s="15"/>
      <c r="EHF31" s="15"/>
      <c r="EHG31" s="15"/>
      <c r="EHH31" s="15"/>
      <c r="EHI31" s="15"/>
      <c r="EHJ31" s="15"/>
      <c r="EHK31" s="15"/>
      <c r="EHL31" s="15"/>
      <c r="EHM31" s="15"/>
      <c r="EHN31" s="15"/>
      <c r="EHO31" s="15"/>
      <c r="EHP31" s="15"/>
      <c r="EHQ31" s="15"/>
      <c r="EHR31" s="15"/>
      <c r="EHS31" s="15"/>
      <c r="EHT31" s="15"/>
      <c r="EHU31" s="15"/>
      <c r="EHV31" s="15"/>
      <c r="EHW31" s="15"/>
      <c r="EHX31" s="15"/>
      <c r="EHY31" s="15"/>
      <c r="EHZ31" s="15"/>
      <c r="EIA31" s="15"/>
      <c r="EIB31" s="15"/>
      <c r="EIC31" s="15"/>
      <c r="EID31" s="15"/>
      <c r="EIE31" s="15"/>
      <c r="EIF31" s="15"/>
      <c r="EIG31" s="15"/>
      <c r="EIH31" s="15"/>
      <c r="EII31" s="15"/>
      <c r="EIJ31" s="15"/>
      <c r="EIK31" s="15"/>
      <c r="EIL31" s="15"/>
      <c r="EIM31" s="15"/>
      <c r="EIN31" s="15"/>
      <c r="EIO31" s="15"/>
      <c r="EIP31" s="15"/>
      <c r="EIQ31" s="15"/>
      <c r="EIR31" s="15"/>
      <c r="EIS31" s="15"/>
      <c r="EIT31" s="15"/>
      <c r="EIU31" s="15"/>
      <c r="EIV31" s="15"/>
      <c r="EIW31" s="15"/>
      <c r="EIX31" s="15"/>
      <c r="EIY31" s="15"/>
      <c r="EIZ31" s="15"/>
      <c r="EJA31" s="15"/>
      <c r="EJB31" s="15"/>
      <c r="EJC31" s="15"/>
      <c r="EJD31" s="15"/>
      <c r="EJE31" s="15"/>
      <c r="EJF31" s="15"/>
      <c r="EJG31" s="15"/>
      <c r="EJH31" s="15"/>
      <c r="EJI31" s="15"/>
      <c r="EJJ31" s="15"/>
      <c r="EJK31" s="15"/>
      <c r="EJL31" s="15"/>
      <c r="EJM31" s="15"/>
      <c r="EJN31" s="15"/>
      <c r="EJO31" s="15"/>
      <c r="EJP31" s="15"/>
      <c r="EJQ31" s="15"/>
      <c r="EJR31" s="15"/>
      <c r="EJS31" s="15"/>
      <c r="EJT31" s="15"/>
      <c r="EJU31" s="15"/>
      <c r="EJV31" s="15"/>
      <c r="EJW31" s="15"/>
      <c r="EJX31" s="15"/>
      <c r="EJY31" s="15"/>
      <c r="EJZ31" s="15"/>
      <c r="EKA31" s="15"/>
      <c r="EKB31" s="15"/>
      <c r="EKC31" s="15"/>
      <c r="EKD31" s="15"/>
      <c r="EKE31" s="15"/>
      <c r="EKF31" s="15"/>
      <c r="EKG31" s="15"/>
      <c r="EKH31" s="15"/>
      <c r="EKI31" s="15"/>
      <c r="EKJ31" s="15"/>
      <c r="EKK31" s="15"/>
      <c r="EKL31" s="15"/>
      <c r="EKM31" s="15"/>
      <c r="EKN31" s="15"/>
      <c r="EKO31" s="15"/>
      <c r="EKP31" s="15"/>
      <c r="EKQ31" s="15"/>
      <c r="EKR31" s="15"/>
      <c r="EKS31" s="15"/>
      <c r="EKT31" s="15"/>
      <c r="EKU31" s="15"/>
      <c r="EKV31" s="15"/>
      <c r="EKW31" s="15"/>
      <c r="EKX31" s="15"/>
      <c r="EKY31" s="15"/>
      <c r="EKZ31" s="15"/>
      <c r="ELA31" s="15"/>
      <c r="ELB31" s="15"/>
      <c r="ELC31" s="15"/>
      <c r="ELD31" s="15"/>
      <c r="ELE31" s="15"/>
      <c r="ELF31" s="15"/>
      <c r="ELG31" s="15"/>
      <c r="ELH31" s="15"/>
      <c r="ELI31" s="15"/>
      <c r="ELJ31" s="15"/>
      <c r="ELK31" s="15"/>
      <c r="ELL31" s="15"/>
      <c r="ELM31" s="15"/>
      <c r="ELN31" s="15"/>
      <c r="ELO31" s="15"/>
      <c r="ELP31" s="15"/>
      <c r="ELQ31" s="15"/>
      <c r="ELR31" s="15"/>
      <c r="ELS31" s="15"/>
      <c r="ELT31" s="15"/>
      <c r="ELU31" s="15"/>
      <c r="ELV31" s="15"/>
      <c r="ELW31" s="15"/>
      <c r="ELX31" s="15"/>
      <c r="ELY31" s="15"/>
      <c r="ELZ31" s="15"/>
      <c r="EMA31" s="15"/>
      <c r="EMB31" s="15"/>
      <c r="EMC31" s="15"/>
      <c r="EMD31" s="15"/>
      <c r="EME31" s="15"/>
      <c r="EMF31" s="15"/>
      <c r="EMG31" s="15"/>
      <c r="EMH31" s="15"/>
      <c r="EMI31" s="15"/>
      <c r="EMJ31" s="15"/>
      <c r="EMK31" s="15"/>
      <c r="EML31" s="15"/>
      <c r="EMM31" s="15"/>
      <c r="EMN31" s="15"/>
      <c r="EMO31" s="15"/>
      <c r="EMP31" s="15"/>
      <c r="EMQ31" s="15"/>
      <c r="EMR31" s="15"/>
      <c r="EMS31" s="15"/>
      <c r="EMT31" s="15"/>
      <c r="EMU31" s="15"/>
      <c r="EMV31" s="15"/>
      <c r="EMW31" s="15"/>
      <c r="EMX31" s="15"/>
      <c r="EMY31" s="15"/>
      <c r="EMZ31" s="15"/>
      <c r="ENA31" s="15"/>
      <c r="ENB31" s="15"/>
      <c r="ENC31" s="15"/>
      <c r="END31" s="15"/>
      <c r="ENE31" s="15"/>
      <c r="ENF31" s="15"/>
      <c r="ENG31" s="15"/>
      <c r="ENH31" s="15"/>
      <c r="ENI31" s="15"/>
      <c r="ENJ31" s="15"/>
      <c r="ENK31" s="15"/>
      <c r="ENL31" s="15"/>
      <c r="ENM31" s="15"/>
      <c r="ENN31" s="15"/>
      <c r="ENO31" s="15"/>
      <c r="ENP31" s="15"/>
      <c r="ENQ31" s="15"/>
      <c r="ENR31" s="15"/>
      <c r="ENS31" s="15"/>
      <c r="ENT31" s="15"/>
      <c r="ENU31" s="15"/>
      <c r="ENV31" s="15"/>
      <c r="ENW31" s="15"/>
      <c r="ENX31" s="15"/>
      <c r="ENY31" s="15"/>
      <c r="ENZ31" s="15"/>
      <c r="EOA31" s="15"/>
      <c r="EOB31" s="15"/>
      <c r="EOC31" s="15"/>
      <c r="EOD31" s="15"/>
      <c r="EOE31" s="15"/>
      <c r="EOF31" s="15"/>
      <c r="EOG31" s="15"/>
      <c r="EOH31" s="15"/>
      <c r="EOI31" s="15"/>
      <c r="EOJ31" s="15"/>
      <c r="EOK31" s="15"/>
      <c r="EOL31" s="15"/>
      <c r="EOM31" s="15"/>
      <c r="EON31" s="15"/>
      <c r="EOO31" s="15"/>
      <c r="EOP31" s="15"/>
      <c r="EOQ31" s="15"/>
      <c r="EOR31" s="15"/>
      <c r="EOS31" s="15"/>
      <c r="EOT31" s="15"/>
      <c r="EOU31" s="15"/>
      <c r="EOV31" s="15"/>
      <c r="EOW31" s="15"/>
      <c r="EOX31" s="15"/>
      <c r="EOY31" s="15"/>
      <c r="EOZ31" s="15"/>
      <c r="EPA31" s="15"/>
      <c r="EPB31" s="15"/>
      <c r="EPC31" s="15"/>
      <c r="EPD31" s="15"/>
      <c r="EPE31" s="15"/>
      <c r="EPF31" s="15"/>
      <c r="EPG31" s="15"/>
      <c r="EPH31" s="15"/>
      <c r="EPI31" s="15"/>
      <c r="EPJ31" s="15"/>
      <c r="EPK31" s="15"/>
      <c r="EPL31" s="15"/>
      <c r="EPM31" s="15"/>
      <c r="EPN31" s="15"/>
      <c r="EPO31" s="15"/>
      <c r="EPP31" s="15"/>
      <c r="EPQ31" s="15"/>
      <c r="EPR31" s="15"/>
      <c r="EPS31" s="15"/>
      <c r="EPT31" s="15"/>
      <c r="EPU31" s="15"/>
      <c r="EPV31" s="15"/>
      <c r="EPW31" s="15"/>
      <c r="EPX31" s="15"/>
      <c r="EPY31" s="15"/>
      <c r="EPZ31" s="15"/>
      <c r="EQA31" s="15"/>
      <c r="EQB31" s="15"/>
      <c r="EQC31" s="15"/>
      <c r="EQD31" s="15"/>
      <c r="EQE31" s="15"/>
      <c r="EQF31" s="15"/>
      <c r="EQG31" s="15"/>
      <c r="EQH31" s="15"/>
      <c r="EQI31" s="15"/>
      <c r="EQJ31" s="15"/>
      <c r="EQK31" s="15"/>
      <c r="EQL31" s="15"/>
      <c r="EQM31" s="15"/>
      <c r="EQN31" s="15"/>
      <c r="EQO31" s="15"/>
      <c r="EQP31" s="15"/>
      <c r="EQQ31" s="15"/>
      <c r="EQR31" s="15"/>
      <c r="EQS31" s="15"/>
      <c r="EQT31" s="15"/>
      <c r="EQU31" s="15"/>
      <c r="EQV31" s="15"/>
      <c r="EQW31" s="15"/>
      <c r="EQX31" s="15"/>
      <c r="EQY31" s="15"/>
      <c r="EQZ31" s="15"/>
      <c r="ERA31" s="15"/>
      <c r="ERB31" s="15"/>
      <c r="ERC31" s="15"/>
      <c r="ERD31" s="15"/>
      <c r="ERE31" s="15"/>
      <c r="ERF31" s="15"/>
      <c r="ERG31" s="15"/>
      <c r="ERH31" s="15"/>
      <c r="ERI31" s="15"/>
      <c r="ERJ31" s="15"/>
      <c r="ERK31" s="15"/>
      <c r="ERL31" s="15"/>
      <c r="ERM31" s="15"/>
      <c r="ERN31" s="15"/>
      <c r="ERO31" s="15"/>
      <c r="ERP31" s="15"/>
      <c r="ERQ31" s="15"/>
      <c r="ERR31" s="15"/>
      <c r="ERS31" s="15"/>
      <c r="ERT31" s="15"/>
      <c r="ERU31" s="15"/>
      <c r="ERV31" s="15"/>
      <c r="ERW31" s="15"/>
      <c r="ERX31" s="15"/>
      <c r="ERY31" s="15"/>
      <c r="ERZ31" s="15"/>
      <c r="ESA31" s="15"/>
      <c r="ESB31" s="15"/>
      <c r="ESC31" s="15"/>
      <c r="ESD31" s="15"/>
      <c r="ESE31" s="15"/>
      <c r="ESF31" s="15"/>
      <c r="ESG31" s="15"/>
      <c r="ESH31" s="15"/>
      <c r="ESI31" s="15"/>
      <c r="ESJ31" s="15"/>
      <c r="ESK31" s="15"/>
      <c r="ESL31" s="15"/>
      <c r="ESM31" s="15"/>
      <c r="ESN31" s="15"/>
      <c r="ESO31" s="15"/>
      <c r="ESP31" s="15"/>
      <c r="ESQ31" s="15"/>
      <c r="ESR31" s="15"/>
      <c r="ESS31" s="15"/>
      <c r="EST31" s="15"/>
      <c r="ESU31" s="15"/>
      <c r="ESV31" s="15"/>
      <c r="ESW31" s="15"/>
      <c r="ESX31" s="15"/>
      <c r="ESY31" s="15"/>
      <c r="ESZ31" s="15"/>
      <c r="ETA31" s="15"/>
      <c r="ETB31" s="15"/>
      <c r="ETC31" s="15"/>
      <c r="ETD31" s="15"/>
      <c r="ETE31" s="15"/>
      <c r="ETF31" s="15"/>
      <c r="ETG31" s="15"/>
      <c r="ETH31" s="15"/>
      <c r="ETI31" s="15"/>
      <c r="ETJ31" s="15"/>
      <c r="ETK31" s="15"/>
      <c r="ETL31" s="15"/>
      <c r="ETM31" s="15"/>
      <c r="ETN31" s="15"/>
      <c r="ETO31" s="15"/>
      <c r="ETP31" s="15"/>
      <c r="ETQ31" s="15"/>
      <c r="ETR31" s="15"/>
      <c r="ETS31" s="15"/>
      <c r="ETT31" s="15"/>
      <c r="ETU31" s="15"/>
      <c r="ETV31" s="15"/>
      <c r="ETW31" s="15"/>
      <c r="ETX31" s="15"/>
      <c r="ETY31" s="15"/>
      <c r="ETZ31" s="15"/>
      <c r="EUA31" s="15"/>
      <c r="EUB31" s="15"/>
      <c r="EUC31" s="15"/>
      <c r="EUD31" s="15"/>
      <c r="EUE31" s="15"/>
      <c r="EUF31" s="15"/>
      <c r="EUG31" s="15"/>
      <c r="EUH31" s="15"/>
      <c r="EUI31" s="15"/>
      <c r="EUJ31" s="15"/>
      <c r="EUK31" s="15"/>
      <c r="EUL31" s="15"/>
      <c r="EUM31" s="15"/>
      <c r="EUN31" s="15"/>
      <c r="EUO31" s="15"/>
      <c r="EUP31" s="15"/>
      <c r="EUQ31" s="15"/>
      <c r="EUR31" s="15"/>
      <c r="EUS31" s="15"/>
      <c r="EUT31" s="15"/>
      <c r="EUU31" s="15"/>
      <c r="EUV31" s="15"/>
      <c r="EUW31" s="15"/>
      <c r="EUX31" s="15"/>
      <c r="EUY31" s="15"/>
      <c r="EUZ31" s="15"/>
      <c r="EVA31" s="15"/>
      <c r="EVB31" s="15"/>
      <c r="EVC31" s="15"/>
      <c r="EVD31" s="15"/>
      <c r="EVE31" s="15"/>
      <c r="EVF31" s="15"/>
      <c r="EVG31" s="15"/>
      <c r="EVH31" s="15"/>
      <c r="EVI31" s="15"/>
      <c r="EVJ31" s="15"/>
      <c r="EVK31" s="15"/>
      <c r="EVL31" s="15"/>
      <c r="EVM31" s="15"/>
      <c r="EVN31" s="15"/>
      <c r="EVO31" s="15"/>
      <c r="EVP31" s="15"/>
      <c r="EVQ31" s="15"/>
      <c r="EVR31" s="15"/>
      <c r="EVS31" s="15"/>
      <c r="EVT31" s="15"/>
      <c r="EVU31" s="15"/>
      <c r="EVV31" s="15"/>
      <c r="EVW31" s="15"/>
      <c r="EVX31" s="15"/>
      <c r="EVY31" s="15"/>
      <c r="EVZ31" s="15"/>
      <c r="EWA31" s="15"/>
      <c r="EWB31" s="15"/>
      <c r="EWC31" s="15"/>
      <c r="EWD31" s="15"/>
      <c r="EWE31" s="15"/>
      <c r="EWF31" s="15"/>
      <c r="EWG31" s="15"/>
      <c r="EWH31" s="15"/>
      <c r="EWI31" s="15"/>
      <c r="EWJ31" s="15"/>
      <c r="EWK31" s="15"/>
      <c r="EWL31" s="15"/>
      <c r="EWM31" s="15"/>
      <c r="EWN31" s="15"/>
      <c r="EWO31" s="15"/>
      <c r="EWP31" s="15"/>
      <c r="EWQ31" s="15"/>
      <c r="EWR31" s="15"/>
      <c r="EWS31" s="15"/>
      <c r="EWT31" s="15"/>
      <c r="EWU31" s="15"/>
      <c r="EWV31" s="15"/>
      <c r="EWW31" s="15"/>
      <c r="EWX31" s="15"/>
      <c r="EWY31" s="15"/>
      <c r="EWZ31" s="15"/>
      <c r="EXA31" s="15"/>
      <c r="EXB31" s="15"/>
      <c r="EXC31" s="15"/>
      <c r="EXD31" s="15"/>
      <c r="EXE31" s="15"/>
      <c r="EXF31" s="15"/>
      <c r="EXG31" s="15"/>
      <c r="EXH31" s="15"/>
      <c r="EXI31" s="15"/>
      <c r="EXJ31" s="15"/>
      <c r="EXK31" s="15"/>
      <c r="EXL31" s="15"/>
      <c r="EXM31" s="15"/>
      <c r="EXN31" s="15"/>
      <c r="EXO31" s="15"/>
      <c r="EXP31" s="15"/>
      <c r="EXQ31" s="15"/>
      <c r="EXR31" s="15"/>
      <c r="EXS31" s="15"/>
      <c r="EXT31" s="15"/>
      <c r="EXU31" s="15"/>
      <c r="EXV31" s="15"/>
      <c r="EXW31" s="15"/>
      <c r="EXX31" s="15"/>
      <c r="EXY31" s="15"/>
      <c r="EXZ31" s="15"/>
      <c r="EYA31" s="15"/>
      <c r="EYB31" s="15"/>
      <c r="EYC31" s="15"/>
      <c r="EYD31" s="15"/>
      <c r="EYE31" s="15"/>
      <c r="EYF31" s="15"/>
      <c r="EYG31" s="15"/>
      <c r="EYH31" s="15"/>
      <c r="EYI31" s="15"/>
      <c r="EYJ31" s="15"/>
      <c r="EYK31" s="15"/>
      <c r="EYL31" s="15"/>
      <c r="EYM31" s="15"/>
      <c r="EYN31" s="15"/>
      <c r="EYO31" s="15"/>
      <c r="EYP31" s="15"/>
      <c r="EYQ31" s="15"/>
      <c r="EYR31" s="15"/>
      <c r="EYS31" s="15"/>
      <c r="EYT31" s="15"/>
      <c r="EYU31" s="15"/>
      <c r="EYV31" s="15"/>
      <c r="EYW31" s="15"/>
      <c r="EYX31" s="15"/>
      <c r="EYY31" s="15"/>
      <c r="EYZ31" s="15"/>
      <c r="EZA31" s="15"/>
      <c r="EZB31" s="15"/>
      <c r="EZC31" s="15"/>
      <c r="EZD31" s="15"/>
      <c r="EZE31" s="15"/>
      <c r="EZF31" s="15"/>
      <c r="EZG31" s="15"/>
      <c r="EZH31" s="15"/>
      <c r="EZI31" s="15"/>
      <c r="EZJ31" s="15"/>
      <c r="EZK31" s="15"/>
      <c r="EZL31" s="15"/>
      <c r="EZM31" s="15"/>
      <c r="EZN31" s="15"/>
      <c r="EZO31" s="15"/>
      <c r="EZP31" s="15"/>
      <c r="EZQ31" s="15"/>
      <c r="EZR31" s="15"/>
      <c r="EZS31" s="15"/>
      <c r="EZT31" s="15"/>
      <c r="EZU31" s="15"/>
      <c r="EZV31" s="15"/>
      <c r="EZW31" s="15"/>
      <c r="EZX31" s="15"/>
      <c r="EZY31" s="15"/>
      <c r="EZZ31" s="15"/>
      <c r="FAA31" s="15"/>
      <c r="FAB31" s="15"/>
      <c r="FAC31" s="15"/>
      <c r="FAD31" s="15"/>
      <c r="FAE31" s="15"/>
      <c r="FAF31" s="15"/>
      <c r="FAG31" s="15"/>
      <c r="FAH31" s="15"/>
      <c r="FAI31" s="15"/>
      <c r="FAJ31" s="15"/>
      <c r="FAK31" s="15"/>
      <c r="FAL31" s="15"/>
      <c r="FAM31" s="15"/>
      <c r="FAN31" s="15"/>
      <c r="FAO31" s="15"/>
      <c r="FAP31" s="15"/>
      <c r="FAQ31" s="15"/>
      <c r="FAR31" s="15"/>
      <c r="FAS31" s="15"/>
      <c r="FAT31" s="15"/>
      <c r="FAU31" s="15"/>
      <c r="FAV31" s="15"/>
      <c r="FAW31" s="15"/>
      <c r="FAX31" s="15"/>
      <c r="FAY31" s="15"/>
      <c r="FAZ31" s="15"/>
      <c r="FBA31" s="15"/>
      <c r="FBB31" s="15"/>
      <c r="FBC31" s="15"/>
      <c r="FBD31" s="15"/>
      <c r="FBE31" s="15"/>
      <c r="FBF31" s="15"/>
      <c r="FBG31" s="15"/>
      <c r="FBH31" s="15"/>
      <c r="FBI31" s="15"/>
      <c r="FBJ31" s="15"/>
      <c r="FBK31" s="15"/>
      <c r="FBL31" s="15"/>
      <c r="FBM31" s="15"/>
      <c r="FBN31" s="15"/>
      <c r="FBO31" s="15"/>
      <c r="FBP31" s="15"/>
      <c r="FBQ31" s="15"/>
      <c r="FBR31" s="15"/>
      <c r="FBS31" s="15"/>
      <c r="FBT31" s="15"/>
      <c r="FBU31" s="15"/>
      <c r="FBV31" s="15"/>
      <c r="FBW31" s="15"/>
      <c r="FBX31" s="15"/>
      <c r="FBY31" s="15"/>
      <c r="FBZ31" s="15"/>
      <c r="FCA31" s="15"/>
      <c r="FCB31" s="15"/>
      <c r="FCC31" s="15"/>
      <c r="FCD31" s="15"/>
      <c r="FCE31" s="15"/>
      <c r="FCF31" s="15"/>
      <c r="FCG31" s="15"/>
      <c r="FCH31" s="15"/>
      <c r="FCI31" s="15"/>
      <c r="FCJ31" s="15"/>
      <c r="FCK31" s="15"/>
      <c r="FCL31" s="15"/>
      <c r="FCM31" s="15"/>
      <c r="FCN31" s="15"/>
      <c r="FCO31" s="15"/>
      <c r="FCP31" s="15"/>
      <c r="FCQ31" s="15"/>
      <c r="FCR31" s="15"/>
      <c r="FCS31" s="15"/>
      <c r="FCT31" s="15"/>
      <c r="FCU31" s="15"/>
      <c r="FCV31" s="15"/>
      <c r="FCW31" s="15"/>
      <c r="FCX31" s="15"/>
      <c r="FCY31" s="15"/>
      <c r="FCZ31" s="15"/>
      <c r="FDA31" s="15"/>
      <c r="FDB31" s="15"/>
      <c r="FDC31" s="15"/>
      <c r="FDD31" s="15"/>
      <c r="FDE31" s="15"/>
      <c r="FDF31" s="15"/>
      <c r="FDG31" s="15"/>
      <c r="FDH31" s="15"/>
      <c r="FDI31" s="15"/>
      <c r="FDJ31" s="15"/>
      <c r="FDK31" s="15"/>
      <c r="FDL31" s="15"/>
      <c r="FDM31" s="15"/>
      <c r="FDN31" s="15"/>
      <c r="FDO31" s="15"/>
      <c r="FDP31" s="15"/>
      <c r="FDQ31" s="15"/>
      <c r="FDR31" s="15"/>
      <c r="FDS31" s="15"/>
      <c r="FDT31" s="15"/>
      <c r="FDU31" s="15"/>
      <c r="FDV31" s="15"/>
      <c r="FDW31" s="15"/>
      <c r="FDX31" s="15"/>
      <c r="FDY31" s="15"/>
      <c r="FDZ31" s="15"/>
      <c r="FEA31" s="15"/>
      <c r="FEB31" s="15"/>
      <c r="FEC31" s="15"/>
      <c r="FED31" s="15"/>
      <c r="FEE31" s="15"/>
      <c r="FEF31" s="15"/>
      <c r="FEG31" s="15"/>
      <c r="FEH31" s="15"/>
      <c r="FEI31" s="15"/>
      <c r="FEJ31" s="15"/>
      <c r="FEK31" s="15"/>
      <c r="FEL31" s="15"/>
      <c r="FEM31" s="15"/>
      <c r="FEN31" s="15"/>
      <c r="FEO31" s="15"/>
      <c r="FEP31" s="15"/>
      <c r="FEQ31" s="15"/>
      <c r="FER31" s="15"/>
      <c r="FES31" s="15"/>
      <c r="FET31" s="15"/>
      <c r="FEU31" s="15"/>
      <c r="FEV31" s="15"/>
      <c r="FEW31" s="15"/>
      <c r="FEX31" s="15"/>
      <c r="FEY31" s="15"/>
      <c r="FEZ31" s="15"/>
      <c r="FFA31" s="15"/>
      <c r="FFB31" s="15"/>
      <c r="FFC31" s="15"/>
      <c r="FFD31" s="15"/>
      <c r="FFE31" s="15"/>
      <c r="FFF31" s="15"/>
      <c r="FFG31" s="15"/>
      <c r="FFH31" s="15"/>
      <c r="FFI31" s="15"/>
      <c r="FFJ31" s="15"/>
      <c r="FFK31" s="15"/>
      <c r="FFL31" s="15"/>
      <c r="FFM31" s="15"/>
      <c r="FFN31" s="15"/>
      <c r="FFO31" s="15"/>
      <c r="FFP31" s="15"/>
      <c r="FFQ31" s="15"/>
      <c r="FFR31" s="15"/>
      <c r="FFS31" s="15"/>
      <c r="FFT31" s="15"/>
      <c r="FFU31" s="15"/>
      <c r="FFV31" s="15"/>
      <c r="FFW31" s="15"/>
      <c r="FFX31" s="15"/>
      <c r="FFY31" s="15"/>
      <c r="FFZ31" s="15"/>
      <c r="FGA31" s="15"/>
      <c r="FGB31" s="15"/>
      <c r="FGC31" s="15"/>
      <c r="FGD31" s="15"/>
      <c r="FGE31" s="15"/>
      <c r="FGF31" s="15"/>
      <c r="FGG31" s="15"/>
      <c r="FGH31" s="15"/>
      <c r="FGI31" s="15"/>
      <c r="FGJ31" s="15"/>
      <c r="FGK31" s="15"/>
      <c r="FGL31" s="15"/>
      <c r="FGM31" s="15"/>
      <c r="FGN31" s="15"/>
      <c r="FGO31" s="15"/>
      <c r="FGP31" s="15"/>
      <c r="FGQ31" s="15"/>
      <c r="FGR31" s="15"/>
      <c r="FGS31" s="15"/>
      <c r="FGT31" s="15"/>
      <c r="FGU31" s="15"/>
      <c r="FGV31" s="15"/>
      <c r="FGW31" s="15"/>
      <c r="FGX31" s="15"/>
      <c r="FGY31" s="15"/>
      <c r="FGZ31" s="15"/>
      <c r="FHA31" s="15"/>
      <c r="FHB31" s="15"/>
      <c r="FHC31" s="15"/>
      <c r="FHD31" s="15"/>
      <c r="FHE31" s="15"/>
      <c r="FHF31" s="15"/>
      <c r="FHG31" s="15"/>
      <c r="FHH31" s="15"/>
      <c r="FHI31" s="15"/>
      <c r="FHJ31" s="15"/>
      <c r="FHK31" s="15"/>
      <c r="FHL31" s="15"/>
      <c r="FHM31" s="15"/>
      <c r="FHN31" s="15"/>
      <c r="FHO31" s="15"/>
      <c r="FHP31" s="15"/>
      <c r="FHQ31" s="15"/>
      <c r="FHR31" s="15"/>
      <c r="FHS31" s="15"/>
      <c r="FHT31" s="15"/>
      <c r="FHU31" s="15"/>
      <c r="FHV31" s="15"/>
      <c r="FHW31" s="15"/>
      <c r="FHX31" s="15"/>
      <c r="FHY31" s="15"/>
      <c r="FHZ31" s="15"/>
      <c r="FIA31" s="15"/>
      <c r="FIB31" s="15"/>
      <c r="FIC31" s="15"/>
      <c r="FID31" s="15"/>
      <c r="FIE31" s="15"/>
      <c r="FIF31" s="15"/>
      <c r="FIG31" s="15"/>
      <c r="FIH31" s="15"/>
      <c r="FII31" s="15"/>
      <c r="FIJ31" s="15"/>
      <c r="FIK31" s="15"/>
      <c r="FIL31" s="15"/>
      <c r="FIM31" s="15"/>
      <c r="FIN31" s="15"/>
      <c r="FIO31" s="15"/>
      <c r="FIP31" s="15"/>
      <c r="FIQ31" s="15"/>
      <c r="FIR31" s="15"/>
      <c r="FIS31" s="15"/>
      <c r="FIT31" s="15"/>
      <c r="FIU31" s="15"/>
      <c r="FIV31" s="15"/>
      <c r="FIW31" s="15"/>
      <c r="FIX31" s="15"/>
      <c r="FIY31" s="15"/>
      <c r="FIZ31" s="15"/>
      <c r="FJA31" s="15"/>
      <c r="FJB31" s="15"/>
      <c r="FJC31" s="15"/>
      <c r="FJD31" s="15"/>
      <c r="FJE31" s="15"/>
      <c r="FJF31" s="15"/>
      <c r="FJG31" s="15"/>
      <c r="FJH31" s="15"/>
      <c r="FJI31" s="15"/>
      <c r="FJJ31" s="15"/>
      <c r="FJK31" s="15"/>
      <c r="FJL31" s="15"/>
      <c r="FJM31" s="15"/>
      <c r="FJN31" s="15"/>
      <c r="FJO31" s="15"/>
      <c r="FJP31" s="15"/>
      <c r="FJQ31" s="15"/>
      <c r="FJR31" s="15"/>
      <c r="FJS31" s="15"/>
      <c r="FJT31" s="15"/>
      <c r="FJU31" s="15"/>
      <c r="FJV31" s="15"/>
      <c r="FJW31" s="15"/>
      <c r="FJX31" s="15"/>
      <c r="FJY31" s="15"/>
      <c r="FJZ31" s="15"/>
      <c r="FKA31" s="15"/>
      <c r="FKB31" s="15"/>
      <c r="FKC31" s="15"/>
      <c r="FKD31" s="15"/>
      <c r="FKE31" s="15"/>
      <c r="FKF31" s="15"/>
      <c r="FKG31" s="15"/>
      <c r="FKH31" s="15"/>
      <c r="FKI31" s="15"/>
      <c r="FKJ31" s="15"/>
      <c r="FKK31" s="15"/>
      <c r="FKL31" s="15"/>
      <c r="FKM31" s="15"/>
      <c r="FKN31" s="15"/>
      <c r="FKO31" s="15"/>
      <c r="FKP31" s="15"/>
      <c r="FKQ31" s="15"/>
      <c r="FKR31" s="15"/>
      <c r="FKS31" s="15"/>
      <c r="FKT31" s="15"/>
      <c r="FKU31" s="15"/>
      <c r="FKV31" s="15"/>
      <c r="FKW31" s="15"/>
      <c r="FKX31" s="15"/>
      <c r="FKY31" s="15"/>
      <c r="FKZ31" s="15"/>
      <c r="FLA31" s="15"/>
      <c r="FLB31" s="15"/>
      <c r="FLC31" s="15"/>
      <c r="FLD31" s="15"/>
      <c r="FLE31" s="15"/>
      <c r="FLF31" s="15"/>
      <c r="FLG31" s="15"/>
      <c r="FLH31" s="15"/>
      <c r="FLI31" s="15"/>
      <c r="FLJ31" s="15"/>
      <c r="FLK31" s="15"/>
      <c r="FLL31" s="15"/>
      <c r="FLM31" s="15"/>
      <c r="FLN31" s="15"/>
      <c r="FLO31" s="15"/>
      <c r="FLP31" s="15"/>
      <c r="FLQ31" s="15"/>
      <c r="FLR31" s="15"/>
      <c r="FLS31" s="15"/>
      <c r="FLT31" s="15"/>
      <c r="FLU31" s="15"/>
      <c r="FLV31" s="15"/>
      <c r="FLW31" s="15"/>
      <c r="FLX31" s="15"/>
      <c r="FLY31" s="15"/>
      <c r="FLZ31" s="15"/>
      <c r="FMA31" s="15"/>
      <c r="FMB31" s="15"/>
      <c r="FMC31" s="15"/>
      <c r="FMD31" s="15"/>
      <c r="FME31" s="15"/>
      <c r="FMF31" s="15"/>
      <c r="FMG31" s="15"/>
      <c r="FMH31" s="15"/>
      <c r="FMI31" s="15"/>
      <c r="FMJ31" s="15"/>
      <c r="FMK31" s="15"/>
      <c r="FML31" s="15"/>
      <c r="FMM31" s="15"/>
      <c r="FMN31" s="15"/>
      <c r="FMO31" s="15"/>
      <c r="FMP31" s="15"/>
      <c r="FMQ31" s="15"/>
      <c r="FMR31" s="15"/>
      <c r="FMS31" s="15"/>
      <c r="FMT31" s="15"/>
      <c r="FMU31" s="15"/>
      <c r="FMV31" s="15"/>
      <c r="FMW31" s="15"/>
      <c r="FMX31" s="15"/>
      <c r="FMY31" s="15"/>
      <c r="FMZ31" s="15"/>
      <c r="FNA31" s="15"/>
      <c r="FNB31" s="15"/>
      <c r="FNC31" s="15"/>
      <c r="FND31" s="15"/>
      <c r="FNE31" s="15"/>
      <c r="FNF31" s="15"/>
      <c r="FNG31" s="15"/>
      <c r="FNH31" s="15"/>
      <c r="FNI31" s="15"/>
      <c r="FNJ31" s="15"/>
      <c r="FNK31" s="15"/>
      <c r="FNL31" s="15"/>
      <c r="FNM31" s="15"/>
      <c r="FNN31" s="15"/>
      <c r="FNO31" s="15"/>
      <c r="FNP31" s="15"/>
      <c r="FNQ31" s="15"/>
      <c r="FNR31" s="15"/>
      <c r="FNS31" s="15"/>
      <c r="FNT31" s="15"/>
      <c r="FNU31" s="15"/>
      <c r="FNV31" s="15"/>
      <c r="FNW31" s="15"/>
      <c r="FNX31" s="15"/>
      <c r="FNY31" s="15"/>
      <c r="FNZ31" s="15"/>
      <c r="FOA31" s="15"/>
      <c r="FOB31" s="15"/>
      <c r="FOC31" s="15"/>
      <c r="FOD31" s="15"/>
      <c r="FOE31" s="15"/>
      <c r="FOF31" s="15"/>
      <c r="FOG31" s="15"/>
      <c r="FOH31" s="15"/>
      <c r="FOI31" s="15"/>
      <c r="FOJ31" s="15"/>
      <c r="FOK31" s="15"/>
      <c r="FOL31" s="15"/>
      <c r="FOM31" s="15"/>
      <c r="FON31" s="15"/>
      <c r="FOO31" s="15"/>
      <c r="FOP31" s="15"/>
      <c r="FOQ31" s="15"/>
      <c r="FOR31" s="15"/>
      <c r="FOS31" s="15"/>
      <c r="FOT31" s="15"/>
      <c r="FOU31" s="15"/>
      <c r="FOV31" s="15"/>
      <c r="FOW31" s="15"/>
      <c r="FOX31" s="15"/>
      <c r="FOY31" s="15"/>
      <c r="FOZ31" s="15"/>
      <c r="FPA31" s="15"/>
      <c r="FPB31" s="15"/>
      <c r="FPC31" s="15"/>
      <c r="FPD31" s="15"/>
      <c r="FPE31" s="15"/>
      <c r="FPF31" s="15"/>
      <c r="FPG31" s="15"/>
      <c r="FPH31" s="15"/>
      <c r="FPI31" s="15"/>
      <c r="FPJ31" s="15"/>
      <c r="FPK31" s="15"/>
      <c r="FPL31" s="15"/>
      <c r="FPM31" s="15"/>
      <c r="FPN31" s="15"/>
      <c r="FPO31" s="15"/>
      <c r="FPP31" s="15"/>
      <c r="FPQ31" s="15"/>
      <c r="FPR31" s="15"/>
      <c r="FPS31" s="15"/>
      <c r="FPT31" s="15"/>
      <c r="FPU31" s="15"/>
      <c r="FPV31" s="15"/>
      <c r="FPW31" s="15"/>
      <c r="FPX31" s="15"/>
      <c r="FPY31" s="15"/>
      <c r="FPZ31" s="15"/>
      <c r="FQA31" s="15"/>
      <c r="FQB31" s="15"/>
      <c r="FQC31" s="15"/>
      <c r="FQD31" s="15"/>
      <c r="FQE31" s="15"/>
      <c r="FQF31" s="15"/>
      <c r="FQG31" s="15"/>
      <c r="FQH31" s="15"/>
      <c r="FQI31" s="15"/>
      <c r="FQJ31" s="15"/>
      <c r="FQK31" s="15"/>
      <c r="FQL31" s="15"/>
      <c r="FQM31" s="15"/>
      <c r="FQN31" s="15"/>
      <c r="FQO31" s="15"/>
      <c r="FQP31" s="15"/>
      <c r="FQQ31" s="15"/>
      <c r="FQR31" s="15"/>
      <c r="FQS31" s="15"/>
      <c r="FQT31" s="15"/>
      <c r="FQU31" s="15"/>
      <c r="FQV31" s="15"/>
      <c r="FQW31" s="15"/>
      <c r="FQX31" s="15"/>
      <c r="FQY31" s="15"/>
      <c r="FQZ31" s="15"/>
      <c r="FRA31" s="15"/>
      <c r="FRB31" s="15"/>
      <c r="FRC31" s="15"/>
      <c r="FRD31" s="15"/>
      <c r="FRE31" s="15"/>
      <c r="FRF31" s="15"/>
      <c r="FRG31" s="15"/>
      <c r="FRH31" s="15"/>
      <c r="FRI31" s="15"/>
      <c r="FRJ31" s="15"/>
      <c r="FRK31" s="15"/>
      <c r="FRL31" s="15"/>
      <c r="FRM31" s="15"/>
      <c r="FRN31" s="15"/>
      <c r="FRO31" s="15"/>
      <c r="FRP31" s="15"/>
      <c r="FRQ31" s="15"/>
      <c r="FRR31" s="15"/>
      <c r="FRS31" s="15"/>
      <c r="FRT31" s="15"/>
      <c r="FRU31" s="15"/>
      <c r="FRV31" s="15"/>
      <c r="FRW31" s="15"/>
      <c r="FRX31" s="15"/>
      <c r="FRY31" s="15"/>
      <c r="FRZ31" s="15"/>
      <c r="FSA31" s="15"/>
      <c r="FSB31" s="15"/>
      <c r="FSC31" s="15"/>
      <c r="FSD31" s="15"/>
      <c r="FSE31" s="15"/>
      <c r="FSF31" s="15"/>
      <c r="FSG31" s="15"/>
      <c r="FSH31" s="15"/>
      <c r="FSI31" s="15"/>
      <c r="FSJ31" s="15"/>
      <c r="FSK31" s="15"/>
      <c r="FSL31" s="15"/>
      <c r="FSM31" s="15"/>
      <c r="FSN31" s="15"/>
      <c r="FSO31" s="15"/>
      <c r="FSP31" s="15"/>
      <c r="FSQ31" s="15"/>
      <c r="FSR31" s="15"/>
      <c r="FSS31" s="15"/>
      <c r="FST31" s="15"/>
      <c r="FSU31" s="15"/>
      <c r="FSV31" s="15"/>
      <c r="FSW31" s="15"/>
      <c r="FSX31" s="15"/>
      <c r="FSY31" s="15"/>
      <c r="FSZ31" s="15"/>
      <c r="FTA31" s="15"/>
      <c r="FTB31" s="15"/>
      <c r="FTC31" s="15"/>
      <c r="FTD31" s="15"/>
      <c r="FTE31" s="15"/>
      <c r="FTF31" s="15"/>
      <c r="FTG31" s="15"/>
      <c r="FTH31" s="15"/>
      <c r="FTI31" s="15"/>
      <c r="FTJ31" s="15"/>
      <c r="FTK31" s="15"/>
      <c r="FTL31" s="15"/>
      <c r="FTM31" s="15"/>
      <c r="FTN31" s="15"/>
      <c r="FTO31" s="15"/>
      <c r="FTP31" s="15"/>
      <c r="FTQ31" s="15"/>
      <c r="FTR31" s="15"/>
      <c r="FTS31" s="15"/>
      <c r="FTT31" s="15"/>
      <c r="FTU31" s="15"/>
      <c r="FTV31" s="15"/>
      <c r="FTW31" s="15"/>
      <c r="FTX31" s="15"/>
      <c r="FTY31" s="15"/>
      <c r="FTZ31" s="15"/>
      <c r="FUA31" s="15"/>
      <c r="FUB31" s="15"/>
      <c r="FUC31" s="15"/>
      <c r="FUD31" s="15"/>
      <c r="FUE31" s="15"/>
      <c r="FUF31" s="15"/>
      <c r="FUG31" s="15"/>
      <c r="FUH31" s="15"/>
      <c r="FUI31" s="15"/>
      <c r="FUJ31" s="15"/>
      <c r="FUK31" s="15"/>
      <c r="FUL31" s="15"/>
      <c r="FUM31" s="15"/>
      <c r="FUN31" s="15"/>
      <c r="FUO31" s="15"/>
      <c r="FUP31" s="15"/>
      <c r="FUQ31" s="15"/>
      <c r="FUR31" s="15"/>
      <c r="FUS31" s="15"/>
      <c r="FUT31" s="15"/>
      <c r="FUU31" s="15"/>
      <c r="FUV31" s="15"/>
      <c r="FUW31" s="15"/>
      <c r="FUX31" s="15"/>
      <c r="FUY31" s="15"/>
      <c r="FUZ31" s="15"/>
      <c r="FVA31" s="15"/>
      <c r="FVB31" s="15"/>
      <c r="FVC31" s="15"/>
      <c r="FVD31" s="15"/>
      <c r="FVE31" s="15"/>
      <c r="FVF31" s="15"/>
      <c r="FVG31" s="15"/>
      <c r="FVH31" s="15"/>
      <c r="FVI31" s="15"/>
      <c r="FVJ31" s="15"/>
      <c r="FVK31" s="15"/>
      <c r="FVL31" s="15"/>
      <c r="FVM31" s="15"/>
      <c r="FVN31" s="15"/>
      <c r="FVO31" s="15"/>
      <c r="FVP31" s="15"/>
      <c r="FVQ31" s="15"/>
      <c r="FVR31" s="15"/>
      <c r="FVS31" s="15"/>
      <c r="FVT31" s="15"/>
      <c r="FVU31" s="15"/>
      <c r="FVV31" s="15"/>
      <c r="FVW31" s="15"/>
      <c r="FVX31" s="15"/>
      <c r="FVY31" s="15"/>
      <c r="FVZ31" s="15"/>
      <c r="FWA31" s="15"/>
      <c r="FWB31" s="15"/>
      <c r="FWC31" s="15"/>
      <c r="FWD31" s="15"/>
      <c r="FWE31" s="15"/>
      <c r="FWF31" s="15"/>
      <c r="FWG31" s="15"/>
      <c r="FWH31" s="15"/>
      <c r="FWI31" s="15"/>
      <c r="FWJ31" s="15"/>
      <c r="FWK31" s="15"/>
      <c r="FWL31" s="15"/>
      <c r="FWM31" s="15"/>
      <c r="FWN31" s="15"/>
      <c r="FWO31" s="15"/>
      <c r="FWP31" s="15"/>
      <c r="FWQ31" s="15"/>
      <c r="FWR31" s="15"/>
      <c r="FWS31" s="15"/>
      <c r="FWT31" s="15"/>
      <c r="FWU31" s="15"/>
      <c r="FWV31" s="15"/>
      <c r="FWW31" s="15"/>
      <c r="FWX31" s="15"/>
      <c r="FWY31" s="15"/>
      <c r="FWZ31" s="15"/>
      <c r="FXA31" s="15"/>
      <c r="FXB31" s="15"/>
      <c r="FXC31" s="15"/>
      <c r="FXD31" s="15"/>
      <c r="FXE31" s="15"/>
      <c r="FXF31" s="15"/>
      <c r="FXG31" s="15"/>
      <c r="FXH31" s="15"/>
      <c r="FXI31" s="15"/>
      <c r="FXJ31" s="15"/>
      <c r="FXK31" s="15"/>
      <c r="FXL31" s="15"/>
      <c r="FXM31" s="15"/>
      <c r="FXN31" s="15"/>
      <c r="FXO31" s="15"/>
      <c r="FXP31" s="15"/>
      <c r="FXQ31" s="15"/>
      <c r="FXR31" s="15"/>
      <c r="FXS31" s="15"/>
      <c r="FXT31" s="15"/>
      <c r="FXU31" s="15"/>
      <c r="FXV31" s="15"/>
      <c r="FXW31" s="15"/>
      <c r="FXX31" s="15"/>
      <c r="FXY31" s="15"/>
      <c r="FXZ31" s="15"/>
      <c r="FYA31" s="15"/>
      <c r="FYB31" s="15"/>
      <c r="FYC31" s="15"/>
      <c r="FYD31" s="15"/>
      <c r="FYE31" s="15"/>
      <c r="FYF31" s="15"/>
      <c r="FYG31" s="15"/>
      <c r="FYH31" s="15"/>
      <c r="FYI31" s="15"/>
      <c r="FYJ31" s="15"/>
      <c r="FYK31" s="15"/>
      <c r="FYL31" s="15"/>
      <c r="FYM31" s="15"/>
      <c r="FYN31" s="15"/>
      <c r="FYO31" s="15"/>
      <c r="FYP31" s="15"/>
      <c r="FYQ31" s="15"/>
      <c r="FYR31" s="15"/>
      <c r="FYS31" s="15"/>
      <c r="FYT31" s="15"/>
      <c r="FYU31" s="15"/>
      <c r="FYV31" s="15"/>
      <c r="FYW31" s="15"/>
      <c r="FYX31" s="15"/>
      <c r="FYY31" s="15"/>
      <c r="FYZ31" s="15"/>
      <c r="FZA31" s="15"/>
      <c r="FZB31" s="15"/>
      <c r="FZC31" s="15"/>
      <c r="FZD31" s="15"/>
      <c r="FZE31" s="15"/>
      <c r="FZF31" s="15"/>
      <c r="FZG31" s="15"/>
      <c r="FZH31" s="15"/>
      <c r="FZI31" s="15"/>
      <c r="FZJ31" s="15"/>
      <c r="FZK31" s="15"/>
      <c r="FZL31" s="15"/>
      <c r="FZM31" s="15"/>
      <c r="FZN31" s="15"/>
      <c r="FZO31" s="15"/>
      <c r="FZP31" s="15"/>
      <c r="FZQ31" s="15"/>
      <c r="FZR31" s="15"/>
      <c r="FZS31" s="15"/>
      <c r="FZT31" s="15"/>
      <c r="FZU31" s="15"/>
      <c r="FZV31" s="15"/>
      <c r="FZW31" s="15"/>
      <c r="FZX31" s="15"/>
      <c r="FZY31" s="15"/>
      <c r="FZZ31" s="15"/>
      <c r="GAA31" s="15"/>
      <c r="GAB31" s="15"/>
      <c r="GAC31" s="15"/>
      <c r="GAD31" s="15"/>
      <c r="GAE31" s="15"/>
      <c r="GAF31" s="15"/>
      <c r="GAG31" s="15"/>
      <c r="GAH31" s="15"/>
      <c r="GAI31" s="15"/>
      <c r="GAJ31" s="15"/>
      <c r="GAK31" s="15"/>
      <c r="GAL31" s="15"/>
      <c r="GAM31" s="15"/>
      <c r="GAN31" s="15"/>
      <c r="GAO31" s="15"/>
      <c r="GAP31" s="15"/>
      <c r="GAQ31" s="15"/>
      <c r="GAR31" s="15"/>
      <c r="GAS31" s="15"/>
      <c r="GAT31" s="15"/>
      <c r="GAU31" s="15"/>
      <c r="GAV31" s="15"/>
      <c r="GAW31" s="15"/>
      <c r="GAX31" s="15"/>
      <c r="GAY31" s="15"/>
      <c r="GAZ31" s="15"/>
      <c r="GBA31" s="15"/>
      <c r="GBB31" s="15"/>
      <c r="GBC31" s="15"/>
      <c r="GBD31" s="15"/>
      <c r="GBE31" s="15"/>
      <c r="GBF31" s="15"/>
      <c r="GBG31" s="15"/>
      <c r="GBH31" s="15"/>
      <c r="GBI31" s="15"/>
      <c r="GBJ31" s="15"/>
      <c r="GBK31" s="15"/>
      <c r="GBL31" s="15"/>
      <c r="GBM31" s="15"/>
      <c r="GBN31" s="15"/>
      <c r="GBO31" s="15"/>
      <c r="GBP31" s="15"/>
      <c r="GBQ31" s="15"/>
      <c r="GBR31" s="15"/>
      <c r="GBS31" s="15"/>
      <c r="GBT31" s="15"/>
      <c r="GBU31" s="15"/>
      <c r="GBV31" s="15"/>
      <c r="GBW31" s="15"/>
      <c r="GBX31" s="15"/>
      <c r="GBY31" s="15"/>
      <c r="GBZ31" s="15"/>
      <c r="GCA31" s="15"/>
      <c r="GCB31" s="15"/>
      <c r="GCC31" s="15"/>
      <c r="GCD31" s="15"/>
      <c r="GCE31" s="15"/>
      <c r="GCF31" s="15"/>
      <c r="GCG31" s="15"/>
      <c r="GCH31" s="15"/>
      <c r="GCI31" s="15"/>
      <c r="GCJ31" s="15"/>
      <c r="GCK31" s="15"/>
      <c r="GCL31" s="15"/>
      <c r="GCM31" s="15"/>
      <c r="GCN31" s="15"/>
      <c r="GCO31" s="15"/>
      <c r="GCP31" s="15"/>
      <c r="GCQ31" s="15"/>
      <c r="GCR31" s="15"/>
      <c r="GCS31" s="15"/>
      <c r="GCT31" s="15"/>
      <c r="GCU31" s="15"/>
      <c r="GCV31" s="15"/>
      <c r="GCW31" s="15"/>
      <c r="GCX31" s="15"/>
      <c r="GCY31" s="15"/>
      <c r="GCZ31" s="15"/>
      <c r="GDA31" s="15"/>
      <c r="GDB31" s="15"/>
      <c r="GDC31" s="15"/>
      <c r="GDD31" s="15"/>
      <c r="GDE31" s="15"/>
      <c r="GDF31" s="15"/>
      <c r="GDG31" s="15"/>
      <c r="GDH31" s="15"/>
      <c r="GDI31" s="15"/>
      <c r="GDJ31" s="15"/>
      <c r="GDK31" s="15"/>
      <c r="GDL31" s="15"/>
      <c r="GDM31" s="15"/>
      <c r="GDN31" s="15"/>
      <c r="GDO31" s="15"/>
      <c r="GDP31" s="15"/>
      <c r="GDQ31" s="15"/>
      <c r="GDR31" s="15"/>
      <c r="GDS31" s="15"/>
      <c r="GDT31" s="15"/>
      <c r="GDU31" s="15"/>
      <c r="GDV31" s="15"/>
      <c r="GDW31" s="15"/>
      <c r="GDX31" s="15"/>
      <c r="GDY31" s="15"/>
      <c r="GDZ31" s="15"/>
      <c r="GEA31" s="15"/>
      <c r="GEB31" s="15"/>
      <c r="GEC31" s="15"/>
      <c r="GED31" s="15"/>
      <c r="GEE31" s="15"/>
      <c r="GEF31" s="15"/>
      <c r="GEG31" s="15"/>
      <c r="GEH31" s="15"/>
      <c r="GEI31" s="15"/>
      <c r="GEJ31" s="15"/>
      <c r="GEK31" s="15"/>
      <c r="GEL31" s="15"/>
      <c r="GEM31" s="15"/>
      <c r="GEN31" s="15"/>
      <c r="GEO31" s="15"/>
      <c r="GEP31" s="15"/>
      <c r="GEQ31" s="15"/>
      <c r="GER31" s="15"/>
      <c r="GES31" s="15"/>
      <c r="GET31" s="15"/>
      <c r="GEU31" s="15"/>
      <c r="GEV31" s="15"/>
      <c r="GEW31" s="15"/>
      <c r="GEX31" s="15"/>
      <c r="GEY31" s="15"/>
      <c r="GEZ31" s="15"/>
      <c r="GFA31" s="15"/>
      <c r="GFB31" s="15"/>
      <c r="GFC31" s="15"/>
      <c r="GFD31" s="15"/>
      <c r="GFE31" s="15"/>
      <c r="GFF31" s="15"/>
      <c r="GFG31" s="15"/>
      <c r="GFH31" s="15"/>
      <c r="GFI31" s="15"/>
      <c r="GFJ31" s="15"/>
      <c r="GFK31" s="15"/>
      <c r="GFL31" s="15"/>
      <c r="GFM31" s="15"/>
      <c r="GFN31" s="15"/>
      <c r="GFO31" s="15"/>
      <c r="GFP31" s="15"/>
      <c r="GFQ31" s="15"/>
      <c r="GFR31" s="15"/>
      <c r="GFS31" s="15"/>
      <c r="GFT31" s="15"/>
      <c r="GFU31" s="15"/>
      <c r="GFV31" s="15"/>
      <c r="GFW31" s="15"/>
      <c r="GFX31" s="15"/>
      <c r="GFY31" s="15"/>
      <c r="GFZ31" s="15"/>
      <c r="GGA31" s="15"/>
      <c r="GGB31" s="15"/>
      <c r="GGC31" s="15"/>
      <c r="GGD31" s="15"/>
      <c r="GGE31" s="15"/>
      <c r="GGF31" s="15"/>
      <c r="GGG31" s="15"/>
      <c r="GGH31" s="15"/>
      <c r="GGI31" s="15"/>
      <c r="GGJ31" s="15"/>
      <c r="GGK31" s="15"/>
      <c r="GGL31" s="15"/>
      <c r="GGM31" s="15"/>
      <c r="GGN31" s="15"/>
      <c r="GGO31" s="15"/>
      <c r="GGP31" s="15"/>
      <c r="GGQ31" s="15"/>
      <c r="GGR31" s="15"/>
      <c r="GGS31" s="15"/>
      <c r="GGT31" s="15"/>
      <c r="GGU31" s="15"/>
      <c r="GGV31" s="15"/>
      <c r="GGW31" s="15"/>
      <c r="GGX31" s="15"/>
      <c r="GGY31" s="15"/>
      <c r="GGZ31" s="15"/>
      <c r="GHA31" s="15"/>
      <c r="GHB31" s="15"/>
      <c r="GHC31" s="15"/>
      <c r="GHD31" s="15"/>
      <c r="GHE31" s="15"/>
      <c r="GHF31" s="15"/>
      <c r="GHG31" s="15"/>
      <c r="GHH31" s="15"/>
      <c r="GHI31" s="15"/>
      <c r="GHJ31" s="15"/>
      <c r="GHK31" s="15"/>
      <c r="GHL31" s="15"/>
      <c r="GHM31" s="15"/>
      <c r="GHN31" s="15"/>
      <c r="GHO31" s="15"/>
      <c r="GHP31" s="15"/>
      <c r="GHQ31" s="15"/>
      <c r="GHR31" s="15"/>
      <c r="GHS31" s="15"/>
      <c r="GHT31" s="15"/>
      <c r="GHU31" s="15"/>
      <c r="GHV31" s="15"/>
      <c r="GHW31" s="15"/>
      <c r="GHX31" s="15"/>
      <c r="GHY31" s="15"/>
      <c r="GHZ31" s="15"/>
      <c r="GIA31" s="15"/>
      <c r="GIB31" s="15"/>
      <c r="GIC31" s="15"/>
      <c r="GID31" s="15"/>
      <c r="GIE31" s="15"/>
      <c r="GIF31" s="15"/>
      <c r="GIG31" s="15"/>
      <c r="GIH31" s="15"/>
      <c r="GII31" s="15"/>
      <c r="GIJ31" s="15"/>
      <c r="GIK31" s="15"/>
      <c r="GIL31" s="15"/>
      <c r="GIM31" s="15"/>
      <c r="GIN31" s="15"/>
      <c r="GIO31" s="15"/>
      <c r="GIP31" s="15"/>
      <c r="GIQ31" s="15"/>
      <c r="GIR31" s="15"/>
      <c r="GIS31" s="15"/>
      <c r="GIT31" s="15"/>
      <c r="GIU31" s="15"/>
      <c r="GIV31" s="15"/>
      <c r="GIW31" s="15"/>
      <c r="GIX31" s="15"/>
      <c r="GIY31" s="15"/>
      <c r="GIZ31" s="15"/>
      <c r="GJA31" s="15"/>
      <c r="GJB31" s="15"/>
      <c r="GJC31" s="15"/>
      <c r="GJD31" s="15"/>
      <c r="GJE31" s="15"/>
      <c r="GJF31" s="15"/>
      <c r="GJG31" s="15"/>
      <c r="GJH31" s="15"/>
      <c r="GJI31" s="15"/>
      <c r="GJJ31" s="15"/>
      <c r="GJK31" s="15"/>
      <c r="GJL31" s="15"/>
      <c r="GJM31" s="15"/>
      <c r="GJN31" s="15"/>
      <c r="GJO31" s="15"/>
      <c r="GJP31" s="15"/>
      <c r="GJQ31" s="15"/>
      <c r="GJR31" s="15"/>
      <c r="GJS31" s="15"/>
      <c r="GJT31" s="15"/>
      <c r="GJU31" s="15"/>
      <c r="GJV31" s="15"/>
      <c r="GJW31" s="15"/>
      <c r="GJX31" s="15"/>
      <c r="GJY31" s="15"/>
      <c r="GJZ31" s="15"/>
      <c r="GKA31" s="15"/>
      <c r="GKB31" s="15"/>
      <c r="GKC31" s="15"/>
      <c r="GKD31" s="15"/>
      <c r="GKE31" s="15"/>
      <c r="GKF31" s="15"/>
      <c r="GKG31" s="15"/>
      <c r="GKH31" s="15"/>
      <c r="GKI31" s="15"/>
      <c r="GKJ31" s="15"/>
      <c r="GKK31" s="15"/>
      <c r="GKL31" s="15"/>
      <c r="GKM31" s="15"/>
      <c r="GKN31" s="15"/>
      <c r="GKO31" s="15"/>
      <c r="GKP31" s="15"/>
      <c r="GKQ31" s="15"/>
      <c r="GKR31" s="15"/>
      <c r="GKS31" s="15"/>
      <c r="GKT31" s="15"/>
      <c r="GKU31" s="15"/>
      <c r="GKV31" s="15"/>
      <c r="GKW31" s="15"/>
      <c r="GKX31" s="15"/>
      <c r="GKY31" s="15"/>
      <c r="GKZ31" s="15"/>
      <c r="GLA31" s="15"/>
      <c r="GLB31" s="15"/>
      <c r="GLC31" s="15"/>
      <c r="GLD31" s="15"/>
      <c r="GLE31" s="15"/>
      <c r="GLF31" s="15"/>
      <c r="GLG31" s="15"/>
      <c r="GLH31" s="15"/>
      <c r="GLI31" s="15"/>
      <c r="GLJ31" s="15"/>
      <c r="GLK31" s="15"/>
      <c r="GLL31" s="15"/>
      <c r="GLM31" s="15"/>
      <c r="GLN31" s="15"/>
      <c r="GLO31" s="15"/>
      <c r="GLP31" s="15"/>
      <c r="GLQ31" s="15"/>
      <c r="GLR31" s="15"/>
      <c r="GLS31" s="15"/>
      <c r="GLT31" s="15"/>
      <c r="GLU31" s="15"/>
      <c r="GLV31" s="15"/>
      <c r="GLW31" s="15"/>
      <c r="GLX31" s="15"/>
      <c r="GLY31" s="15"/>
      <c r="GLZ31" s="15"/>
      <c r="GMA31" s="15"/>
      <c r="GMB31" s="15"/>
      <c r="GMC31" s="15"/>
      <c r="GMD31" s="15"/>
      <c r="GME31" s="15"/>
      <c r="GMF31" s="15"/>
      <c r="GMG31" s="15"/>
      <c r="GMH31" s="15"/>
      <c r="GMI31" s="15"/>
      <c r="GMJ31" s="15"/>
      <c r="GMK31" s="15"/>
      <c r="GML31" s="15"/>
      <c r="GMM31" s="15"/>
      <c r="GMN31" s="15"/>
      <c r="GMO31" s="15"/>
      <c r="GMP31" s="15"/>
      <c r="GMQ31" s="15"/>
      <c r="GMR31" s="15"/>
      <c r="GMS31" s="15"/>
      <c r="GMT31" s="15"/>
      <c r="GMU31" s="15"/>
      <c r="GMV31" s="15"/>
      <c r="GMW31" s="15"/>
      <c r="GMX31" s="15"/>
      <c r="GMY31" s="15"/>
      <c r="GMZ31" s="15"/>
      <c r="GNA31" s="15"/>
      <c r="GNB31" s="15"/>
      <c r="GNC31" s="15"/>
      <c r="GND31" s="15"/>
      <c r="GNE31" s="15"/>
      <c r="GNF31" s="15"/>
      <c r="GNG31" s="15"/>
      <c r="GNH31" s="15"/>
      <c r="GNI31" s="15"/>
      <c r="GNJ31" s="15"/>
      <c r="GNK31" s="15"/>
      <c r="GNL31" s="15"/>
      <c r="GNM31" s="15"/>
      <c r="GNN31" s="15"/>
      <c r="GNO31" s="15"/>
      <c r="GNP31" s="15"/>
      <c r="GNQ31" s="15"/>
      <c r="GNR31" s="15"/>
      <c r="GNS31" s="15"/>
      <c r="GNT31" s="15"/>
      <c r="GNU31" s="15"/>
      <c r="GNV31" s="15"/>
      <c r="GNW31" s="15"/>
      <c r="GNX31" s="15"/>
      <c r="GNY31" s="15"/>
      <c r="GNZ31" s="15"/>
      <c r="GOA31" s="15"/>
      <c r="GOB31" s="15"/>
      <c r="GOC31" s="15"/>
      <c r="GOD31" s="15"/>
      <c r="GOE31" s="15"/>
      <c r="GOF31" s="15"/>
      <c r="GOG31" s="15"/>
      <c r="GOH31" s="15"/>
      <c r="GOI31" s="15"/>
      <c r="GOJ31" s="15"/>
      <c r="GOK31" s="15"/>
      <c r="GOL31" s="15"/>
      <c r="GOM31" s="15"/>
      <c r="GON31" s="15"/>
      <c r="GOO31" s="15"/>
      <c r="GOP31" s="15"/>
      <c r="GOQ31" s="15"/>
      <c r="GOR31" s="15"/>
      <c r="GOS31" s="15"/>
      <c r="GOT31" s="15"/>
      <c r="GOU31" s="15"/>
      <c r="GOV31" s="15"/>
      <c r="GOW31" s="15"/>
      <c r="GOX31" s="15"/>
      <c r="GOY31" s="15"/>
      <c r="GOZ31" s="15"/>
      <c r="GPA31" s="15"/>
      <c r="GPB31" s="15"/>
      <c r="GPC31" s="15"/>
      <c r="GPD31" s="15"/>
      <c r="GPE31" s="15"/>
      <c r="GPF31" s="15"/>
      <c r="GPG31" s="15"/>
      <c r="GPH31" s="15"/>
      <c r="GPI31" s="15"/>
      <c r="GPJ31" s="15"/>
      <c r="GPK31" s="15"/>
      <c r="GPL31" s="15"/>
      <c r="GPM31" s="15"/>
      <c r="GPN31" s="15"/>
      <c r="GPO31" s="15"/>
      <c r="GPP31" s="15"/>
      <c r="GPQ31" s="15"/>
      <c r="GPR31" s="15"/>
      <c r="GPS31" s="15"/>
      <c r="GPT31" s="15"/>
      <c r="GPU31" s="15"/>
      <c r="GPV31" s="15"/>
      <c r="GPW31" s="15"/>
      <c r="GPX31" s="15"/>
      <c r="GPY31" s="15"/>
      <c r="GPZ31" s="15"/>
      <c r="GQA31" s="15"/>
      <c r="GQB31" s="15"/>
      <c r="GQC31" s="15"/>
      <c r="GQD31" s="15"/>
      <c r="GQE31" s="15"/>
      <c r="GQF31" s="15"/>
      <c r="GQG31" s="15"/>
      <c r="GQH31" s="15"/>
      <c r="GQI31" s="15"/>
      <c r="GQJ31" s="15"/>
      <c r="GQK31" s="15"/>
      <c r="GQL31" s="15"/>
      <c r="GQM31" s="15"/>
      <c r="GQN31" s="15"/>
      <c r="GQO31" s="15"/>
      <c r="GQP31" s="15"/>
      <c r="GQQ31" s="15"/>
      <c r="GQR31" s="15"/>
      <c r="GQS31" s="15"/>
      <c r="GQT31" s="15"/>
      <c r="GQU31" s="15"/>
      <c r="GQV31" s="15"/>
      <c r="GQW31" s="15"/>
      <c r="GQX31" s="15"/>
      <c r="GQY31" s="15"/>
      <c r="GQZ31" s="15"/>
      <c r="GRA31" s="15"/>
      <c r="GRB31" s="15"/>
      <c r="GRC31" s="15"/>
      <c r="GRD31" s="15"/>
      <c r="GRE31" s="15"/>
      <c r="GRF31" s="15"/>
      <c r="GRG31" s="15"/>
      <c r="GRH31" s="15"/>
      <c r="GRI31" s="15"/>
      <c r="GRJ31" s="15"/>
      <c r="GRK31" s="15"/>
      <c r="GRL31" s="15"/>
      <c r="GRM31" s="15"/>
      <c r="GRN31" s="15"/>
      <c r="GRO31" s="15"/>
      <c r="GRP31" s="15"/>
      <c r="GRQ31" s="15"/>
      <c r="GRR31" s="15"/>
      <c r="GRS31" s="15"/>
      <c r="GRT31" s="15"/>
      <c r="GRU31" s="15"/>
      <c r="GRV31" s="15"/>
      <c r="GRW31" s="15"/>
      <c r="GRX31" s="15"/>
      <c r="GRY31" s="15"/>
      <c r="GRZ31" s="15"/>
      <c r="GSA31" s="15"/>
      <c r="GSB31" s="15"/>
      <c r="GSC31" s="15"/>
      <c r="GSD31" s="15"/>
      <c r="GSE31" s="15"/>
      <c r="GSF31" s="15"/>
      <c r="GSG31" s="15"/>
      <c r="GSH31" s="15"/>
      <c r="GSI31" s="15"/>
      <c r="GSJ31" s="15"/>
      <c r="GSK31" s="15"/>
      <c r="GSL31" s="15"/>
      <c r="GSM31" s="15"/>
      <c r="GSN31" s="15"/>
      <c r="GSO31" s="15"/>
      <c r="GSP31" s="15"/>
      <c r="GSQ31" s="15"/>
      <c r="GSR31" s="15"/>
      <c r="GSS31" s="15"/>
      <c r="GST31" s="15"/>
      <c r="GSU31" s="15"/>
      <c r="GSV31" s="15"/>
      <c r="GSW31" s="15"/>
      <c r="GSX31" s="15"/>
      <c r="GSY31" s="15"/>
      <c r="GSZ31" s="15"/>
      <c r="GTA31" s="15"/>
      <c r="GTB31" s="15"/>
      <c r="GTC31" s="15"/>
      <c r="GTD31" s="15"/>
      <c r="GTE31" s="15"/>
      <c r="GTF31" s="15"/>
      <c r="GTG31" s="15"/>
      <c r="GTH31" s="15"/>
      <c r="GTI31" s="15"/>
      <c r="GTJ31" s="15"/>
      <c r="GTK31" s="15"/>
      <c r="GTL31" s="15"/>
      <c r="GTM31" s="15"/>
      <c r="GTN31" s="15"/>
      <c r="GTO31" s="15"/>
      <c r="GTP31" s="15"/>
      <c r="GTQ31" s="15"/>
      <c r="GTR31" s="15"/>
      <c r="GTS31" s="15"/>
      <c r="GTT31" s="15"/>
      <c r="GTU31" s="15"/>
      <c r="GTV31" s="15"/>
      <c r="GTW31" s="15"/>
      <c r="GTX31" s="15"/>
      <c r="GTY31" s="15"/>
      <c r="GTZ31" s="15"/>
      <c r="GUA31" s="15"/>
      <c r="GUB31" s="15"/>
      <c r="GUC31" s="15"/>
      <c r="GUD31" s="15"/>
      <c r="GUE31" s="15"/>
      <c r="GUF31" s="15"/>
      <c r="GUG31" s="15"/>
      <c r="GUH31" s="15"/>
      <c r="GUI31" s="15"/>
      <c r="GUJ31" s="15"/>
      <c r="GUK31" s="15"/>
      <c r="GUL31" s="15"/>
      <c r="GUM31" s="15"/>
      <c r="GUN31" s="15"/>
      <c r="GUO31" s="15"/>
      <c r="GUP31" s="15"/>
      <c r="GUQ31" s="15"/>
      <c r="GUR31" s="15"/>
      <c r="GUS31" s="15"/>
      <c r="GUT31" s="15"/>
      <c r="GUU31" s="15"/>
      <c r="GUV31" s="15"/>
      <c r="GUW31" s="15"/>
      <c r="GUX31" s="15"/>
      <c r="GUY31" s="15"/>
      <c r="GUZ31" s="15"/>
      <c r="GVA31" s="15"/>
      <c r="GVB31" s="15"/>
      <c r="GVC31" s="15"/>
      <c r="GVD31" s="15"/>
      <c r="GVE31" s="15"/>
      <c r="GVF31" s="15"/>
      <c r="GVG31" s="15"/>
      <c r="GVH31" s="15"/>
      <c r="GVI31" s="15"/>
      <c r="GVJ31" s="15"/>
      <c r="GVK31" s="15"/>
      <c r="GVL31" s="15"/>
      <c r="GVM31" s="15"/>
      <c r="GVN31" s="15"/>
      <c r="GVO31" s="15"/>
      <c r="GVP31" s="15"/>
      <c r="GVQ31" s="15"/>
      <c r="GVR31" s="15"/>
      <c r="GVS31" s="15"/>
      <c r="GVT31" s="15"/>
      <c r="GVU31" s="15"/>
      <c r="GVV31" s="15"/>
      <c r="GVW31" s="15"/>
      <c r="GVX31" s="15"/>
      <c r="GVY31" s="15"/>
      <c r="GVZ31" s="15"/>
      <c r="GWA31" s="15"/>
      <c r="GWB31" s="15"/>
      <c r="GWC31" s="15"/>
      <c r="GWD31" s="15"/>
      <c r="GWE31" s="15"/>
      <c r="GWF31" s="15"/>
      <c r="GWG31" s="15"/>
      <c r="GWH31" s="15"/>
      <c r="GWI31" s="15"/>
      <c r="GWJ31" s="15"/>
      <c r="GWK31" s="15"/>
      <c r="GWL31" s="15"/>
      <c r="GWM31" s="15"/>
      <c r="GWN31" s="15"/>
      <c r="GWO31" s="15"/>
      <c r="GWP31" s="15"/>
      <c r="GWQ31" s="15"/>
      <c r="GWR31" s="15"/>
      <c r="GWS31" s="15"/>
      <c r="GWT31" s="15"/>
      <c r="GWU31" s="15"/>
      <c r="GWV31" s="15"/>
      <c r="GWW31" s="15"/>
      <c r="GWX31" s="15"/>
      <c r="GWY31" s="15"/>
      <c r="GWZ31" s="15"/>
      <c r="GXA31" s="15"/>
      <c r="GXB31" s="15"/>
      <c r="GXC31" s="15"/>
      <c r="GXD31" s="15"/>
      <c r="GXE31" s="15"/>
      <c r="GXF31" s="15"/>
      <c r="GXG31" s="15"/>
      <c r="GXH31" s="15"/>
      <c r="GXI31" s="15"/>
      <c r="GXJ31" s="15"/>
      <c r="GXK31" s="15"/>
      <c r="GXL31" s="15"/>
      <c r="GXM31" s="15"/>
      <c r="GXN31" s="15"/>
      <c r="GXO31" s="15"/>
      <c r="GXP31" s="15"/>
      <c r="GXQ31" s="15"/>
      <c r="GXR31" s="15"/>
      <c r="GXS31" s="15"/>
      <c r="GXT31" s="15"/>
      <c r="GXU31" s="15"/>
      <c r="GXV31" s="15"/>
      <c r="GXW31" s="15"/>
      <c r="GXX31" s="15"/>
      <c r="GXY31" s="15"/>
      <c r="GXZ31" s="15"/>
      <c r="GYA31" s="15"/>
      <c r="GYB31" s="15"/>
      <c r="GYC31" s="15"/>
      <c r="GYD31" s="15"/>
      <c r="GYE31" s="15"/>
      <c r="GYF31" s="15"/>
      <c r="GYG31" s="15"/>
      <c r="GYH31" s="15"/>
      <c r="GYI31" s="15"/>
      <c r="GYJ31" s="15"/>
      <c r="GYK31" s="15"/>
      <c r="GYL31" s="15"/>
      <c r="GYM31" s="15"/>
      <c r="GYN31" s="15"/>
      <c r="GYO31" s="15"/>
      <c r="GYP31" s="15"/>
      <c r="GYQ31" s="15"/>
      <c r="GYR31" s="15"/>
      <c r="GYS31" s="15"/>
      <c r="GYT31" s="15"/>
      <c r="GYU31" s="15"/>
      <c r="GYV31" s="15"/>
      <c r="GYW31" s="15"/>
      <c r="GYX31" s="15"/>
      <c r="GYY31" s="15"/>
      <c r="GYZ31" s="15"/>
      <c r="GZA31" s="15"/>
      <c r="GZB31" s="15"/>
      <c r="GZC31" s="15"/>
      <c r="GZD31" s="15"/>
      <c r="GZE31" s="15"/>
      <c r="GZF31" s="15"/>
      <c r="GZG31" s="15"/>
      <c r="GZH31" s="15"/>
      <c r="GZI31" s="15"/>
      <c r="GZJ31" s="15"/>
      <c r="GZK31" s="15"/>
      <c r="GZL31" s="15"/>
      <c r="GZM31" s="15"/>
      <c r="GZN31" s="15"/>
      <c r="GZO31" s="15"/>
      <c r="GZP31" s="15"/>
      <c r="GZQ31" s="15"/>
      <c r="GZR31" s="15"/>
      <c r="GZS31" s="15"/>
      <c r="GZT31" s="15"/>
      <c r="GZU31" s="15"/>
      <c r="GZV31" s="15"/>
      <c r="GZW31" s="15"/>
      <c r="GZX31" s="15"/>
      <c r="GZY31" s="15"/>
      <c r="GZZ31" s="15"/>
      <c r="HAA31" s="15"/>
      <c r="HAB31" s="15"/>
      <c r="HAC31" s="15"/>
      <c r="HAD31" s="15"/>
      <c r="HAE31" s="15"/>
      <c r="HAF31" s="15"/>
      <c r="HAG31" s="15"/>
      <c r="HAH31" s="15"/>
      <c r="HAI31" s="15"/>
      <c r="HAJ31" s="15"/>
      <c r="HAK31" s="15"/>
      <c r="HAL31" s="15"/>
      <c r="HAM31" s="15"/>
      <c r="HAN31" s="15"/>
      <c r="HAO31" s="15"/>
      <c r="HAP31" s="15"/>
      <c r="HAQ31" s="15"/>
      <c r="HAR31" s="15"/>
      <c r="HAS31" s="15"/>
      <c r="HAT31" s="15"/>
      <c r="HAU31" s="15"/>
      <c r="HAV31" s="15"/>
      <c r="HAW31" s="15"/>
      <c r="HAX31" s="15"/>
      <c r="HAY31" s="15"/>
      <c r="HAZ31" s="15"/>
      <c r="HBA31" s="15"/>
      <c r="HBB31" s="15"/>
      <c r="HBC31" s="15"/>
      <c r="HBD31" s="15"/>
      <c r="HBE31" s="15"/>
      <c r="HBF31" s="15"/>
      <c r="HBG31" s="15"/>
      <c r="HBH31" s="15"/>
      <c r="HBI31" s="15"/>
      <c r="HBJ31" s="15"/>
      <c r="HBK31" s="15"/>
      <c r="HBL31" s="15"/>
      <c r="HBM31" s="15"/>
      <c r="HBN31" s="15"/>
      <c r="HBO31" s="15"/>
      <c r="HBP31" s="15"/>
      <c r="HBQ31" s="15"/>
      <c r="HBR31" s="15"/>
      <c r="HBS31" s="15"/>
      <c r="HBT31" s="15"/>
      <c r="HBU31" s="15"/>
      <c r="HBV31" s="15"/>
      <c r="HBW31" s="15"/>
      <c r="HBX31" s="15"/>
      <c r="HBY31" s="15"/>
      <c r="HBZ31" s="15"/>
      <c r="HCA31" s="15"/>
      <c r="HCB31" s="15"/>
      <c r="HCC31" s="15"/>
      <c r="HCD31" s="15"/>
      <c r="HCE31" s="15"/>
      <c r="HCF31" s="15"/>
      <c r="HCG31" s="15"/>
      <c r="HCH31" s="15"/>
      <c r="HCI31" s="15"/>
      <c r="HCJ31" s="15"/>
      <c r="HCK31" s="15"/>
      <c r="HCL31" s="15"/>
      <c r="HCM31" s="15"/>
      <c r="HCN31" s="15"/>
      <c r="HCO31" s="15"/>
      <c r="HCP31" s="15"/>
      <c r="HCQ31" s="15"/>
      <c r="HCR31" s="15"/>
      <c r="HCS31" s="15"/>
      <c r="HCT31" s="15"/>
      <c r="HCU31" s="15"/>
      <c r="HCV31" s="15"/>
      <c r="HCW31" s="15"/>
      <c r="HCX31" s="15"/>
      <c r="HCY31" s="15"/>
      <c r="HCZ31" s="15"/>
      <c r="HDA31" s="15"/>
      <c r="HDB31" s="15"/>
      <c r="HDC31" s="15"/>
      <c r="HDD31" s="15"/>
      <c r="HDE31" s="15"/>
      <c r="HDF31" s="15"/>
      <c r="HDG31" s="15"/>
      <c r="HDH31" s="15"/>
      <c r="HDI31" s="15"/>
      <c r="HDJ31" s="15"/>
      <c r="HDK31" s="15"/>
      <c r="HDL31" s="15"/>
      <c r="HDM31" s="15"/>
      <c r="HDN31" s="15"/>
      <c r="HDO31" s="15"/>
      <c r="HDP31" s="15"/>
      <c r="HDQ31" s="15"/>
      <c r="HDR31" s="15"/>
      <c r="HDS31" s="15"/>
      <c r="HDT31" s="15"/>
      <c r="HDU31" s="15"/>
      <c r="HDV31" s="15"/>
      <c r="HDW31" s="15"/>
      <c r="HDX31" s="15"/>
      <c r="HDY31" s="15"/>
      <c r="HDZ31" s="15"/>
      <c r="HEA31" s="15"/>
      <c r="HEB31" s="15"/>
      <c r="HEC31" s="15"/>
      <c r="HED31" s="15"/>
      <c r="HEE31" s="15"/>
      <c r="HEF31" s="15"/>
      <c r="HEG31" s="15"/>
      <c r="HEH31" s="15"/>
      <c r="HEI31" s="15"/>
      <c r="HEJ31" s="15"/>
      <c r="HEK31" s="15"/>
      <c r="HEL31" s="15"/>
      <c r="HEM31" s="15"/>
      <c r="HEN31" s="15"/>
      <c r="HEO31" s="15"/>
      <c r="HEP31" s="15"/>
      <c r="HEQ31" s="15"/>
      <c r="HER31" s="15"/>
      <c r="HES31" s="15"/>
      <c r="HET31" s="15"/>
      <c r="HEU31" s="15"/>
      <c r="HEV31" s="15"/>
      <c r="HEW31" s="15"/>
      <c r="HEX31" s="15"/>
      <c r="HEY31" s="15"/>
      <c r="HEZ31" s="15"/>
      <c r="HFA31" s="15"/>
      <c r="HFB31" s="15"/>
      <c r="HFC31" s="15"/>
      <c r="HFD31" s="15"/>
      <c r="HFE31" s="15"/>
      <c r="HFF31" s="15"/>
      <c r="HFG31" s="15"/>
      <c r="HFH31" s="15"/>
      <c r="HFI31" s="15"/>
      <c r="HFJ31" s="15"/>
      <c r="HFK31" s="15"/>
      <c r="HFL31" s="15"/>
      <c r="HFM31" s="15"/>
      <c r="HFN31" s="15"/>
      <c r="HFO31" s="15"/>
      <c r="HFP31" s="15"/>
      <c r="HFQ31" s="15"/>
      <c r="HFR31" s="15"/>
      <c r="HFS31" s="15"/>
      <c r="HFT31" s="15"/>
      <c r="HFU31" s="15"/>
      <c r="HFV31" s="15"/>
      <c r="HFW31" s="15"/>
      <c r="HFX31" s="15"/>
      <c r="HFY31" s="15"/>
      <c r="HFZ31" s="15"/>
      <c r="HGA31" s="15"/>
      <c r="HGB31" s="15"/>
      <c r="HGC31" s="15"/>
      <c r="HGD31" s="15"/>
      <c r="HGE31" s="15"/>
      <c r="HGF31" s="15"/>
      <c r="HGG31" s="15"/>
      <c r="HGH31" s="15"/>
      <c r="HGI31" s="15"/>
      <c r="HGJ31" s="15"/>
      <c r="HGK31" s="15"/>
      <c r="HGL31" s="15"/>
      <c r="HGM31" s="15"/>
      <c r="HGN31" s="15"/>
      <c r="HGO31" s="15"/>
      <c r="HGP31" s="15"/>
      <c r="HGQ31" s="15"/>
      <c r="HGR31" s="15"/>
      <c r="HGS31" s="15"/>
      <c r="HGT31" s="15"/>
      <c r="HGU31" s="15"/>
      <c r="HGV31" s="15"/>
      <c r="HGW31" s="15"/>
      <c r="HGX31" s="15"/>
      <c r="HGY31" s="15"/>
      <c r="HGZ31" s="15"/>
      <c r="HHA31" s="15"/>
      <c r="HHB31" s="15"/>
      <c r="HHC31" s="15"/>
      <c r="HHD31" s="15"/>
      <c r="HHE31" s="15"/>
      <c r="HHF31" s="15"/>
      <c r="HHG31" s="15"/>
      <c r="HHH31" s="15"/>
      <c r="HHI31" s="15"/>
      <c r="HHJ31" s="15"/>
      <c r="HHK31" s="15"/>
      <c r="HHL31" s="15"/>
      <c r="HHM31" s="15"/>
      <c r="HHN31" s="15"/>
      <c r="HHO31" s="15"/>
      <c r="HHP31" s="15"/>
      <c r="HHQ31" s="15"/>
      <c r="HHR31" s="15"/>
      <c r="HHS31" s="15"/>
      <c r="HHT31" s="15"/>
      <c r="HHU31" s="15"/>
      <c r="HHV31" s="15"/>
      <c r="HHW31" s="15"/>
      <c r="HHX31" s="15"/>
      <c r="HHY31" s="15"/>
      <c r="HHZ31" s="15"/>
      <c r="HIA31" s="15"/>
      <c r="HIB31" s="15"/>
      <c r="HIC31" s="15"/>
      <c r="HID31" s="15"/>
      <c r="HIE31" s="15"/>
      <c r="HIF31" s="15"/>
      <c r="HIG31" s="15"/>
      <c r="HIH31" s="15"/>
      <c r="HII31" s="15"/>
      <c r="HIJ31" s="15"/>
      <c r="HIK31" s="15"/>
      <c r="HIL31" s="15"/>
      <c r="HIM31" s="15"/>
      <c r="HIN31" s="15"/>
      <c r="HIO31" s="15"/>
      <c r="HIP31" s="15"/>
      <c r="HIQ31" s="15"/>
      <c r="HIR31" s="15"/>
      <c r="HIS31" s="15"/>
      <c r="HIT31" s="15"/>
      <c r="HIU31" s="15"/>
      <c r="HIV31" s="15"/>
      <c r="HIW31" s="15"/>
      <c r="HIX31" s="15"/>
      <c r="HIY31" s="15"/>
      <c r="HIZ31" s="15"/>
      <c r="HJA31" s="15"/>
      <c r="HJB31" s="15"/>
      <c r="HJC31" s="15"/>
      <c r="HJD31" s="15"/>
      <c r="HJE31" s="15"/>
      <c r="HJF31" s="15"/>
      <c r="HJG31" s="15"/>
      <c r="HJH31" s="15"/>
      <c r="HJI31" s="15"/>
      <c r="HJJ31" s="15"/>
      <c r="HJK31" s="15"/>
      <c r="HJL31" s="15"/>
      <c r="HJM31" s="15"/>
      <c r="HJN31" s="15"/>
      <c r="HJO31" s="15"/>
      <c r="HJP31" s="15"/>
      <c r="HJQ31" s="15"/>
      <c r="HJR31" s="15"/>
      <c r="HJS31" s="15"/>
      <c r="HJT31" s="15"/>
      <c r="HJU31" s="15"/>
      <c r="HJV31" s="15"/>
      <c r="HJW31" s="15"/>
      <c r="HJX31" s="15"/>
      <c r="HJY31" s="15"/>
      <c r="HJZ31" s="15"/>
      <c r="HKA31" s="15"/>
      <c r="HKB31" s="15"/>
      <c r="HKC31" s="15"/>
      <c r="HKD31" s="15"/>
      <c r="HKE31" s="15"/>
      <c r="HKF31" s="15"/>
      <c r="HKG31" s="15"/>
      <c r="HKH31" s="15"/>
      <c r="HKI31" s="15"/>
      <c r="HKJ31" s="15"/>
      <c r="HKK31" s="15"/>
      <c r="HKL31" s="15"/>
      <c r="HKM31" s="15"/>
      <c r="HKN31" s="15"/>
      <c r="HKO31" s="15"/>
      <c r="HKP31" s="15"/>
      <c r="HKQ31" s="15"/>
      <c r="HKR31" s="15"/>
      <c r="HKS31" s="15"/>
      <c r="HKT31" s="15"/>
      <c r="HKU31" s="15"/>
      <c r="HKV31" s="15"/>
      <c r="HKW31" s="15"/>
      <c r="HKX31" s="15"/>
      <c r="HKY31" s="15"/>
      <c r="HKZ31" s="15"/>
      <c r="HLA31" s="15"/>
      <c r="HLB31" s="15"/>
      <c r="HLC31" s="15"/>
      <c r="HLD31" s="15"/>
      <c r="HLE31" s="15"/>
      <c r="HLF31" s="15"/>
      <c r="HLG31" s="15"/>
      <c r="HLH31" s="15"/>
      <c r="HLI31" s="15"/>
      <c r="HLJ31" s="15"/>
      <c r="HLK31" s="15"/>
      <c r="HLL31" s="15"/>
      <c r="HLM31" s="15"/>
      <c r="HLN31" s="15"/>
      <c r="HLO31" s="15"/>
      <c r="HLP31" s="15"/>
      <c r="HLQ31" s="15"/>
      <c r="HLR31" s="15"/>
      <c r="HLS31" s="15"/>
      <c r="HLT31" s="15"/>
      <c r="HLU31" s="15"/>
      <c r="HLV31" s="15"/>
      <c r="HLW31" s="15"/>
      <c r="HLX31" s="15"/>
      <c r="HLY31" s="15"/>
      <c r="HLZ31" s="15"/>
      <c r="HMA31" s="15"/>
      <c r="HMB31" s="15"/>
      <c r="HMC31" s="15"/>
      <c r="HMD31" s="15"/>
      <c r="HME31" s="15"/>
      <c r="HMF31" s="15"/>
      <c r="HMG31" s="15"/>
      <c r="HMH31" s="15"/>
      <c r="HMI31" s="15"/>
      <c r="HMJ31" s="15"/>
      <c r="HMK31" s="15"/>
      <c r="HML31" s="15"/>
      <c r="HMM31" s="15"/>
      <c r="HMN31" s="15"/>
      <c r="HMO31" s="15"/>
      <c r="HMP31" s="15"/>
      <c r="HMQ31" s="15"/>
      <c r="HMR31" s="15"/>
      <c r="HMS31" s="15"/>
      <c r="HMT31" s="15"/>
      <c r="HMU31" s="15"/>
      <c r="HMV31" s="15"/>
      <c r="HMW31" s="15"/>
      <c r="HMX31" s="15"/>
      <c r="HMY31" s="15"/>
      <c r="HMZ31" s="15"/>
      <c r="HNA31" s="15"/>
      <c r="HNB31" s="15"/>
      <c r="HNC31" s="15"/>
      <c r="HND31" s="15"/>
      <c r="HNE31" s="15"/>
      <c r="HNF31" s="15"/>
      <c r="HNG31" s="15"/>
      <c r="HNH31" s="15"/>
      <c r="HNI31" s="15"/>
      <c r="HNJ31" s="15"/>
      <c r="HNK31" s="15"/>
      <c r="HNL31" s="15"/>
      <c r="HNM31" s="15"/>
      <c r="HNN31" s="15"/>
      <c r="HNO31" s="15"/>
      <c r="HNP31" s="15"/>
      <c r="HNQ31" s="15"/>
      <c r="HNR31" s="15"/>
      <c r="HNS31" s="15"/>
      <c r="HNT31" s="15"/>
      <c r="HNU31" s="15"/>
      <c r="HNV31" s="15"/>
      <c r="HNW31" s="15"/>
      <c r="HNX31" s="15"/>
      <c r="HNY31" s="15"/>
      <c r="HNZ31" s="15"/>
      <c r="HOA31" s="15"/>
      <c r="HOB31" s="15"/>
      <c r="HOC31" s="15"/>
      <c r="HOD31" s="15"/>
      <c r="HOE31" s="15"/>
      <c r="HOF31" s="15"/>
      <c r="HOG31" s="15"/>
      <c r="HOH31" s="15"/>
      <c r="HOI31" s="15"/>
      <c r="HOJ31" s="15"/>
      <c r="HOK31" s="15"/>
      <c r="HOL31" s="15"/>
      <c r="HOM31" s="15"/>
      <c r="HON31" s="15"/>
      <c r="HOO31" s="15"/>
      <c r="HOP31" s="15"/>
      <c r="HOQ31" s="15"/>
      <c r="HOR31" s="15"/>
      <c r="HOS31" s="15"/>
      <c r="HOT31" s="15"/>
      <c r="HOU31" s="15"/>
      <c r="HOV31" s="15"/>
      <c r="HOW31" s="15"/>
      <c r="HOX31" s="15"/>
      <c r="HOY31" s="15"/>
      <c r="HOZ31" s="15"/>
      <c r="HPA31" s="15"/>
      <c r="HPB31" s="15"/>
      <c r="HPC31" s="15"/>
      <c r="HPD31" s="15"/>
      <c r="HPE31" s="15"/>
      <c r="HPF31" s="15"/>
      <c r="HPG31" s="15"/>
      <c r="HPH31" s="15"/>
      <c r="HPI31" s="15"/>
      <c r="HPJ31" s="15"/>
      <c r="HPK31" s="15"/>
      <c r="HPL31" s="15"/>
      <c r="HPM31" s="15"/>
      <c r="HPN31" s="15"/>
      <c r="HPO31" s="15"/>
      <c r="HPP31" s="15"/>
      <c r="HPQ31" s="15"/>
      <c r="HPR31" s="15"/>
      <c r="HPS31" s="15"/>
      <c r="HPT31" s="15"/>
      <c r="HPU31" s="15"/>
      <c r="HPV31" s="15"/>
      <c r="HPW31" s="15"/>
      <c r="HPX31" s="15"/>
      <c r="HPY31" s="15"/>
      <c r="HPZ31" s="15"/>
      <c r="HQA31" s="15"/>
      <c r="HQB31" s="15"/>
      <c r="HQC31" s="15"/>
      <c r="HQD31" s="15"/>
      <c r="HQE31" s="15"/>
      <c r="HQF31" s="15"/>
      <c r="HQG31" s="15"/>
      <c r="HQH31" s="15"/>
      <c r="HQI31" s="15"/>
      <c r="HQJ31" s="15"/>
      <c r="HQK31" s="15"/>
      <c r="HQL31" s="15"/>
      <c r="HQM31" s="15"/>
      <c r="HQN31" s="15"/>
      <c r="HQO31" s="15"/>
      <c r="HQP31" s="15"/>
      <c r="HQQ31" s="15"/>
      <c r="HQR31" s="15"/>
      <c r="HQS31" s="15"/>
      <c r="HQT31" s="15"/>
      <c r="HQU31" s="15"/>
      <c r="HQV31" s="15"/>
      <c r="HQW31" s="15"/>
      <c r="HQX31" s="15"/>
      <c r="HQY31" s="15"/>
      <c r="HQZ31" s="15"/>
      <c r="HRA31" s="15"/>
      <c r="HRB31" s="15"/>
      <c r="HRC31" s="15"/>
      <c r="HRD31" s="15"/>
      <c r="HRE31" s="15"/>
      <c r="HRF31" s="15"/>
      <c r="HRG31" s="15"/>
      <c r="HRH31" s="15"/>
      <c r="HRI31" s="15"/>
      <c r="HRJ31" s="15"/>
      <c r="HRK31" s="15"/>
      <c r="HRL31" s="15"/>
      <c r="HRM31" s="15"/>
      <c r="HRN31" s="15"/>
      <c r="HRO31" s="15"/>
      <c r="HRP31" s="15"/>
      <c r="HRQ31" s="15"/>
      <c r="HRR31" s="15"/>
      <c r="HRS31" s="15"/>
      <c r="HRT31" s="15"/>
      <c r="HRU31" s="15"/>
      <c r="HRV31" s="15"/>
      <c r="HRW31" s="15"/>
      <c r="HRX31" s="15"/>
      <c r="HRY31" s="15"/>
      <c r="HRZ31" s="15"/>
      <c r="HSA31" s="15"/>
      <c r="HSB31" s="15"/>
      <c r="HSC31" s="15"/>
      <c r="HSD31" s="15"/>
      <c r="HSE31" s="15"/>
      <c r="HSF31" s="15"/>
      <c r="HSG31" s="15"/>
      <c r="HSH31" s="15"/>
      <c r="HSI31" s="15"/>
      <c r="HSJ31" s="15"/>
      <c r="HSK31" s="15"/>
      <c r="HSL31" s="15"/>
      <c r="HSM31" s="15"/>
      <c r="HSN31" s="15"/>
      <c r="HSO31" s="15"/>
      <c r="HSP31" s="15"/>
      <c r="HSQ31" s="15"/>
      <c r="HSR31" s="15"/>
      <c r="HSS31" s="15"/>
      <c r="HST31" s="15"/>
      <c r="HSU31" s="15"/>
      <c r="HSV31" s="15"/>
      <c r="HSW31" s="15"/>
      <c r="HSX31" s="15"/>
      <c r="HSY31" s="15"/>
      <c r="HSZ31" s="15"/>
      <c r="HTA31" s="15"/>
      <c r="HTB31" s="15"/>
      <c r="HTC31" s="15"/>
      <c r="HTD31" s="15"/>
      <c r="HTE31" s="15"/>
      <c r="HTF31" s="15"/>
      <c r="HTG31" s="15"/>
      <c r="HTH31" s="15"/>
      <c r="HTI31" s="15"/>
      <c r="HTJ31" s="15"/>
      <c r="HTK31" s="15"/>
      <c r="HTL31" s="15"/>
      <c r="HTM31" s="15"/>
      <c r="HTN31" s="15"/>
      <c r="HTO31" s="15"/>
      <c r="HTP31" s="15"/>
      <c r="HTQ31" s="15"/>
      <c r="HTR31" s="15"/>
      <c r="HTS31" s="15"/>
      <c r="HTT31" s="15"/>
      <c r="HTU31" s="15"/>
      <c r="HTV31" s="15"/>
      <c r="HTW31" s="15"/>
      <c r="HTX31" s="15"/>
      <c r="HTY31" s="15"/>
      <c r="HTZ31" s="15"/>
      <c r="HUA31" s="15"/>
      <c r="HUB31" s="15"/>
      <c r="HUC31" s="15"/>
      <c r="HUD31" s="15"/>
      <c r="HUE31" s="15"/>
      <c r="HUF31" s="15"/>
      <c r="HUG31" s="15"/>
      <c r="HUH31" s="15"/>
      <c r="HUI31" s="15"/>
      <c r="HUJ31" s="15"/>
      <c r="HUK31" s="15"/>
      <c r="HUL31" s="15"/>
      <c r="HUM31" s="15"/>
      <c r="HUN31" s="15"/>
      <c r="HUO31" s="15"/>
      <c r="HUP31" s="15"/>
      <c r="HUQ31" s="15"/>
      <c r="HUR31" s="15"/>
      <c r="HUS31" s="15"/>
      <c r="HUT31" s="15"/>
      <c r="HUU31" s="15"/>
      <c r="HUV31" s="15"/>
      <c r="HUW31" s="15"/>
      <c r="HUX31" s="15"/>
      <c r="HUY31" s="15"/>
      <c r="HUZ31" s="15"/>
      <c r="HVA31" s="15"/>
      <c r="HVB31" s="15"/>
      <c r="HVC31" s="15"/>
      <c r="HVD31" s="15"/>
      <c r="HVE31" s="15"/>
      <c r="HVF31" s="15"/>
      <c r="HVG31" s="15"/>
      <c r="HVH31" s="15"/>
      <c r="HVI31" s="15"/>
      <c r="HVJ31" s="15"/>
      <c r="HVK31" s="15"/>
      <c r="HVL31" s="15"/>
      <c r="HVM31" s="15"/>
      <c r="HVN31" s="15"/>
      <c r="HVO31" s="15"/>
      <c r="HVP31" s="15"/>
      <c r="HVQ31" s="15"/>
      <c r="HVR31" s="15"/>
      <c r="HVS31" s="15"/>
      <c r="HVT31" s="15"/>
      <c r="HVU31" s="15"/>
      <c r="HVV31" s="15"/>
      <c r="HVW31" s="15"/>
      <c r="HVX31" s="15"/>
      <c r="HVY31" s="15"/>
      <c r="HVZ31" s="15"/>
      <c r="HWA31" s="15"/>
      <c r="HWB31" s="15"/>
      <c r="HWC31" s="15"/>
      <c r="HWD31" s="15"/>
      <c r="HWE31" s="15"/>
      <c r="HWF31" s="15"/>
      <c r="HWG31" s="15"/>
      <c r="HWH31" s="15"/>
      <c r="HWI31" s="15"/>
      <c r="HWJ31" s="15"/>
      <c r="HWK31" s="15"/>
      <c r="HWL31" s="15"/>
      <c r="HWM31" s="15"/>
      <c r="HWN31" s="15"/>
      <c r="HWO31" s="15"/>
      <c r="HWP31" s="15"/>
      <c r="HWQ31" s="15"/>
      <c r="HWR31" s="15"/>
      <c r="HWS31" s="15"/>
      <c r="HWT31" s="15"/>
      <c r="HWU31" s="15"/>
      <c r="HWV31" s="15"/>
      <c r="HWW31" s="15"/>
      <c r="HWX31" s="15"/>
      <c r="HWY31" s="15"/>
      <c r="HWZ31" s="15"/>
      <c r="HXA31" s="15"/>
      <c r="HXB31" s="15"/>
      <c r="HXC31" s="15"/>
      <c r="HXD31" s="15"/>
      <c r="HXE31" s="15"/>
      <c r="HXF31" s="15"/>
      <c r="HXG31" s="15"/>
      <c r="HXH31" s="15"/>
      <c r="HXI31" s="15"/>
      <c r="HXJ31" s="15"/>
      <c r="HXK31" s="15"/>
      <c r="HXL31" s="15"/>
      <c r="HXM31" s="15"/>
      <c r="HXN31" s="15"/>
      <c r="HXO31" s="15"/>
      <c r="HXP31" s="15"/>
      <c r="HXQ31" s="15"/>
      <c r="HXR31" s="15"/>
      <c r="HXS31" s="15"/>
      <c r="HXT31" s="15"/>
      <c r="HXU31" s="15"/>
      <c r="HXV31" s="15"/>
      <c r="HXW31" s="15"/>
      <c r="HXX31" s="15"/>
      <c r="HXY31" s="15"/>
      <c r="HXZ31" s="15"/>
      <c r="HYA31" s="15"/>
      <c r="HYB31" s="15"/>
      <c r="HYC31" s="15"/>
      <c r="HYD31" s="15"/>
      <c r="HYE31" s="15"/>
      <c r="HYF31" s="15"/>
      <c r="HYG31" s="15"/>
      <c r="HYH31" s="15"/>
      <c r="HYI31" s="15"/>
      <c r="HYJ31" s="15"/>
      <c r="HYK31" s="15"/>
      <c r="HYL31" s="15"/>
      <c r="HYM31" s="15"/>
      <c r="HYN31" s="15"/>
      <c r="HYO31" s="15"/>
      <c r="HYP31" s="15"/>
      <c r="HYQ31" s="15"/>
      <c r="HYR31" s="15"/>
      <c r="HYS31" s="15"/>
      <c r="HYT31" s="15"/>
      <c r="HYU31" s="15"/>
      <c r="HYV31" s="15"/>
      <c r="HYW31" s="15"/>
      <c r="HYX31" s="15"/>
      <c r="HYY31" s="15"/>
      <c r="HYZ31" s="15"/>
      <c r="HZA31" s="15"/>
      <c r="HZB31" s="15"/>
      <c r="HZC31" s="15"/>
      <c r="HZD31" s="15"/>
      <c r="HZE31" s="15"/>
      <c r="HZF31" s="15"/>
      <c r="HZG31" s="15"/>
      <c r="HZH31" s="15"/>
      <c r="HZI31" s="15"/>
      <c r="HZJ31" s="15"/>
      <c r="HZK31" s="15"/>
      <c r="HZL31" s="15"/>
      <c r="HZM31" s="15"/>
      <c r="HZN31" s="15"/>
      <c r="HZO31" s="15"/>
      <c r="HZP31" s="15"/>
      <c r="HZQ31" s="15"/>
      <c r="HZR31" s="15"/>
      <c r="HZS31" s="15"/>
      <c r="HZT31" s="15"/>
      <c r="HZU31" s="15"/>
      <c r="HZV31" s="15"/>
      <c r="HZW31" s="15"/>
      <c r="HZX31" s="15"/>
      <c r="HZY31" s="15"/>
      <c r="HZZ31" s="15"/>
      <c r="IAA31" s="15"/>
      <c r="IAB31" s="15"/>
      <c r="IAC31" s="15"/>
      <c r="IAD31" s="15"/>
      <c r="IAE31" s="15"/>
      <c r="IAF31" s="15"/>
      <c r="IAG31" s="15"/>
      <c r="IAH31" s="15"/>
      <c r="IAI31" s="15"/>
      <c r="IAJ31" s="15"/>
      <c r="IAK31" s="15"/>
      <c r="IAL31" s="15"/>
      <c r="IAM31" s="15"/>
      <c r="IAN31" s="15"/>
      <c r="IAO31" s="15"/>
      <c r="IAP31" s="15"/>
      <c r="IAQ31" s="15"/>
      <c r="IAR31" s="15"/>
      <c r="IAS31" s="15"/>
      <c r="IAT31" s="15"/>
      <c r="IAU31" s="15"/>
      <c r="IAV31" s="15"/>
      <c r="IAW31" s="15"/>
      <c r="IAX31" s="15"/>
      <c r="IAY31" s="15"/>
      <c r="IAZ31" s="15"/>
      <c r="IBA31" s="15"/>
      <c r="IBB31" s="15"/>
      <c r="IBC31" s="15"/>
      <c r="IBD31" s="15"/>
      <c r="IBE31" s="15"/>
      <c r="IBF31" s="15"/>
      <c r="IBG31" s="15"/>
      <c r="IBH31" s="15"/>
      <c r="IBI31" s="15"/>
      <c r="IBJ31" s="15"/>
      <c r="IBK31" s="15"/>
      <c r="IBL31" s="15"/>
      <c r="IBM31" s="15"/>
      <c r="IBN31" s="15"/>
      <c r="IBO31" s="15"/>
      <c r="IBP31" s="15"/>
      <c r="IBQ31" s="15"/>
      <c r="IBR31" s="15"/>
      <c r="IBS31" s="15"/>
      <c r="IBT31" s="15"/>
      <c r="IBU31" s="15"/>
      <c r="IBV31" s="15"/>
      <c r="IBW31" s="15"/>
      <c r="IBX31" s="15"/>
      <c r="IBY31" s="15"/>
      <c r="IBZ31" s="15"/>
      <c r="ICA31" s="15"/>
      <c r="ICB31" s="15"/>
      <c r="ICC31" s="15"/>
      <c r="ICD31" s="15"/>
      <c r="ICE31" s="15"/>
      <c r="ICF31" s="15"/>
      <c r="ICG31" s="15"/>
      <c r="ICH31" s="15"/>
      <c r="ICI31" s="15"/>
      <c r="ICJ31" s="15"/>
      <c r="ICK31" s="15"/>
      <c r="ICL31" s="15"/>
      <c r="ICM31" s="15"/>
      <c r="ICN31" s="15"/>
      <c r="ICO31" s="15"/>
      <c r="ICP31" s="15"/>
      <c r="ICQ31" s="15"/>
      <c r="ICR31" s="15"/>
      <c r="ICS31" s="15"/>
      <c r="ICT31" s="15"/>
      <c r="ICU31" s="15"/>
      <c r="ICV31" s="15"/>
      <c r="ICW31" s="15"/>
      <c r="ICX31" s="15"/>
      <c r="ICY31" s="15"/>
      <c r="ICZ31" s="15"/>
      <c r="IDA31" s="15"/>
      <c r="IDB31" s="15"/>
      <c r="IDC31" s="15"/>
      <c r="IDD31" s="15"/>
      <c r="IDE31" s="15"/>
      <c r="IDF31" s="15"/>
      <c r="IDG31" s="15"/>
      <c r="IDH31" s="15"/>
      <c r="IDI31" s="15"/>
      <c r="IDJ31" s="15"/>
      <c r="IDK31" s="15"/>
      <c r="IDL31" s="15"/>
      <c r="IDM31" s="15"/>
      <c r="IDN31" s="15"/>
      <c r="IDO31" s="15"/>
      <c r="IDP31" s="15"/>
      <c r="IDQ31" s="15"/>
      <c r="IDR31" s="15"/>
      <c r="IDS31" s="15"/>
      <c r="IDT31" s="15"/>
      <c r="IDU31" s="15"/>
      <c r="IDV31" s="15"/>
      <c r="IDW31" s="15"/>
      <c r="IDX31" s="15"/>
      <c r="IDY31" s="15"/>
      <c r="IDZ31" s="15"/>
      <c r="IEA31" s="15"/>
      <c r="IEB31" s="15"/>
      <c r="IEC31" s="15"/>
      <c r="IED31" s="15"/>
      <c r="IEE31" s="15"/>
      <c r="IEF31" s="15"/>
      <c r="IEG31" s="15"/>
      <c r="IEH31" s="15"/>
      <c r="IEI31" s="15"/>
      <c r="IEJ31" s="15"/>
      <c r="IEK31" s="15"/>
      <c r="IEL31" s="15"/>
      <c r="IEM31" s="15"/>
      <c r="IEN31" s="15"/>
      <c r="IEO31" s="15"/>
      <c r="IEP31" s="15"/>
      <c r="IEQ31" s="15"/>
      <c r="IER31" s="15"/>
      <c r="IES31" s="15"/>
      <c r="IET31" s="15"/>
      <c r="IEU31" s="15"/>
      <c r="IEV31" s="15"/>
      <c r="IEW31" s="15"/>
      <c r="IEX31" s="15"/>
      <c r="IEY31" s="15"/>
      <c r="IEZ31" s="15"/>
      <c r="IFA31" s="15"/>
      <c r="IFB31" s="15"/>
      <c r="IFC31" s="15"/>
      <c r="IFD31" s="15"/>
      <c r="IFE31" s="15"/>
      <c r="IFF31" s="15"/>
      <c r="IFG31" s="15"/>
      <c r="IFH31" s="15"/>
      <c r="IFI31" s="15"/>
      <c r="IFJ31" s="15"/>
      <c r="IFK31" s="15"/>
      <c r="IFL31" s="15"/>
      <c r="IFM31" s="15"/>
      <c r="IFN31" s="15"/>
      <c r="IFO31" s="15"/>
      <c r="IFP31" s="15"/>
      <c r="IFQ31" s="15"/>
      <c r="IFR31" s="15"/>
      <c r="IFS31" s="15"/>
      <c r="IFT31" s="15"/>
      <c r="IFU31" s="15"/>
      <c r="IFV31" s="15"/>
      <c r="IFW31" s="15"/>
      <c r="IFX31" s="15"/>
      <c r="IFY31" s="15"/>
      <c r="IFZ31" s="15"/>
      <c r="IGA31" s="15"/>
      <c r="IGB31" s="15"/>
      <c r="IGC31" s="15"/>
      <c r="IGD31" s="15"/>
      <c r="IGE31" s="15"/>
      <c r="IGF31" s="15"/>
      <c r="IGG31" s="15"/>
      <c r="IGH31" s="15"/>
      <c r="IGI31" s="15"/>
      <c r="IGJ31" s="15"/>
      <c r="IGK31" s="15"/>
      <c r="IGL31" s="15"/>
      <c r="IGM31" s="15"/>
      <c r="IGN31" s="15"/>
      <c r="IGO31" s="15"/>
      <c r="IGP31" s="15"/>
      <c r="IGQ31" s="15"/>
      <c r="IGR31" s="15"/>
      <c r="IGS31" s="15"/>
      <c r="IGT31" s="15"/>
      <c r="IGU31" s="15"/>
      <c r="IGV31" s="15"/>
      <c r="IGW31" s="15"/>
      <c r="IGX31" s="15"/>
      <c r="IGY31" s="15"/>
      <c r="IGZ31" s="15"/>
      <c r="IHA31" s="15"/>
      <c r="IHB31" s="15"/>
      <c r="IHC31" s="15"/>
      <c r="IHD31" s="15"/>
      <c r="IHE31" s="15"/>
      <c r="IHF31" s="15"/>
      <c r="IHG31" s="15"/>
      <c r="IHH31" s="15"/>
      <c r="IHI31" s="15"/>
      <c r="IHJ31" s="15"/>
      <c r="IHK31" s="15"/>
      <c r="IHL31" s="15"/>
      <c r="IHM31" s="15"/>
      <c r="IHN31" s="15"/>
      <c r="IHO31" s="15"/>
      <c r="IHP31" s="15"/>
      <c r="IHQ31" s="15"/>
      <c r="IHR31" s="15"/>
      <c r="IHS31" s="15"/>
      <c r="IHT31" s="15"/>
      <c r="IHU31" s="15"/>
      <c r="IHV31" s="15"/>
      <c r="IHW31" s="15"/>
      <c r="IHX31" s="15"/>
      <c r="IHY31" s="15"/>
      <c r="IHZ31" s="15"/>
      <c r="IIA31" s="15"/>
      <c r="IIB31" s="15"/>
      <c r="IIC31" s="15"/>
      <c r="IID31" s="15"/>
      <c r="IIE31" s="15"/>
      <c r="IIF31" s="15"/>
      <c r="IIG31" s="15"/>
      <c r="IIH31" s="15"/>
      <c r="III31" s="15"/>
      <c r="IIJ31" s="15"/>
      <c r="IIK31" s="15"/>
      <c r="IIL31" s="15"/>
      <c r="IIM31" s="15"/>
      <c r="IIN31" s="15"/>
      <c r="IIO31" s="15"/>
      <c r="IIP31" s="15"/>
      <c r="IIQ31" s="15"/>
      <c r="IIR31" s="15"/>
      <c r="IIS31" s="15"/>
      <c r="IIT31" s="15"/>
      <c r="IIU31" s="15"/>
      <c r="IIV31" s="15"/>
      <c r="IIW31" s="15"/>
      <c r="IIX31" s="15"/>
      <c r="IIY31" s="15"/>
      <c r="IIZ31" s="15"/>
      <c r="IJA31" s="15"/>
      <c r="IJB31" s="15"/>
      <c r="IJC31" s="15"/>
      <c r="IJD31" s="15"/>
      <c r="IJE31" s="15"/>
      <c r="IJF31" s="15"/>
      <c r="IJG31" s="15"/>
      <c r="IJH31" s="15"/>
      <c r="IJI31" s="15"/>
      <c r="IJJ31" s="15"/>
      <c r="IJK31" s="15"/>
      <c r="IJL31" s="15"/>
      <c r="IJM31" s="15"/>
      <c r="IJN31" s="15"/>
      <c r="IJO31" s="15"/>
      <c r="IJP31" s="15"/>
      <c r="IJQ31" s="15"/>
      <c r="IJR31" s="15"/>
      <c r="IJS31" s="15"/>
      <c r="IJT31" s="15"/>
      <c r="IJU31" s="15"/>
      <c r="IJV31" s="15"/>
      <c r="IJW31" s="15"/>
      <c r="IJX31" s="15"/>
      <c r="IJY31" s="15"/>
      <c r="IJZ31" s="15"/>
      <c r="IKA31" s="15"/>
      <c r="IKB31" s="15"/>
      <c r="IKC31" s="15"/>
      <c r="IKD31" s="15"/>
      <c r="IKE31" s="15"/>
      <c r="IKF31" s="15"/>
      <c r="IKG31" s="15"/>
      <c r="IKH31" s="15"/>
      <c r="IKI31" s="15"/>
      <c r="IKJ31" s="15"/>
      <c r="IKK31" s="15"/>
      <c r="IKL31" s="15"/>
      <c r="IKM31" s="15"/>
      <c r="IKN31" s="15"/>
      <c r="IKO31" s="15"/>
      <c r="IKP31" s="15"/>
      <c r="IKQ31" s="15"/>
      <c r="IKR31" s="15"/>
      <c r="IKS31" s="15"/>
      <c r="IKT31" s="15"/>
      <c r="IKU31" s="15"/>
      <c r="IKV31" s="15"/>
      <c r="IKW31" s="15"/>
      <c r="IKX31" s="15"/>
      <c r="IKY31" s="15"/>
      <c r="IKZ31" s="15"/>
      <c r="ILA31" s="15"/>
      <c r="ILB31" s="15"/>
      <c r="ILC31" s="15"/>
      <c r="ILD31" s="15"/>
      <c r="ILE31" s="15"/>
      <c r="ILF31" s="15"/>
      <c r="ILG31" s="15"/>
      <c r="ILH31" s="15"/>
      <c r="ILI31" s="15"/>
      <c r="ILJ31" s="15"/>
      <c r="ILK31" s="15"/>
      <c r="ILL31" s="15"/>
      <c r="ILM31" s="15"/>
      <c r="ILN31" s="15"/>
      <c r="ILO31" s="15"/>
      <c r="ILP31" s="15"/>
      <c r="ILQ31" s="15"/>
      <c r="ILR31" s="15"/>
      <c r="ILS31" s="15"/>
      <c r="ILT31" s="15"/>
      <c r="ILU31" s="15"/>
      <c r="ILV31" s="15"/>
      <c r="ILW31" s="15"/>
      <c r="ILX31" s="15"/>
      <c r="ILY31" s="15"/>
      <c r="ILZ31" s="15"/>
      <c r="IMA31" s="15"/>
      <c r="IMB31" s="15"/>
      <c r="IMC31" s="15"/>
      <c r="IMD31" s="15"/>
      <c r="IME31" s="15"/>
      <c r="IMF31" s="15"/>
      <c r="IMG31" s="15"/>
      <c r="IMH31" s="15"/>
      <c r="IMI31" s="15"/>
      <c r="IMJ31" s="15"/>
      <c r="IMK31" s="15"/>
      <c r="IML31" s="15"/>
      <c r="IMM31" s="15"/>
      <c r="IMN31" s="15"/>
      <c r="IMO31" s="15"/>
      <c r="IMP31" s="15"/>
      <c r="IMQ31" s="15"/>
      <c r="IMR31" s="15"/>
      <c r="IMS31" s="15"/>
      <c r="IMT31" s="15"/>
      <c r="IMU31" s="15"/>
      <c r="IMV31" s="15"/>
      <c r="IMW31" s="15"/>
      <c r="IMX31" s="15"/>
      <c r="IMY31" s="15"/>
      <c r="IMZ31" s="15"/>
      <c r="INA31" s="15"/>
      <c r="INB31" s="15"/>
      <c r="INC31" s="15"/>
      <c r="IND31" s="15"/>
      <c r="INE31" s="15"/>
      <c r="INF31" s="15"/>
      <c r="ING31" s="15"/>
      <c r="INH31" s="15"/>
      <c r="INI31" s="15"/>
      <c r="INJ31" s="15"/>
      <c r="INK31" s="15"/>
      <c r="INL31" s="15"/>
      <c r="INM31" s="15"/>
      <c r="INN31" s="15"/>
      <c r="INO31" s="15"/>
      <c r="INP31" s="15"/>
      <c r="INQ31" s="15"/>
      <c r="INR31" s="15"/>
      <c r="INS31" s="15"/>
      <c r="INT31" s="15"/>
      <c r="INU31" s="15"/>
      <c r="INV31" s="15"/>
      <c r="INW31" s="15"/>
      <c r="INX31" s="15"/>
      <c r="INY31" s="15"/>
      <c r="INZ31" s="15"/>
      <c r="IOA31" s="15"/>
      <c r="IOB31" s="15"/>
      <c r="IOC31" s="15"/>
      <c r="IOD31" s="15"/>
      <c r="IOE31" s="15"/>
      <c r="IOF31" s="15"/>
      <c r="IOG31" s="15"/>
      <c r="IOH31" s="15"/>
      <c r="IOI31" s="15"/>
      <c r="IOJ31" s="15"/>
      <c r="IOK31" s="15"/>
      <c r="IOL31" s="15"/>
      <c r="IOM31" s="15"/>
      <c r="ION31" s="15"/>
      <c r="IOO31" s="15"/>
      <c r="IOP31" s="15"/>
      <c r="IOQ31" s="15"/>
      <c r="IOR31" s="15"/>
      <c r="IOS31" s="15"/>
      <c r="IOT31" s="15"/>
      <c r="IOU31" s="15"/>
      <c r="IOV31" s="15"/>
      <c r="IOW31" s="15"/>
      <c r="IOX31" s="15"/>
      <c r="IOY31" s="15"/>
      <c r="IOZ31" s="15"/>
      <c r="IPA31" s="15"/>
      <c r="IPB31" s="15"/>
      <c r="IPC31" s="15"/>
      <c r="IPD31" s="15"/>
      <c r="IPE31" s="15"/>
      <c r="IPF31" s="15"/>
      <c r="IPG31" s="15"/>
      <c r="IPH31" s="15"/>
      <c r="IPI31" s="15"/>
      <c r="IPJ31" s="15"/>
      <c r="IPK31" s="15"/>
      <c r="IPL31" s="15"/>
      <c r="IPM31" s="15"/>
      <c r="IPN31" s="15"/>
      <c r="IPO31" s="15"/>
      <c r="IPP31" s="15"/>
      <c r="IPQ31" s="15"/>
      <c r="IPR31" s="15"/>
      <c r="IPS31" s="15"/>
      <c r="IPT31" s="15"/>
      <c r="IPU31" s="15"/>
      <c r="IPV31" s="15"/>
      <c r="IPW31" s="15"/>
      <c r="IPX31" s="15"/>
      <c r="IPY31" s="15"/>
      <c r="IPZ31" s="15"/>
      <c r="IQA31" s="15"/>
      <c r="IQB31" s="15"/>
      <c r="IQC31" s="15"/>
      <c r="IQD31" s="15"/>
      <c r="IQE31" s="15"/>
      <c r="IQF31" s="15"/>
      <c r="IQG31" s="15"/>
      <c r="IQH31" s="15"/>
      <c r="IQI31" s="15"/>
      <c r="IQJ31" s="15"/>
      <c r="IQK31" s="15"/>
      <c r="IQL31" s="15"/>
      <c r="IQM31" s="15"/>
      <c r="IQN31" s="15"/>
      <c r="IQO31" s="15"/>
      <c r="IQP31" s="15"/>
      <c r="IQQ31" s="15"/>
      <c r="IQR31" s="15"/>
      <c r="IQS31" s="15"/>
      <c r="IQT31" s="15"/>
      <c r="IQU31" s="15"/>
      <c r="IQV31" s="15"/>
      <c r="IQW31" s="15"/>
      <c r="IQX31" s="15"/>
      <c r="IQY31" s="15"/>
      <c r="IQZ31" s="15"/>
      <c r="IRA31" s="15"/>
      <c r="IRB31" s="15"/>
      <c r="IRC31" s="15"/>
      <c r="IRD31" s="15"/>
      <c r="IRE31" s="15"/>
      <c r="IRF31" s="15"/>
      <c r="IRG31" s="15"/>
      <c r="IRH31" s="15"/>
      <c r="IRI31" s="15"/>
      <c r="IRJ31" s="15"/>
      <c r="IRK31" s="15"/>
      <c r="IRL31" s="15"/>
      <c r="IRM31" s="15"/>
      <c r="IRN31" s="15"/>
      <c r="IRO31" s="15"/>
      <c r="IRP31" s="15"/>
      <c r="IRQ31" s="15"/>
      <c r="IRR31" s="15"/>
      <c r="IRS31" s="15"/>
      <c r="IRT31" s="15"/>
      <c r="IRU31" s="15"/>
      <c r="IRV31" s="15"/>
      <c r="IRW31" s="15"/>
      <c r="IRX31" s="15"/>
      <c r="IRY31" s="15"/>
      <c r="IRZ31" s="15"/>
      <c r="ISA31" s="15"/>
      <c r="ISB31" s="15"/>
      <c r="ISC31" s="15"/>
      <c r="ISD31" s="15"/>
      <c r="ISE31" s="15"/>
      <c r="ISF31" s="15"/>
      <c r="ISG31" s="15"/>
      <c r="ISH31" s="15"/>
      <c r="ISI31" s="15"/>
      <c r="ISJ31" s="15"/>
      <c r="ISK31" s="15"/>
      <c r="ISL31" s="15"/>
      <c r="ISM31" s="15"/>
      <c r="ISN31" s="15"/>
      <c r="ISO31" s="15"/>
      <c r="ISP31" s="15"/>
      <c r="ISQ31" s="15"/>
      <c r="ISR31" s="15"/>
      <c r="ISS31" s="15"/>
      <c r="IST31" s="15"/>
      <c r="ISU31" s="15"/>
      <c r="ISV31" s="15"/>
      <c r="ISW31" s="15"/>
      <c r="ISX31" s="15"/>
      <c r="ISY31" s="15"/>
      <c r="ISZ31" s="15"/>
      <c r="ITA31" s="15"/>
      <c r="ITB31" s="15"/>
      <c r="ITC31" s="15"/>
      <c r="ITD31" s="15"/>
      <c r="ITE31" s="15"/>
      <c r="ITF31" s="15"/>
      <c r="ITG31" s="15"/>
      <c r="ITH31" s="15"/>
      <c r="ITI31" s="15"/>
      <c r="ITJ31" s="15"/>
      <c r="ITK31" s="15"/>
      <c r="ITL31" s="15"/>
      <c r="ITM31" s="15"/>
      <c r="ITN31" s="15"/>
      <c r="ITO31" s="15"/>
      <c r="ITP31" s="15"/>
      <c r="ITQ31" s="15"/>
      <c r="ITR31" s="15"/>
      <c r="ITS31" s="15"/>
      <c r="ITT31" s="15"/>
      <c r="ITU31" s="15"/>
      <c r="ITV31" s="15"/>
      <c r="ITW31" s="15"/>
      <c r="ITX31" s="15"/>
      <c r="ITY31" s="15"/>
      <c r="ITZ31" s="15"/>
      <c r="IUA31" s="15"/>
      <c r="IUB31" s="15"/>
      <c r="IUC31" s="15"/>
      <c r="IUD31" s="15"/>
      <c r="IUE31" s="15"/>
      <c r="IUF31" s="15"/>
      <c r="IUG31" s="15"/>
      <c r="IUH31" s="15"/>
      <c r="IUI31" s="15"/>
      <c r="IUJ31" s="15"/>
      <c r="IUK31" s="15"/>
      <c r="IUL31" s="15"/>
      <c r="IUM31" s="15"/>
      <c r="IUN31" s="15"/>
      <c r="IUO31" s="15"/>
      <c r="IUP31" s="15"/>
      <c r="IUQ31" s="15"/>
      <c r="IUR31" s="15"/>
      <c r="IUS31" s="15"/>
      <c r="IUT31" s="15"/>
      <c r="IUU31" s="15"/>
      <c r="IUV31" s="15"/>
      <c r="IUW31" s="15"/>
      <c r="IUX31" s="15"/>
      <c r="IUY31" s="15"/>
      <c r="IUZ31" s="15"/>
      <c r="IVA31" s="15"/>
      <c r="IVB31" s="15"/>
      <c r="IVC31" s="15"/>
      <c r="IVD31" s="15"/>
      <c r="IVE31" s="15"/>
      <c r="IVF31" s="15"/>
      <c r="IVG31" s="15"/>
      <c r="IVH31" s="15"/>
      <c r="IVI31" s="15"/>
      <c r="IVJ31" s="15"/>
      <c r="IVK31" s="15"/>
      <c r="IVL31" s="15"/>
      <c r="IVM31" s="15"/>
      <c r="IVN31" s="15"/>
      <c r="IVO31" s="15"/>
      <c r="IVP31" s="15"/>
      <c r="IVQ31" s="15"/>
      <c r="IVR31" s="15"/>
      <c r="IVS31" s="15"/>
      <c r="IVT31" s="15"/>
      <c r="IVU31" s="15"/>
      <c r="IVV31" s="15"/>
      <c r="IVW31" s="15"/>
      <c r="IVX31" s="15"/>
      <c r="IVY31" s="15"/>
      <c r="IVZ31" s="15"/>
      <c r="IWA31" s="15"/>
      <c r="IWB31" s="15"/>
      <c r="IWC31" s="15"/>
      <c r="IWD31" s="15"/>
      <c r="IWE31" s="15"/>
      <c r="IWF31" s="15"/>
      <c r="IWG31" s="15"/>
      <c r="IWH31" s="15"/>
      <c r="IWI31" s="15"/>
      <c r="IWJ31" s="15"/>
      <c r="IWK31" s="15"/>
      <c r="IWL31" s="15"/>
      <c r="IWM31" s="15"/>
      <c r="IWN31" s="15"/>
      <c r="IWO31" s="15"/>
      <c r="IWP31" s="15"/>
      <c r="IWQ31" s="15"/>
      <c r="IWR31" s="15"/>
      <c r="IWS31" s="15"/>
      <c r="IWT31" s="15"/>
      <c r="IWU31" s="15"/>
      <c r="IWV31" s="15"/>
      <c r="IWW31" s="15"/>
      <c r="IWX31" s="15"/>
      <c r="IWY31" s="15"/>
      <c r="IWZ31" s="15"/>
      <c r="IXA31" s="15"/>
      <c r="IXB31" s="15"/>
      <c r="IXC31" s="15"/>
      <c r="IXD31" s="15"/>
      <c r="IXE31" s="15"/>
      <c r="IXF31" s="15"/>
      <c r="IXG31" s="15"/>
      <c r="IXH31" s="15"/>
      <c r="IXI31" s="15"/>
      <c r="IXJ31" s="15"/>
      <c r="IXK31" s="15"/>
      <c r="IXL31" s="15"/>
      <c r="IXM31" s="15"/>
      <c r="IXN31" s="15"/>
      <c r="IXO31" s="15"/>
      <c r="IXP31" s="15"/>
      <c r="IXQ31" s="15"/>
      <c r="IXR31" s="15"/>
      <c r="IXS31" s="15"/>
      <c r="IXT31" s="15"/>
      <c r="IXU31" s="15"/>
      <c r="IXV31" s="15"/>
      <c r="IXW31" s="15"/>
      <c r="IXX31" s="15"/>
      <c r="IXY31" s="15"/>
      <c r="IXZ31" s="15"/>
      <c r="IYA31" s="15"/>
      <c r="IYB31" s="15"/>
      <c r="IYC31" s="15"/>
      <c r="IYD31" s="15"/>
      <c r="IYE31" s="15"/>
      <c r="IYF31" s="15"/>
      <c r="IYG31" s="15"/>
      <c r="IYH31" s="15"/>
      <c r="IYI31" s="15"/>
      <c r="IYJ31" s="15"/>
      <c r="IYK31" s="15"/>
      <c r="IYL31" s="15"/>
      <c r="IYM31" s="15"/>
      <c r="IYN31" s="15"/>
      <c r="IYO31" s="15"/>
      <c r="IYP31" s="15"/>
      <c r="IYQ31" s="15"/>
      <c r="IYR31" s="15"/>
      <c r="IYS31" s="15"/>
      <c r="IYT31" s="15"/>
      <c r="IYU31" s="15"/>
      <c r="IYV31" s="15"/>
      <c r="IYW31" s="15"/>
      <c r="IYX31" s="15"/>
      <c r="IYY31" s="15"/>
      <c r="IYZ31" s="15"/>
      <c r="IZA31" s="15"/>
      <c r="IZB31" s="15"/>
      <c r="IZC31" s="15"/>
      <c r="IZD31" s="15"/>
      <c r="IZE31" s="15"/>
      <c r="IZF31" s="15"/>
      <c r="IZG31" s="15"/>
      <c r="IZH31" s="15"/>
      <c r="IZI31" s="15"/>
      <c r="IZJ31" s="15"/>
      <c r="IZK31" s="15"/>
      <c r="IZL31" s="15"/>
      <c r="IZM31" s="15"/>
      <c r="IZN31" s="15"/>
      <c r="IZO31" s="15"/>
      <c r="IZP31" s="15"/>
      <c r="IZQ31" s="15"/>
      <c r="IZR31" s="15"/>
      <c r="IZS31" s="15"/>
      <c r="IZT31" s="15"/>
      <c r="IZU31" s="15"/>
      <c r="IZV31" s="15"/>
      <c r="IZW31" s="15"/>
      <c r="IZX31" s="15"/>
      <c r="IZY31" s="15"/>
      <c r="IZZ31" s="15"/>
      <c r="JAA31" s="15"/>
      <c r="JAB31" s="15"/>
      <c r="JAC31" s="15"/>
      <c r="JAD31" s="15"/>
      <c r="JAE31" s="15"/>
      <c r="JAF31" s="15"/>
      <c r="JAG31" s="15"/>
      <c r="JAH31" s="15"/>
      <c r="JAI31" s="15"/>
      <c r="JAJ31" s="15"/>
      <c r="JAK31" s="15"/>
      <c r="JAL31" s="15"/>
      <c r="JAM31" s="15"/>
      <c r="JAN31" s="15"/>
      <c r="JAO31" s="15"/>
      <c r="JAP31" s="15"/>
      <c r="JAQ31" s="15"/>
      <c r="JAR31" s="15"/>
      <c r="JAS31" s="15"/>
      <c r="JAT31" s="15"/>
      <c r="JAU31" s="15"/>
      <c r="JAV31" s="15"/>
      <c r="JAW31" s="15"/>
      <c r="JAX31" s="15"/>
      <c r="JAY31" s="15"/>
      <c r="JAZ31" s="15"/>
      <c r="JBA31" s="15"/>
      <c r="JBB31" s="15"/>
      <c r="JBC31" s="15"/>
      <c r="JBD31" s="15"/>
      <c r="JBE31" s="15"/>
      <c r="JBF31" s="15"/>
      <c r="JBG31" s="15"/>
      <c r="JBH31" s="15"/>
      <c r="JBI31" s="15"/>
      <c r="JBJ31" s="15"/>
      <c r="JBK31" s="15"/>
      <c r="JBL31" s="15"/>
      <c r="JBM31" s="15"/>
      <c r="JBN31" s="15"/>
      <c r="JBO31" s="15"/>
      <c r="JBP31" s="15"/>
      <c r="JBQ31" s="15"/>
      <c r="JBR31" s="15"/>
      <c r="JBS31" s="15"/>
      <c r="JBT31" s="15"/>
      <c r="JBU31" s="15"/>
      <c r="JBV31" s="15"/>
      <c r="JBW31" s="15"/>
      <c r="JBX31" s="15"/>
      <c r="JBY31" s="15"/>
      <c r="JBZ31" s="15"/>
      <c r="JCA31" s="15"/>
      <c r="JCB31" s="15"/>
      <c r="JCC31" s="15"/>
      <c r="JCD31" s="15"/>
      <c r="JCE31" s="15"/>
      <c r="JCF31" s="15"/>
      <c r="JCG31" s="15"/>
      <c r="JCH31" s="15"/>
      <c r="JCI31" s="15"/>
      <c r="JCJ31" s="15"/>
      <c r="JCK31" s="15"/>
      <c r="JCL31" s="15"/>
      <c r="JCM31" s="15"/>
      <c r="JCN31" s="15"/>
      <c r="JCO31" s="15"/>
      <c r="JCP31" s="15"/>
      <c r="JCQ31" s="15"/>
      <c r="JCR31" s="15"/>
      <c r="JCS31" s="15"/>
      <c r="JCT31" s="15"/>
      <c r="JCU31" s="15"/>
      <c r="JCV31" s="15"/>
      <c r="JCW31" s="15"/>
      <c r="JCX31" s="15"/>
      <c r="JCY31" s="15"/>
      <c r="JCZ31" s="15"/>
      <c r="JDA31" s="15"/>
      <c r="JDB31" s="15"/>
      <c r="JDC31" s="15"/>
      <c r="JDD31" s="15"/>
      <c r="JDE31" s="15"/>
      <c r="JDF31" s="15"/>
      <c r="JDG31" s="15"/>
      <c r="JDH31" s="15"/>
      <c r="JDI31" s="15"/>
      <c r="JDJ31" s="15"/>
      <c r="JDK31" s="15"/>
      <c r="JDL31" s="15"/>
      <c r="JDM31" s="15"/>
      <c r="JDN31" s="15"/>
      <c r="JDO31" s="15"/>
      <c r="JDP31" s="15"/>
      <c r="JDQ31" s="15"/>
      <c r="JDR31" s="15"/>
      <c r="JDS31" s="15"/>
      <c r="JDT31" s="15"/>
      <c r="JDU31" s="15"/>
      <c r="JDV31" s="15"/>
      <c r="JDW31" s="15"/>
      <c r="JDX31" s="15"/>
      <c r="JDY31" s="15"/>
      <c r="JDZ31" s="15"/>
      <c r="JEA31" s="15"/>
      <c r="JEB31" s="15"/>
      <c r="JEC31" s="15"/>
      <c r="JED31" s="15"/>
      <c r="JEE31" s="15"/>
      <c r="JEF31" s="15"/>
      <c r="JEG31" s="15"/>
      <c r="JEH31" s="15"/>
      <c r="JEI31" s="15"/>
      <c r="JEJ31" s="15"/>
      <c r="JEK31" s="15"/>
      <c r="JEL31" s="15"/>
      <c r="JEM31" s="15"/>
      <c r="JEN31" s="15"/>
      <c r="JEO31" s="15"/>
      <c r="JEP31" s="15"/>
      <c r="JEQ31" s="15"/>
      <c r="JER31" s="15"/>
      <c r="JES31" s="15"/>
      <c r="JET31" s="15"/>
      <c r="JEU31" s="15"/>
      <c r="JEV31" s="15"/>
      <c r="JEW31" s="15"/>
      <c r="JEX31" s="15"/>
      <c r="JEY31" s="15"/>
      <c r="JEZ31" s="15"/>
      <c r="JFA31" s="15"/>
      <c r="JFB31" s="15"/>
      <c r="JFC31" s="15"/>
      <c r="JFD31" s="15"/>
      <c r="JFE31" s="15"/>
      <c r="JFF31" s="15"/>
      <c r="JFG31" s="15"/>
      <c r="JFH31" s="15"/>
      <c r="JFI31" s="15"/>
      <c r="JFJ31" s="15"/>
      <c r="JFK31" s="15"/>
      <c r="JFL31" s="15"/>
      <c r="JFM31" s="15"/>
      <c r="JFN31" s="15"/>
      <c r="JFO31" s="15"/>
      <c r="JFP31" s="15"/>
      <c r="JFQ31" s="15"/>
      <c r="JFR31" s="15"/>
      <c r="JFS31" s="15"/>
      <c r="JFT31" s="15"/>
      <c r="JFU31" s="15"/>
      <c r="JFV31" s="15"/>
      <c r="JFW31" s="15"/>
      <c r="JFX31" s="15"/>
      <c r="JFY31" s="15"/>
      <c r="JFZ31" s="15"/>
      <c r="JGA31" s="15"/>
      <c r="JGB31" s="15"/>
      <c r="JGC31" s="15"/>
      <c r="JGD31" s="15"/>
      <c r="JGE31" s="15"/>
      <c r="JGF31" s="15"/>
      <c r="JGG31" s="15"/>
      <c r="JGH31" s="15"/>
      <c r="JGI31" s="15"/>
      <c r="JGJ31" s="15"/>
      <c r="JGK31" s="15"/>
      <c r="JGL31" s="15"/>
      <c r="JGM31" s="15"/>
      <c r="JGN31" s="15"/>
      <c r="JGO31" s="15"/>
      <c r="JGP31" s="15"/>
      <c r="JGQ31" s="15"/>
      <c r="JGR31" s="15"/>
      <c r="JGS31" s="15"/>
      <c r="JGT31" s="15"/>
      <c r="JGU31" s="15"/>
      <c r="JGV31" s="15"/>
      <c r="JGW31" s="15"/>
      <c r="JGX31" s="15"/>
      <c r="JGY31" s="15"/>
      <c r="JGZ31" s="15"/>
      <c r="JHA31" s="15"/>
      <c r="JHB31" s="15"/>
      <c r="JHC31" s="15"/>
      <c r="JHD31" s="15"/>
      <c r="JHE31" s="15"/>
      <c r="JHF31" s="15"/>
      <c r="JHG31" s="15"/>
      <c r="JHH31" s="15"/>
      <c r="JHI31" s="15"/>
      <c r="JHJ31" s="15"/>
      <c r="JHK31" s="15"/>
      <c r="JHL31" s="15"/>
      <c r="JHM31" s="15"/>
      <c r="JHN31" s="15"/>
      <c r="JHO31" s="15"/>
      <c r="JHP31" s="15"/>
      <c r="JHQ31" s="15"/>
      <c r="JHR31" s="15"/>
      <c r="JHS31" s="15"/>
      <c r="JHT31" s="15"/>
      <c r="JHU31" s="15"/>
      <c r="JHV31" s="15"/>
      <c r="JHW31" s="15"/>
      <c r="JHX31" s="15"/>
      <c r="JHY31" s="15"/>
      <c r="JHZ31" s="15"/>
      <c r="JIA31" s="15"/>
      <c r="JIB31" s="15"/>
      <c r="JIC31" s="15"/>
      <c r="JID31" s="15"/>
      <c r="JIE31" s="15"/>
      <c r="JIF31" s="15"/>
      <c r="JIG31" s="15"/>
      <c r="JIH31" s="15"/>
      <c r="JII31" s="15"/>
      <c r="JIJ31" s="15"/>
      <c r="JIK31" s="15"/>
      <c r="JIL31" s="15"/>
      <c r="JIM31" s="15"/>
      <c r="JIN31" s="15"/>
      <c r="JIO31" s="15"/>
      <c r="JIP31" s="15"/>
      <c r="JIQ31" s="15"/>
      <c r="JIR31" s="15"/>
      <c r="JIS31" s="15"/>
      <c r="JIT31" s="15"/>
      <c r="JIU31" s="15"/>
      <c r="JIV31" s="15"/>
      <c r="JIW31" s="15"/>
      <c r="JIX31" s="15"/>
      <c r="JIY31" s="15"/>
      <c r="JIZ31" s="15"/>
      <c r="JJA31" s="15"/>
      <c r="JJB31" s="15"/>
      <c r="JJC31" s="15"/>
      <c r="JJD31" s="15"/>
      <c r="JJE31" s="15"/>
      <c r="JJF31" s="15"/>
      <c r="JJG31" s="15"/>
      <c r="JJH31" s="15"/>
      <c r="JJI31" s="15"/>
      <c r="JJJ31" s="15"/>
      <c r="JJK31" s="15"/>
      <c r="JJL31" s="15"/>
      <c r="JJM31" s="15"/>
      <c r="JJN31" s="15"/>
      <c r="JJO31" s="15"/>
      <c r="JJP31" s="15"/>
      <c r="JJQ31" s="15"/>
      <c r="JJR31" s="15"/>
      <c r="JJS31" s="15"/>
      <c r="JJT31" s="15"/>
      <c r="JJU31" s="15"/>
      <c r="JJV31" s="15"/>
      <c r="JJW31" s="15"/>
      <c r="JJX31" s="15"/>
      <c r="JJY31" s="15"/>
      <c r="JJZ31" s="15"/>
      <c r="JKA31" s="15"/>
      <c r="JKB31" s="15"/>
      <c r="JKC31" s="15"/>
      <c r="JKD31" s="15"/>
      <c r="JKE31" s="15"/>
      <c r="JKF31" s="15"/>
      <c r="JKG31" s="15"/>
      <c r="JKH31" s="15"/>
      <c r="JKI31" s="15"/>
      <c r="JKJ31" s="15"/>
      <c r="JKK31" s="15"/>
      <c r="JKL31" s="15"/>
      <c r="JKM31" s="15"/>
      <c r="JKN31" s="15"/>
      <c r="JKO31" s="15"/>
      <c r="JKP31" s="15"/>
      <c r="JKQ31" s="15"/>
      <c r="JKR31" s="15"/>
      <c r="JKS31" s="15"/>
      <c r="JKT31" s="15"/>
      <c r="JKU31" s="15"/>
      <c r="JKV31" s="15"/>
      <c r="JKW31" s="15"/>
      <c r="JKX31" s="15"/>
      <c r="JKY31" s="15"/>
      <c r="JKZ31" s="15"/>
      <c r="JLA31" s="15"/>
      <c r="JLB31" s="15"/>
      <c r="JLC31" s="15"/>
      <c r="JLD31" s="15"/>
      <c r="JLE31" s="15"/>
      <c r="JLF31" s="15"/>
      <c r="JLG31" s="15"/>
      <c r="JLH31" s="15"/>
      <c r="JLI31" s="15"/>
      <c r="JLJ31" s="15"/>
      <c r="JLK31" s="15"/>
      <c r="JLL31" s="15"/>
      <c r="JLM31" s="15"/>
      <c r="JLN31" s="15"/>
      <c r="JLO31" s="15"/>
      <c r="JLP31" s="15"/>
      <c r="JLQ31" s="15"/>
      <c r="JLR31" s="15"/>
      <c r="JLS31" s="15"/>
      <c r="JLT31" s="15"/>
      <c r="JLU31" s="15"/>
      <c r="JLV31" s="15"/>
      <c r="JLW31" s="15"/>
      <c r="JLX31" s="15"/>
      <c r="JLY31" s="15"/>
      <c r="JLZ31" s="15"/>
      <c r="JMA31" s="15"/>
      <c r="JMB31" s="15"/>
      <c r="JMC31" s="15"/>
      <c r="JMD31" s="15"/>
      <c r="JME31" s="15"/>
      <c r="JMF31" s="15"/>
      <c r="JMG31" s="15"/>
      <c r="JMH31" s="15"/>
      <c r="JMI31" s="15"/>
      <c r="JMJ31" s="15"/>
      <c r="JMK31" s="15"/>
      <c r="JML31" s="15"/>
      <c r="JMM31" s="15"/>
      <c r="JMN31" s="15"/>
      <c r="JMO31" s="15"/>
      <c r="JMP31" s="15"/>
      <c r="JMQ31" s="15"/>
      <c r="JMR31" s="15"/>
      <c r="JMS31" s="15"/>
      <c r="JMT31" s="15"/>
      <c r="JMU31" s="15"/>
      <c r="JMV31" s="15"/>
      <c r="JMW31" s="15"/>
      <c r="JMX31" s="15"/>
      <c r="JMY31" s="15"/>
      <c r="JMZ31" s="15"/>
      <c r="JNA31" s="15"/>
      <c r="JNB31" s="15"/>
      <c r="JNC31" s="15"/>
      <c r="JND31" s="15"/>
      <c r="JNE31" s="15"/>
      <c r="JNF31" s="15"/>
      <c r="JNG31" s="15"/>
      <c r="JNH31" s="15"/>
      <c r="JNI31" s="15"/>
      <c r="JNJ31" s="15"/>
      <c r="JNK31" s="15"/>
      <c r="JNL31" s="15"/>
      <c r="JNM31" s="15"/>
      <c r="JNN31" s="15"/>
      <c r="JNO31" s="15"/>
      <c r="JNP31" s="15"/>
      <c r="JNQ31" s="15"/>
      <c r="JNR31" s="15"/>
      <c r="JNS31" s="15"/>
      <c r="JNT31" s="15"/>
      <c r="JNU31" s="15"/>
      <c r="JNV31" s="15"/>
      <c r="JNW31" s="15"/>
      <c r="JNX31" s="15"/>
      <c r="JNY31" s="15"/>
      <c r="JNZ31" s="15"/>
      <c r="JOA31" s="15"/>
      <c r="JOB31" s="15"/>
      <c r="JOC31" s="15"/>
      <c r="JOD31" s="15"/>
      <c r="JOE31" s="15"/>
      <c r="JOF31" s="15"/>
      <c r="JOG31" s="15"/>
      <c r="JOH31" s="15"/>
      <c r="JOI31" s="15"/>
      <c r="JOJ31" s="15"/>
      <c r="JOK31" s="15"/>
      <c r="JOL31" s="15"/>
      <c r="JOM31" s="15"/>
      <c r="JON31" s="15"/>
      <c r="JOO31" s="15"/>
      <c r="JOP31" s="15"/>
      <c r="JOQ31" s="15"/>
      <c r="JOR31" s="15"/>
      <c r="JOS31" s="15"/>
      <c r="JOT31" s="15"/>
      <c r="JOU31" s="15"/>
      <c r="JOV31" s="15"/>
      <c r="JOW31" s="15"/>
      <c r="JOX31" s="15"/>
      <c r="JOY31" s="15"/>
      <c r="JOZ31" s="15"/>
      <c r="JPA31" s="15"/>
      <c r="JPB31" s="15"/>
      <c r="JPC31" s="15"/>
      <c r="JPD31" s="15"/>
      <c r="JPE31" s="15"/>
      <c r="JPF31" s="15"/>
      <c r="JPG31" s="15"/>
      <c r="JPH31" s="15"/>
      <c r="JPI31" s="15"/>
      <c r="JPJ31" s="15"/>
      <c r="JPK31" s="15"/>
      <c r="JPL31" s="15"/>
      <c r="JPM31" s="15"/>
      <c r="JPN31" s="15"/>
      <c r="JPO31" s="15"/>
      <c r="JPP31" s="15"/>
      <c r="JPQ31" s="15"/>
      <c r="JPR31" s="15"/>
      <c r="JPS31" s="15"/>
      <c r="JPT31" s="15"/>
      <c r="JPU31" s="15"/>
      <c r="JPV31" s="15"/>
      <c r="JPW31" s="15"/>
      <c r="JPX31" s="15"/>
      <c r="JPY31" s="15"/>
      <c r="JPZ31" s="15"/>
      <c r="JQA31" s="15"/>
      <c r="JQB31" s="15"/>
      <c r="JQC31" s="15"/>
      <c r="JQD31" s="15"/>
      <c r="JQE31" s="15"/>
      <c r="JQF31" s="15"/>
      <c r="JQG31" s="15"/>
      <c r="JQH31" s="15"/>
      <c r="JQI31" s="15"/>
      <c r="JQJ31" s="15"/>
      <c r="JQK31" s="15"/>
      <c r="JQL31" s="15"/>
      <c r="JQM31" s="15"/>
      <c r="JQN31" s="15"/>
      <c r="JQO31" s="15"/>
      <c r="JQP31" s="15"/>
      <c r="JQQ31" s="15"/>
      <c r="JQR31" s="15"/>
      <c r="JQS31" s="15"/>
      <c r="JQT31" s="15"/>
      <c r="JQU31" s="15"/>
      <c r="JQV31" s="15"/>
      <c r="JQW31" s="15"/>
      <c r="JQX31" s="15"/>
      <c r="JQY31" s="15"/>
      <c r="JQZ31" s="15"/>
      <c r="JRA31" s="15"/>
      <c r="JRB31" s="15"/>
      <c r="JRC31" s="15"/>
      <c r="JRD31" s="15"/>
      <c r="JRE31" s="15"/>
      <c r="JRF31" s="15"/>
      <c r="JRG31" s="15"/>
      <c r="JRH31" s="15"/>
      <c r="JRI31" s="15"/>
      <c r="JRJ31" s="15"/>
      <c r="JRK31" s="15"/>
      <c r="JRL31" s="15"/>
      <c r="JRM31" s="15"/>
      <c r="JRN31" s="15"/>
      <c r="JRO31" s="15"/>
      <c r="JRP31" s="15"/>
      <c r="JRQ31" s="15"/>
      <c r="JRR31" s="15"/>
      <c r="JRS31" s="15"/>
      <c r="JRT31" s="15"/>
      <c r="JRU31" s="15"/>
      <c r="JRV31" s="15"/>
      <c r="JRW31" s="15"/>
      <c r="JRX31" s="15"/>
      <c r="JRY31" s="15"/>
      <c r="JRZ31" s="15"/>
      <c r="JSA31" s="15"/>
      <c r="JSB31" s="15"/>
      <c r="JSC31" s="15"/>
      <c r="JSD31" s="15"/>
      <c r="JSE31" s="15"/>
      <c r="JSF31" s="15"/>
      <c r="JSG31" s="15"/>
      <c r="JSH31" s="15"/>
      <c r="JSI31" s="15"/>
      <c r="JSJ31" s="15"/>
      <c r="JSK31" s="15"/>
      <c r="JSL31" s="15"/>
      <c r="JSM31" s="15"/>
      <c r="JSN31" s="15"/>
      <c r="JSO31" s="15"/>
      <c r="JSP31" s="15"/>
      <c r="JSQ31" s="15"/>
      <c r="JSR31" s="15"/>
      <c r="JSS31" s="15"/>
      <c r="JST31" s="15"/>
      <c r="JSU31" s="15"/>
      <c r="JSV31" s="15"/>
      <c r="JSW31" s="15"/>
      <c r="JSX31" s="15"/>
      <c r="JSY31" s="15"/>
      <c r="JSZ31" s="15"/>
      <c r="JTA31" s="15"/>
      <c r="JTB31" s="15"/>
      <c r="JTC31" s="15"/>
      <c r="JTD31" s="15"/>
      <c r="JTE31" s="15"/>
      <c r="JTF31" s="15"/>
      <c r="JTG31" s="15"/>
      <c r="JTH31" s="15"/>
      <c r="JTI31" s="15"/>
      <c r="JTJ31" s="15"/>
      <c r="JTK31" s="15"/>
      <c r="JTL31" s="15"/>
      <c r="JTM31" s="15"/>
      <c r="JTN31" s="15"/>
      <c r="JTO31" s="15"/>
      <c r="JTP31" s="15"/>
      <c r="JTQ31" s="15"/>
      <c r="JTR31" s="15"/>
      <c r="JTS31" s="15"/>
      <c r="JTT31" s="15"/>
      <c r="JTU31" s="15"/>
      <c r="JTV31" s="15"/>
      <c r="JTW31" s="15"/>
      <c r="JTX31" s="15"/>
      <c r="JTY31" s="15"/>
      <c r="JTZ31" s="15"/>
      <c r="JUA31" s="15"/>
      <c r="JUB31" s="15"/>
      <c r="JUC31" s="15"/>
      <c r="JUD31" s="15"/>
      <c r="JUE31" s="15"/>
      <c r="JUF31" s="15"/>
      <c r="JUG31" s="15"/>
      <c r="JUH31" s="15"/>
      <c r="JUI31" s="15"/>
      <c r="JUJ31" s="15"/>
      <c r="JUK31" s="15"/>
      <c r="JUL31" s="15"/>
      <c r="JUM31" s="15"/>
      <c r="JUN31" s="15"/>
      <c r="JUO31" s="15"/>
      <c r="JUP31" s="15"/>
      <c r="JUQ31" s="15"/>
      <c r="JUR31" s="15"/>
      <c r="JUS31" s="15"/>
      <c r="JUT31" s="15"/>
      <c r="JUU31" s="15"/>
      <c r="JUV31" s="15"/>
      <c r="JUW31" s="15"/>
      <c r="JUX31" s="15"/>
      <c r="JUY31" s="15"/>
      <c r="JUZ31" s="15"/>
      <c r="JVA31" s="15"/>
      <c r="JVB31" s="15"/>
      <c r="JVC31" s="15"/>
      <c r="JVD31" s="15"/>
      <c r="JVE31" s="15"/>
      <c r="JVF31" s="15"/>
      <c r="JVG31" s="15"/>
      <c r="JVH31" s="15"/>
      <c r="JVI31" s="15"/>
      <c r="JVJ31" s="15"/>
      <c r="JVK31" s="15"/>
      <c r="JVL31" s="15"/>
      <c r="JVM31" s="15"/>
      <c r="JVN31" s="15"/>
      <c r="JVO31" s="15"/>
      <c r="JVP31" s="15"/>
      <c r="JVQ31" s="15"/>
      <c r="JVR31" s="15"/>
      <c r="JVS31" s="15"/>
      <c r="JVT31" s="15"/>
      <c r="JVU31" s="15"/>
      <c r="JVV31" s="15"/>
      <c r="JVW31" s="15"/>
      <c r="JVX31" s="15"/>
      <c r="JVY31" s="15"/>
      <c r="JVZ31" s="15"/>
      <c r="JWA31" s="15"/>
      <c r="JWB31" s="15"/>
      <c r="JWC31" s="15"/>
      <c r="JWD31" s="15"/>
      <c r="JWE31" s="15"/>
      <c r="JWF31" s="15"/>
      <c r="JWG31" s="15"/>
      <c r="JWH31" s="15"/>
      <c r="JWI31" s="15"/>
      <c r="JWJ31" s="15"/>
      <c r="JWK31" s="15"/>
      <c r="JWL31" s="15"/>
      <c r="JWM31" s="15"/>
      <c r="JWN31" s="15"/>
      <c r="JWO31" s="15"/>
      <c r="JWP31" s="15"/>
      <c r="JWQ31" s="15"/>
      <c r="JWR31" s="15"/>
      <c r="JWS31" s="15"/>
      <c r="JWT31" s="15"/>
      <c r="JWU31" s="15"/>
      <c r="JWV31" s="15"/>
      <c r="JWW31" s="15"/>
      <c r="JWX31" s="15"/>
      <c r="JWY31" s="15"/>
      <c r="JWZ31" s="15"/>
      <c r="JXA31" s="15"/>
      <c r="JXB31" s="15"/>
      <c r="JXC31" s="15"/>
      <c r="JXD31" s="15"/>
      <c r="JXE31" s="15"/>
      <c r="JXF31" s="15"/>
      <c r="JXG31" s="15"/>
      <c r="JXH31" s="15"/>
      <c r="JXI31" s="15"/>
      <c r="JXJ31" s="15"/>
      <c r="JXK31" s="15"/>
      <c r="JXL31" s="15"/>
      <c r="JXM31" s="15"/>
      <c r="JXN31" s="15"/>
      <c r="JXO31" s="15"/>
      <c r="JXP31" s="15"/>
      <c r="JXQ31" s="15"/>
      <c r="JXR31" s="15"/>
      <c r="JXS31" s="15"/>
      <c r="JXT31" s="15"/>
      <c r="JXU31" s="15"/>
      <c r="JXV31" s="15"/>
      <c r="JXW31" s="15"/>
      <c r="JXX31" s="15"/>
      <c r="JXY31" s="15"/>
      <c r="JXZ31" s="15"/>
      <c r="JYA31" s="15"/>
      <c r="JYB31" s="15"/>
      <c r="JYC31" s="15"/>
      <c r="JYD31" s="15"/>
      <c r="JYE31" s="15"/>
      <c r="JYF31" s="15"/>
      <c r="JYG31" s="15"/>
      <c r="JYH31" s="15"/>
      <c r="JYI31" s="15"/>
      <c r="JYJ31" s="15"/>
      <c r="JYK31" s="15"/>
      <c r="JYL31" s="15"/>
      <c r="JYM31" s="15"/>
      <c r="JYN31" s="15"/>
      <c r="JYO31" s="15"/>
      <c r="JYP31" s="15"/>
      <c r="JYQ31" s="15"/>
      <c r="JYR31" s="15"/>
      <c r="JYS31" s="15"/>
      <c r="JYT31" s="15"/>
      <c r="JYU31" s="15"/>
      <c r="JYV31" s="15"/>
      <c r="JYW31" s="15"/>
      <c r="JYX31" s="15"/>
      <c r="JYY31" s="15"/>
      <c r="JYZ31" s="15"/>
      <c r="JZA31" s="15"/>
      <c r="JZB31" s="15"/>
      <c r="JZC31" s="15"/>
      <c r="JZD31" s="15"/>
      <c r="JZE31" s="15"/>
      <c r="JZF31" s="15"/>
      <c r="JZG31" s="15"/>
      <c r="JZH31" s="15"/>
      <c r="JZI31" s="15"/>
      <c r="JZJ31" s="15"/>
      <c r="JZK31" s="15"/>
      <c r="JZL31" s="15"/>
      <c r="JZM31" s="15"/>
      <c r="JZN31" s="15"/>
      <c r="JZO31" s="15"/>
      <c r="JZP31" s="15"/>
      <c r="JZQ31" s="15"/>
      <c r="JZR31" s="15"/>
      <c r="JZS31" s="15"/>
      <c r="JZT31" s="15"/>
      <c r="JZU31" s="15"/>
      <c r="JZV31" s="15"/>
      <c r="JZW31" s="15"/>
      <c r="JZX31" s="15"/>
      <c r="JZY31" s="15"/>
      <c r="JZZ31" s="15"/>
      <c r="KAA31" s="15"/>
      <c r="KAB31" s="15"/>
      <c r="KAC31" s="15"/>
      <c r="KAD31" s="15"/>
      <c r="KAE31" s="15"/>
      <c r="KAF31" s="15"/>
      <c r="KAG31" s="15"/>
      <c r="KAH31" s="15"/>
      <c r="KAI31" s="15"/>
      <c r="KAJ31" s="15"/>
      <c r="KAK31" s="15"/>
      <c r="KAL31" s="15"/>
      <c r="KAM31" s="15"/>
      <c r="KAN31" s="15"/>
      <c r="KAO31" s="15"/>
      <c r="KAP31" s="15"/>
      <c r="KAQ31" s="15"/>
      <c r="KAR31" s="15"/>
      <c r="KAS31" s="15"/>
      <c r="KAT31" s="15"/>
      <c r="KAU31" s="15"/>
      <c r="KAV31" s="15"/>
      <c r="KAW31" s="15"/>
      <c r="KAX31" s="15"/>
      <c r="KAY31" s="15"/>
      <c r="KAZ31" s="15"/>
      <c r="KBA31" s="15"/>
      <c r="KBB31" s="15"/>
      <c r="KBC31" s="15"/>
      <c r="KBD31" s="15"/>
      <c r="KBE31" s="15"/>
      <c r="KBF31" s="15"/>
      <c r="KBG31" s="15"/>
      <c r="KBH31" s="15"/>
      <c r="KBI31" s="15"/>
      <c r="KBJ31" s="15"/>
      <c r="KBK31" s="15"/>
      <c r="KBL31" s="15"/>
      <c r="KBM31" s="15"/>
      <c r="KBN31" s="15"/>
      <c r="KBO31" s="15"/>
      <c r="KBP31" s="15"/>
      <c r="KBQ31" s="15"/>
      <c r="KBR31" s="15"/>
      <c r="KBS31" s="15"/>
      <c r="KBT31" s="15"/>
      <c r="KBU31" s="15"/>
      <c r="KBV31" s="15"/>
      <c r="KBW31" s="15"/>
      <c r="KBX31" s="15"/>
      <c r="KBY31" s="15"/>
      <c r="KBZ31" s="15"/>
      <c r="KCA31" s="15"/>
      <c r="KCB31" s="15"/>
      <c r="KCC31" s="15"/>
      <c r="KCD31" s="15"/>
      <c r="KCE31" s="15"/>
      <c r="KCF31" s="15"/>
      <c r="KCG31" s="15"/>
      <c r="KCH31" s="15"/>
      <c r="KCI31" s="15"/>
      <c r="KCJ31" s="15"/>
      <c r="KCK31" s="15"/>
      <c r="KCL31" s="15"/>
      <c r="KCM31" s="15"/>
      <c r="KCN31" s="15"/>
      <c r="KCO31" s="15"/>
      <c r="KCP31" s="15"/>
      <c r="KCQ31" s="15"/>
      <c r="KCR31" s="15"/>
      <c r="KCS31" s="15"/>
      <c r="KCT31" s="15"/>
      <c r="KCU31" s="15"/>
      <c r="KCV31" s="15"/>
      <c r="KCW31" s="15"/>
      <c r="KCX31" s="15"/>
      <c r="KCY31" s="15"/>
      <c r="KCZ31" s="15"/>
      <c r="KDA31" s="15"/>
      <c r="KDB31" s="15"/>
      <c r="KDC31" s="15"/>
      <c r="KDD31" s="15"/>
      <c r="KDE31" s="15"/>
      <c r="KDF31" s="15"/>
      <c r="KDG31" s="15"/>
      <c r="KDH31" s="15"/>
      <c r="KDI31" s="15"/>
      <c r="KDJ31" s="15"/>
      <c r="KDK31" s="15"/>
      <c r="KDL31" s="15"/>
      <c r="KDM31" s="15"/>
      <c r="KDN31" s="15"/>
      <c r="KDO31" s="15"/>
      <c r="KDP31" s="15"/>
      <c r="KDQ31" s="15"/>
      <c r="KDR31" s="15"/>
      <c r="KDS31" s="15"/>
      <c r="KDT31" s="15"/>
      <c r="KDU31" s="15"/>
      <c r="KDV31" s="15"/>
      <c r="KDW31" s="15"/>
      <c r="KDX31" s="15"/>
      <c r="KDY31" s="15"/>
      <c r="KDZ31" s="15"/>
      <c r="KEA31" s="15"/>
      <c r="KEB31" s="15"/>
      <c r="KEC31" s="15"/>
      <c r="KED31" s="15"/>
      <c r="KEE31" s="15"/>
      <c r="KEF31" s="15"/>
      <c r="KEG31" s="15"/>
      <c r="KEH31" s="15"/>
      <c r="KEI31" s="15"/>
      <c r="KEJ31" s="15"/>
      <c r="KEK31" s="15"/>
      <c r="KEL31" s="15"/>
      <c r="KEM31" s="15"/>
      <c r="KEN31" s="15"/>
      <c r="KEO31" s="15"/>
      <c r="KEP31" s="15"/>
      <c r="KEQ31" s="15"/>
      <c r="KER31" s="15"/>
      <c r="KES31" s="15"/>
      <c r="KET31" s="15"/>
      <c r="KEU31" s="15"/>
      <c r="KEV31" s="15"/>
      <c r="KEW31" s="15"/>
      <c r="KEX31" s="15"/>
      <c r="KEY31" s="15"/>
      <c r="KEZ31" s="15"/>
      <c r="KFA31" s="15"/>
      <c r="KFB31" s="15"/>
      <c r="KFC31" s="15"/>
      <c r="KFD31" s="15"/>
      <c r="KFE31" s="15"/>
      <c r="KFF31" s="15"/>
      <c r="KFG31" s="15"/>
      <c r="KFH31" s="15"/>
      <c r="KFI31" s="15"/>
      <c r="KFJ31" s="15"/>
      <c r="KFK31" s="15"/>
      <c r="KFL31" s="15"/>
      <c r="KFM31" s="15"/>
      <c r="KFN31" s="15"/>
      <c r="KFO31" s="15"/>
      <c r="KFP31" s="15"/>
      <c r="KFQ31" s="15"/>
      <c r="KFR31" s="15"/>
      <c r="KFS31" s="15"/>
      <c r="KFT31" s="15"/>
      <c r="KFU31" s="15"/>
      <c r="KFV31" s="15"/>
      <c r="KFW31" s="15"/>
      <c r="KFX31" s="15"/>
      <c r="KFY31" s="15"/>
      <c r="KFZ31" s="15"/>
      <c r="KGA31" s="15"/>
      <c r="KGB31" s="15"/>
      <c r="KGC31" s="15"/>
      <c r="KGD31" s="15"/>
      <c r="KGE31" s="15"/>
      <c r="KGF31" s="15"/>
      <c r="KGG31" s="15"/>
      <c r="KGH31" s="15"/>
      <c r="KGI31" s="15"/>
      <c r="KGJ31" s="15"/>
      <c r="KGK31" s="15"/>
      <c r="KGL31" s="15"/>
      <c r="KGM31" s="15"/>
      <c r="KGN31" s="15"/>
      <c r="KGO31" s="15"/>
      <c r="KGP31" s="15"/>
      <c r="KGQ31" s="15"/>
      <c r="KGR31" s="15"/>
      <c r="KGS31" s="15"/>
      <c r="KGT31" s="15"/>
      <c r="KGU31" s="15"/>
      <c r="KGV31" s="15"/>
      <c r="KGW31" s="15"/>
      <c r="KGX31" s="15"/>
      <c r="KGY31" s="15"/>
      <c r="KGZ31" s="15"/>
      <c r="KHA31" s="15"/>
      <c r="KHB31" s="15"/>
      <c r="KHC31" s="15"/>
      <c r="KHD31" s="15"/>
      <c r="KHE31" s="15"/>
      <c r="KHF31" s="15"/>
      <c r="KHG31" s="15"/>
      <c r="KHH31" s="15"/>
      <c r="KHI31" s="15"/>
      <c r="KHJ31" s="15"/>
      <c r="KHK31" s="15"/>
      <c r="KHL31" s="15"/>
      <c r="KHM31" s="15"/>
      <c r="KHN31" s="15"/>
      <c r="KHO31" s="15"/>
      <c r="KHP31" s="15"/>
      <c r="KHQ31" s="15"/>
      <c r="KHR31" s="15"/>
      <c r="KHS31" s="15"/>
      <c r="KHT31" s="15"/>
      <c r="KHU31" s="15"/>
      <c r="KHV31" s="15"/>
      <c r="KHW31" s="15"/>
      <c r="KHX31" s="15"/>
      <c r="KHY31" s="15"/>
      <c r="KHZ31" s="15"/>
      <c r="KIA31" s="15"/>
      <c r="KIB31" s="15"/>
      <c r="KIC31" s="15"/>
      <c r="KID31" s="15"/>
      <c r="KIE31" s="15"/>
      <c r="KIF31" s="15"/>
      <c r="KIG31" s="15"/>
      <c r="KIH31" s="15"/>
      <c r="KII31" s="15"/>
      <c r="KIJ31" s="15"/>
      <c r="KIK31" s="15"/>
      <c r="KIL31" s="15"/>
      <c r="KIM31" s="15"/>
      <c r="KIN31" s="15"/>
      <c r="KIO31" s="15"/>
      <c r="KIP31" s="15"/>
      <c r="KIQ31" s="15"/>
      <c r="KIR31" s="15"/>
      <c r="KIS31" s="15"/>
      <c r="KIT31" s="15"/>
      <c r="KIU31" s="15"/>
      <c r="KIV31" s="15"/>
      <c r="KIW31" s="15"/>
      <c r="KIX31" s="15"/>
      <c r="KIY31" s="15"/>
      <c r="KIZ31" s="15"/>
      <c r="KJA31" s="15"/>
      <c r="KJB31" s="15"/>
      <c r="KJC31" s="15"/>
      <c r="KJD31" s="15"/>
      <c r="KJE31" s="15"/>
      <c r="KJF31" s="15"/>
      <c r="KJG31" s="15"/>
      <c r="KJH31" s="15"/>
      <c r="KJI31" s="15"/>
      <c r="KJJ31" s="15"/>
      <c r="KJK31" s="15"/>
      <c r="KJL31" s="15"/>
      <c r="KJM31" s="15"/>
      <c r="KJN31" s="15"/>
      <c r="KJO31" s="15"/>
      <c r="KJP31" s="15"/>
      <c r="KJQ31" s="15"/>
      <c r="KJR31" s="15"/>
      <c r="KJS31" s="15"/>
      <c r="KJT31" s="15"/>
      <c r="KJU31" s="15"/>
      <c r="KJV31" s="15"/>
      <c r="KJW31" s="15"/>
      <c r="KJX31" s="15"/>
      <c r="KJY31" s="15"/>
      <c r="KJZ31" s="15"/>
      <c r="KKA31" s="15"/>
      <c r="KKB31" s="15"/>
      <c r="KKC31" s="15"/>
      <c r="KKD31" s="15"/>
      <c r="KKE31" s="15"/>
      <c r="KKF31" s="15"/>
      <c r="KKG31" s="15"/>
      <c r="KKH31" s="15"/>
      <c r="KKI31" s="15"/>
      <c r="KKJ31" s="15"/>
      <c r="KKK31" s="15"/>
      <c r="KKL31" s="15"/>
      <c r="KKM31" s="15"/>
      <c r="KKN31" s="15"/>
      <c r="KKO31" s="15"/>
      <c r="KKP31" s="15"/>
      <c r="KKQ31" s="15"/>
      <c r="KKR31" s="15"/>
      <c r="KKS31" s="15"/>
      <c r="KKT31" s="15"/>
      <c r="KKU31" s="15"/>
      <c r="KKV31" s="15"/>
      <c r="KKW31" s="15"/>
      <c r="KKX31" s="15"/>
      <c r="KKY31" s="15"/>
      <c r="KKZ31" s="15"/>
      <c r="KLA31" s="15"/>
      <c r="KLB31" s="15"/>
      <c r="KLC31" s="15"/>
      <c r="KLD31" s="15"/>
      <c r="KLE31" s="15"/>
      <c r="KLF31" s="15"/>
      <c r="KLG31" s="15"/>
      <c r="KLH31" s="15"/>
      <c r="KLI31" s="15"/>
      <c r="KLJ31" s="15"/>
      <c r="KLK31" s="15"/>
      <c r="KLL31" s="15"/>
      <c r="KLM31" s="15"/>
      <c r="KLN31" s="15"/>
      <c r="KLO31" s="15"/>
      <c r="KLP31" s="15"/>
      <c r="KLQ31" s="15"/>
      <c r="KLR31" s="15"/>
      <c r="KLS31" s="15"/>
      <c r="KLT31" s="15"/>
      <c r="KLU31" s="15"/>
      <c r="KLV31" s="15"/>
      <c r="KLW31" s="15"/>
      <c r="KLX31" s="15"/>
      <c r="KLY31" s="15"/>
      <c r="KLZ31" s="15"/>
      <c r="KMA31" s="15"/>
      <c r="KMB31" s="15"/>
      <c r="KMC31" s="15"/>
      <c r="KMD31" s="15"/>
      <c r="KME31" s="15"/>
      <c r="KMF31" s="15"/>
      <c r="KMG31" s="15"/>
      <c r="KMH31" s="15"/>
      <c r="KMI31" s="15"/>
      <c r="KMJ31" s="15"/>
      <c r="KMK31" s="15"/>
      <c r="KML31" s="15"/>
      <c r="KMM31" s="15"/>
      <c r="KMN31" s="15"/>
      <c r="KMO31" s="15"/>
      <c r="KMP31" s="15"/>
      <c r="KMQ31" s="15"/>
      <c r="KMR31" s="15"/>
      <c r="KMS31" s="15"/>
      <c r="KMT31" s="15"/>
      <c r="KMU31" s="15"/>
      <c r="KMV31" s="15"/>
      <c r="KMW31" s="15"/>
      <c r="KMX31" s="15"/>
      <c r="KMY31" s="15"/>
      <c r="KMZ31" s="15"/>
      <c r="KNA31" s="15"/>
      <c r="KNB31" s="15"/>
      <c r="KNC31" s="15"/>
      <c r="KND31" s="15"/>
      <c r="KNE31" s="15"/>
      <c r="KNF31" s="15"/>
      <c r="KNG31" s="15"/>
      <c r="KNH31" s="15"/>
      <c r="KNI31" s="15"/>
      <c r="KNJ31" s="15"/>
      <c r="KNK31" s="15"/>
      <c r="KNL31" s="15"/>
      <c r="KNM31" s="15"/>
      <c r="KNN31" s="15"/>
      <c r="KNO31" s="15"/>
      <c r="KNP31" s="15"/>
      <c r="KNQ31" s="15"/>
      <c r="KNR31" s="15"/>
      <c r="KNS31" s="15"/>
      <c r="KNT31" s="15"/>
      <c r="KNU31" s="15"/>
      <c r="KNV31" s="15"/>
      <c r="KNW31" s="15"/>
      <c r="KNX31" s="15"/>
      <c r="KNY31" s="15"/>
      <c r="KNZ31" s="15"/>
      <c r="KOA31" s="15"/>
      <c r="KOB31" s="15"/>
      <c r="KOC31" s="15"/>
      <c r="KOD31" s="15"/>
      <c r="KOE31" s="15"/>
      <c r="KOF31" s="15"/>
      <c r="KOG31" s="15"/>
      <c r="KOH31" s="15"/>
      <c r="KOI31" s="15"/>
      <c r="KOJ31" s="15"/>
      <c r="KOK31" s="15"/>
      <c r="KOL31" s="15"/>
      <c r="KOM31" s="15"/>
      <c r="KON31" s="15"/>
      <c r="KOO31" s="15"/>
      <c r="KOP31" s="15"/>
      <c r="KOQ31" s="15"/>
      <c r="KOR31" s="15"/>
      <c r="KOS31" s="15"/>
      <c r="KOT31" s="15"/>
      <c r="KOU31" s="15"/>
      <c r="KOV31" s="15"/>
      <c r="KOW31" s="15"/>
      <c r="KOX31" s="15"/>
      <c r="KOY31" s="15"/>
      <c r="KOZ31" s="15"/>
      <c r="KPA31" s="15"/>
      <c r="KPB31" s="15"/>
      <c r="KPC31" s="15"/>
      <c r="KPD31" s="15"/>
      <c r="KPE31" s="15"/>
      <c r="KPF31" s="15"/>
      <c r="KPG31" s="15"/>
      <c r="KPH31" s="15"/>
      <c r="KPI31" s="15"/>
      <c r="KPJ31" s="15"/>
      <c r="KPK31" s="15"/>
      <c r="KPL31" s="15"/>
      <c r="KPM31" s="15"/>
      <c r="KPN31" s="15"/>
      <c r="KPO31" s="15"/>
      <c r="KPP31" s="15"/>
      <c r="KPQ31" s="15"/>
      <c r="KPR31" s="15"/>
      <c r="KPS31" s="15"/>
      <c r="KPT31" s="15"/>
      <c r="KPU31" s="15"/>
      <c r="KPV31" s="15"/>
      <c r="KPW31" s="15"/>
      <c r="KPX31" s="15"/>
      <c r="KPY31" s="15"/>
      <c r="KPZ31" s="15"/>
      <c r="KQA31" s="15"/>
      <c r="KQB31" s="15"/>
      <c r="KQC31" s="15"/>
      <c r="KQD31" s="15"/>
      <c r="KQE31" s="15"/>
      <c r="KQF31" s="15"/>
      <c r="KQG31" s="15"/>
      <c r="KQH31" s="15"/>
      <c r="KQI31" s="15"/>
      <c r="KQJ31" s="15"/>
      <c r="KQK31" s="15"/>
      <c r="KQL31" s="15"/>
      <c r="KQM31" s="15"/>
      <c r="KQN31" s="15"/>
      <c r="KQO31" s="15"/>
      <c r="KQP31" s="15"/>
      <c r="KQQ31" s="15"/>
      <c r="KQR31" s="15"/>
      <c r="KQS31" s="15"/>
      <c r="KQT31" s="15"/>
      <c r="KQU31" s="15"/>
      <c r="KQV31" s="15"/>
      <c r="KQW31" s="15"/>
      <c r="KQX31" s="15"/>
      <c r="KQY31" s="15"/>
      <c r="KQZ31" s="15"/>
      <c r="KRA31" s="15"/>
      <c r="KRB31" s="15"/>
      <c r="KRC31" s="15"/>
      <c r="KRD31" s="15"/>
      <c r="KRE31" s="15"/>
      <c r="KRF31" s="15"/>
      <c r="KRG31" s="15"/>
      <c r="KRH31" s="15"/>
      <c r="KRI31" s="15"/>
      <c r="KRJ31" s="15"/>
      <c r="KRK31" s="15"/>
      <c r="KRL31" s="15"/>
      <c r="KRM31" s="15"/>
      <c r="KRN31" s="15"/>
      <c r="KRO31" s="15"/>
      <c r="KRP31" s="15"/>
      <c r="KRQ31" s="15"/>
      <c r="KRR31" s="15"/>
      <c r="KRS31" s="15"/>
      <c r="KRT31" s="15"/>
      <c r="KRU31" s="15"/>
      <c r="KRV31" s="15"/>
      <c r="KRW31" s="15"/>
      <c r="KRX31" s="15"/>
      <c r="KRY31" s="15"/>
      <c r="KRZ31" s="15"/>
      <c r="KSA31" s="15"/>
      <c r="KSB31" s="15"/>
      <c r="KSC31" s="15"/>
      <c r="KSD31" s="15"/>
      <c r="KSE31" s="15"/>
      <c r="KSF31" s="15"/>
      <c r="KSG31" s="15"/>
      <c r="KSH31" s="15"/>
      <c r="KSI31" s="15"/>
      <c r="KSJ31" s="15"/>
      <c r="KSK31" s="15"/>
      <c r="KSL31" s="15"/>
      <c r="KSM31" s="15"/>
      <c r="KSN31" s="15"/>
      <c r="KSO31" s="15"/>
      <c r="KSP31" s="15"/>
      <c r="KSQ31" s="15"/>
      <c r="KSR31" s="15"/>
      <c r="KSS31" s="15"/>
      <c r="KST31" s="15"/>
      <c r="KSU31" s="15"/>
      <c r="KSV31" s="15"/>
      <c r="KSW31" s="15"/>
      <c r="KSX31" s="15"/>
      <c r="KSY31" s="15"/>
      <c r="KSZ31" s="15"/>
      <c r="KTA31" s="15"/>
      <c r="KTB31" s="15"/>
      <c r="KTC31" s="15"/>
      <c r="KTD31" s="15"/>
      <c r="KTE31" s="15"/>
      <c r="KTF31" s="15"/>
      <c r="KTG31" s="15"/>
      <c r="KTH31" s="15"/>
      <c r="KTI31" s="15"/>
      <c r="KTJ31" s="15"/>
      <c r="KTK31" s="15"/>
      <c r="KTL31" s="15"/>
      <c r="KTM31" s="15"/>
      <c r="KTN31" s="15"/>
      <c r="KTO31" s="15"/>
      <c r="KTP31" s="15"/>
      <c r="KTQ31" s="15"/>
      <c r="KTR31" s="15"/>
      <c r="KTS31" s="15"/>
      <c r="KTT31" s="15"/>
      <c r="KTU31" s="15"/>
      <c r="KTV31" s="15"/>
      <c r="KTW31" s="15"/>
      <c r="KTX31" s="15"/>
      <c r="KTY31" s="15"/>
      <c r="KTZ31" s="15"/>
      <c r="KUA31" s="15"/>
      <c r="KUB31" s="15"/>
      <c r="KUC31" s="15"/>
      <c r="KUD31" s="15"/>
      <c r="KUE31" s="15"/>
      <c r="KUF31" s="15"/>
      <c r="KUG31" s="15"/>
      <c r="KUH31" s="15"/>
      <c r="KUI31" s="15"/>
      <c r="KUJ31" s="15"/>
      <c r="KUK31" s="15"/>
      <c r="KUL31" s="15"/>
      <c r="KUM31" s="15"/>
      <c r="KUN31" s="15"/>
      <c r="KUO31" s="15"/>
      <c r="KUP31" s="15"/>
      <c r="KUQ31" s="15"/>
      <c r="KUR31" s="15"/>
      <c r="KUS31" s="15"/>
      <c r="KUT31" s="15"/>
      <c r="KUU31" s="15"/>
      <c r="KUV31" s="15"/>
      <c r="KUW31" s="15"/>
      <c r="KUX31" s="15"/>
      <c r="KUY31" s="15"/>
      <c r="KUZ31" s="15"/>
      <c r="KVA31" s="15"/>
      <c r="KVB31" s="15"/>
      <c r="KVC31" s="15"/>
      <c r="KVD31" s="15"/>
      <c r="KVE31" s="15"/>
      <c r="KVF31" s="15"/>
      <c r="KVG31" s="15"/>
      <c r="KVH31" s="15"/>
      <c r="KVI31" s="15"/>
      <c r="KVJ31" s="15"/>
      <c r="KVK31" s="15"/>
      <c r="KVL31" s="15"/>
      <c r="KVM31" s="15"/>
      <c r="KVN31" s="15"/>
      <c r="KVO31" s="15"/>
      <c r="KVP31" s="15"/>
      <c r="KVQ31" s="15"/>
      <c r="KVR31" s="15"/>
      <c r="KVS31" s="15"/>
      <c r="KVT31" s="15"/>
      <c r="KVU31" s="15"/>
      <c r="KVV31" s="15"/>
      <c r="KVW31" s="15"/>
      <c r="KVX31" s="15"/>
      <c r="KVY31" s="15"/>
      <c r="KVZ31" s="15"/>
      <c r="KWA31" s="15"/>
      <c r="KWB31" s="15"/>
      <c r="KWC31" s="15"/>
      <c r="KWD31" s="15"/>
      <c r="KWE31" s="15"/>
      <c r="KWF31" s="15"/>
      <c r="KWG31" s="15"/>
      <c r="KWH31" s="15"/>
      <c r="KWI31" s="15"/>
      <c r="KWJ31" s="15"/>
      <c r="KWK31" s="15"/>
      <c r="KWL31" s="15"/>
      <c r="KWM31" s="15"/>
      <c r="KWN31" s="15"/>
      <c r="KWO31" s="15"/>
      <c r="KWP31" s="15"/>
      <c r="KWQ31" s="15"/>
      <c r="KWR31" s="15"/>
      <c r="KWS31" s="15"/>
      <c r="KWT31" s="15"/>
      <c r="KWU31" s="15"/>
      <c r="KWV31" s="15"/>
      <c r="KWW31" s="15"/>
      <c r="KWX31" s="15"/>
      <c r="KWY31" s="15"/>
      <c r="KWZ31" s="15"/>
      <c r="KXA31" s="15"/>
      <c r="KXB31" s="15"/>
      <c r="KXC31" s="15"/>
      <c r="KXD31" s="15"/>
      <c r="KXE31" s="15"/>
      <c r="KXF31" s="15"/>
      <c r="KXG31" s="15"/>
      <c r="KXH31" s="15"/>
      <c r="KXI31" s="15"/>
      <c r="KXJ31" s="15"/>
      <c r="KXK31" s="15"/>
      <c r="KXL31" s="15"/>
      <c r="KXM31" s="15"/>
      <c r="KXN31" s="15"/>
      <c r="KXO31" s="15"/>
      <c r="KXP31" s="15"/>
      <c r="KXQ31" s="15"/>
      <c r="KXR31" s="15"/>
      <c r="KXS31" s="15"/>
      <c r="KXT31" s="15"/>
      <c r="KXU31" s="15"/>
      <c r="KXV31" s="15"/>
      <c r="KXW31" s="15"/>
      <c r="KXX31" s="15"/>
      <c r="KXY31" s="15"/>
      <c r="KXZ31" s="15"/>
      <c r="KYA31" s="15"/>
      <c r="KYB31" s="15"/>
      <c r="KYC31" s="15"/>
      <c r="KYD31" s="15"/>
      <c r="KYE31" s="15"/>
      <c r="KYF31" s="15"/>
      <c r="KYG31" s="15"/>
      <c r="KYH31" s="15"/>
      <c r="KYI31" s="15"/>
      <c r="KYJ31" s="15"/>
      <c r="KYK31" s="15"/>
      <c r="KYL31" s="15"/>
      <c r="KYM31" s="15"/>
      <c r="KYN31" s="15"/>
      <c r="KYO31" s="15"/>
      <c r="KYP31" s="15"/>
      <c r="KYQ31" s="15"/>
      <c r="KYR31" s="15"/>
      <c r="KYS31" s="15"/>
      <c r="KYT31" s="15"/>
      <c r="KYU31" s="15"/>
      <c r="KYV31" s="15"/>
      <c r="KYW31" s="15"/>
      <c r="KYX31" s="15"/>
      <c r="KYY31" s="15"/>
      <c r="KYZ31" s="15"/>
      <c r="KZA31" s="15"/>
      <c r="KZB31" s="15"/>
      <c r="KZC31" s="15"/>
      <c r="KZD31" s="15"/>
      <c r="KZE31" s="15"/>
      <c r="KZF31" s="15"/>
      <c r="KZG31" s="15"/>
      <c r="KZH31" s="15"/>
      <c r="KZI31" s="15"/>
      <c r="KZJ31" s="15"/>
      <c r="KZK31" s="15"/>
      <c r="KZL31" s="15"/>
      <c r="KZM31" s="15"/>
      <c r="KZN31" s="15"/>
      <c r="KZO31" s="15"/>
      <c r="KZP31" s="15"/>
      <c r="KZQ31" s="15"/>
      <c r="KZR31" s="15"/>
      <c r="KZS31" s="15"/>
      <c r="KZT31" s="15"/>
      <c r="KZU31" s="15"/>
      <c r="KZV31" s="15"/>
      <c r="KZW31" s="15"/>
      <c r="KZX31" s="15"/>
      <c r="KZY31" s="15"/>
      <c r="KZZ31" s="15"/>
      <c r="LAA31" s="15"/>
      <c r="LAB31" s="15"/>
      <c r="LAC31" s="15"/>
      <c r="LAD31" s="15"/>
      <c r="LAE31" s="15"/>
      <c r="LAF31" s="15"/>
      <c r="LAG31" s="15"/>
      <c r="LAH31" s="15"/>
      <c r="LAI31" s="15"/>
      <c r="LAJ31" s="15"/>
      <c r="LAK31" s="15"/>
      <c r="LAL31" s="15"/>
      <c r="LAM31" s="15"/>
      <c r="LAN31" s="15"/>
      <c r="LAO31" s="15"/>
      <c r="LAP31" s="15"/>
      <c r="LAQ31" s="15"/>
      <c r="LAR31" s="15"/>
      <c r="LAS31" s="15"/>
      <c r="LAT31" s="15"/>
      <c r="LAU31" s="15"/>
      <c r="LAV31" s="15"/>
      <c r="LAW31" s="15"/>
      <c r="LAX31" s="15"/>
      <c r="LAY31" s="15"/>
      <c r="LAZ31" s="15"/>
      <c r="LBA31" s="15"/>
      <c r="LBB31" s="15"/>
      <c r="LBC31" s="15"/>
      <c r="LBD31" s="15"/>
      <c r="LBE31" s="15"/>
      <c r="LBF31" s="15"/>
      <c r="LBG31" s="15"/>
      <c r="LBH31" s="15"/>
      <c r="LBI31" s="15"/>
      <c r="LBJ31" s="15"/>
      <c r="LBK31" s="15"/>
      <c r="LBL31" s="15"/>
      <c r="LBM31" s="15"/>
      <c r="LBN31" s="15"/>
      <c r="LBO31" s="15"/>
      <c r="LBP31" s="15"/>
      <c r="LBQ31" s="15"/>
      <c r="LBR31" s="15"/>
      <c r="LBS31" s="15"/>
      <c r="LBT31" s="15"/>
      <c r="LBU31" s="15"/>
      <c r="LBV31" s="15"/>
      <c r="LBW31" s="15"/>
      <c r="LBX31" s="15"/>
      <c r="LBY31" s="15"/>
      <c r="LBZ31" s="15"/>
      <c r="LCA31" s="15"/>
      <c r="LCB31" s="15"/>
      <c r="LCC31" s="15"/>
      <c r="LCD31" s="15"/>
      <c r="LCE31" s="15"/>
      <c r="LCF31" s="15"/>
      <c r="LCG31" s="15"/>
      <c r="LCH31" s="15"/>
      <c r="LCI31" s="15"/>
      <c r="LCJ31" s="15"/>
      <c r="LCK31" s="15"/>
      <c r="LCL31" s="15"/>
      <c r="LCM31" s="15"/>
      <c r="LCN31" s="15"/>
      <c r="LCO31" s="15"/>
      <c r="LCP31" s="15"/>
      <c r="LCQ31" s="15"/>
      <c r="LCR31" s="15"/>
      <c r="LCS31" s="15"/>
      <c r="LCT31" s="15"/>
      <c r="LCU31" s="15"/>
      <c r="LCV31" s="15"/>
      <c r="LCW31" s="15"/>
      <c r="LCX31" s="15"/>
      <c r="LCY31" s="15"/>
      <c r="LCZ31" s="15"/>
      <c r="LDA31" s="15"/>
      <c r="LDB31" s="15"/>
      <c r="LDC31" s="15"/>
      <c r="LDD31" s="15"/>
      <c r="LDE31" s="15"/>
      <c r="LDF31" s="15"/>
      <c r="LDG31" s="15"/>
      <c r="LDH31" s="15"/>
      <c r="LDI31" s="15"/>
      <c r="LDJ31" s="15"/>
      <c r="LDK31" s="15"/>
      <c r="LDL31" s="15"/>
      <c r="LDM31" s="15"/>
      <c r="LDN31" s="15"/>
      <c r="LDO31" s="15"/>
      <c r="LDP31" s="15"/>
      <c r="LDQ31" s="15"/>
      <c r="LDR31" s="15"/>
      <c r="LDS31" s="15"/>
      <c r="LDT31" s="15"/>
      <c r="LDU31" s="15"/>
      <c r="LDV31" s="15"/>
      <c r="LDW31" s="15"/>
      <c r="LDX31" s="15"/>
      <c r="LDY31" s="15"/>
      <c r="LDZ31" s="15"/>
      <c r="LEA31" s="15"/>
      <c r="LEB31" s="15"/>
      <c r="LEC31" s="15"/>
      <c r="LED31" s="15"/>
      <c r="LEE31" s="15"/>
      <c r="LEF31" s="15"/>
      <c r="LEG31" s="15"/>
      <c r="LEH31" s="15"/>
      <c r="LEI31" s="15"/>
      <c r="LEJ31" s="15"/>
      <c r="LEK31" s="15"/>
      <c r="LEL31" s="15"/>
      <c r="LEM31" s="15"/>
      <c r="LEN31" s="15"/>
      <c r="LEO31" s="15"/>
      <c r="LEP31" s="15"/>
      <c r="LEQ31" s="15"/>
      <c r="LER31" s="15"/>
      <c r="LES31" s="15"/>
      <c r="LET31" s="15"/>
      <c r="LEU31" s="15"/>
      <c r="LEV31" s="15"/>
      <c r="LEW31" s="15"/>
      <c r="LEX31" s="15"/>
      <c r="LEY31" s="15"/>
      <c r="LEZ31" s="15"/>
      <c r="LFA31" s="15"/>
      <c r="LFB31" s="15"/>
      <c r="LFC31" s="15"/>
      <c r="LFD31" s="15"/>
      <c r="LFE31" s="15"/>
      <c r="LFF31" s="15"/>
      <c r="LFG31" s="15"/>
      <c r="LFH31" s="15"/>
      <c r="LFI31" s="15"/>
      <c r="LFJ31" s="15"/>
      <c r="LFK31" s="15"/>
      <c r="LFL31" s="15"/>
      <c r="LFM31" s="15"/>
      <c r="LFN31" s="15"/>
      <c r="LFO31" s="15"/>
      <c r="LFP31" s="15"/>
      <c r="LFQ31" s="15"/>
      <c r="LFR31" s="15"/>
      <c r="LFS31" s="15"/>
      <c r="LFT31" s="15"/>
      <c r="LFU31" s="15"/>
      <c r="LFV31" s="15"/>
      <c r="LFW31" s="15"/>
      <c r="LFX31" s="15"/>
      <c r="LFY31" s="15"/>
      <c r="LFZ31" s="15"/>
      <c r="LGA31" s="15"/>
      <c r="LGB31" s="15"/>
      <c r="LGC31" s="15"/>
      <c r="LGD31" s="15"/>
      <c r="LGE31" s="15"/>
      <c r="LGF31" s="15"/>
      <c r="LGG31" s="15"/>
      <c r="LGH31" s="15"/>
      <c r="LGI31" s="15"/>
      <c r="LGJ31" s="15"/>
      <c r="LGK31" s="15"/>
      <c r="LGL31" s="15"/>
      <c r="LGM31" s="15"/>
      <c r="LGN31" s="15"/>
      <c r="LGO31" s="15"/>
      <c r="LGP31" s="15"/>
      <c r="LGQ31" s="15"/>
      <c r="LGR31" s="15"/>
      <c r="LGS31" s="15"/>
      <c r="LGT31" s="15"/>
      <c r="LGU31" s="15"/>
      <c r="LGV31" s="15"/>
      <c r="LGW31" s="15"/>
      <c r="LGX31" s="15"/>
      <c r="LGY31" s="15"/>
      <c r="LGZ31" s="15"/>
      <c r="LHA31" s="15"/>
      <c r="LHB31" s="15"/>
      <c r="LHC31" s="15"/>
      <c r="LHD31" s="15"/>
      <c r="LHE31" s="15"/>
      <c r="LHF31" s="15"/>
      <c r="LHG31" s="15"/>
      <c r="LHH31" s="15"/>
      <c r="LHI31" s="15"/>
      <c r="LHJ31" s="15"/>
      <c r="LHK31" s="15"/>
      <c r="LHL31" s="15"/>
      <c r="LHM31" s="15"/>
      <c r="LHN31" s="15"/>
      <c r="LHO31" s="15"/>
      <c r="LHP31" s="15"/>
      <c r="LHQ31" s="15"/>
      <c r="LHR31" s="15"/>
      <c r="LHS31" s="15"/>
      <c r="LHT31" s="15"/>
      <c r="LHU31" s="15"/>
      <c r="LHV31" s="15"/>
      <c r="LHW31" s="15"/>
      <c r="LHX31" s="15"/>
      <c r="LHY31" s="15"/>
      <c r="LHZ31" s="15"/>
      <c r="LIA31" s="15"/>
      <c r="LIB31" s="15"/>
      <c r="LIC31" s="15"/>
      <c r="LID31" s="15"/>
      <c r="LIE31" s="15"/>
      <c r="LIF31" s="15"/>
      <c r="LIG31" s="15"/>
      <c r="LIH31" s="15"/>
      <c r="LII31" s="15"/>
      <c r="LIJ31" s="15"/>
      <c r="LIK31" s="15"/>
      <c r="LIL31" s="15"/>
      <c r="LIM31" s="15"/>
      <c r="LIN31" s="15"/>
      <c r="LIO31" s="15"/>
      <c r="LIP31" s="15"/>
      <c r="LIQ31" s="15"/>
      <c r="LIR31" s="15"/>
      <c r="LIS31" s="15"/>
      <c r="LIT31" s="15"/>
      <c r="LIU31" s="15"/>
      <c r="LIV31" s="15"/>
      <c r="LIW31" s="15"/>
      <c r="LIX31" s="15"/>
      <c r="LIY31" s="15"/>
      <c r="LIZ31" s="15"/>
      <c r="LJA31" s="15"/>
      <c r="LJB31" s="15"/>
      <c r="LJC31" s="15"/>
      <c r="LJD31" s="15"/>
      <c r="LJE31" s="15"/>
      <c r="LJF31" s="15"/>
      <c r="LJG31" s="15"/>
      <c r="LJH31" s="15"/>
      <c r="LJI31" s="15"/>
      <c r="LJJ31" s="15"/>
      <c r="LJK31" s="15"/>
      <c r="LJL31" s="15"/>
      <c r="LJM31" s="15"/>
      <c r="LJN31" s="15"/>
      <c r="LJO31" s="15"/>
      <c r="LJP31" s="15"/>
      <c r="LJQ31" s="15"/>
      <c r="LJR31" s="15"/>
      <c r="LJS31" s="15"/>
      <c r="LJT31" s="15"/>
      <c r="LJU31" s="15"/>
      <c r="LJV31" s="15"/>
      <c r="LJW31" s="15"/>
      <c r="LJX31" s="15"/>
      <c r="LJY31" s="15"/>
      <c r="LJZ31" s="15"/>
      <c r="LKA31" s="15"/>
      <c r="LKB31" s="15"/>
      <c r="LKC31" s="15"/>
      <c r="LKD31" s="15"/>
      <c r="LKE31" s="15"/>
      <c r="LKF31" s="15"/>
      <c r="LKG31" s="15"/>
      <c r="LKH31" s="15"/>
      <c r="LKI31" s="15"/>
      <c r="LKJ31" s="15"/>
      <c r="LKK31" s="15"/>
      <c r="LKL31" s="15"/>
      <c r="LKM31" s="15"/>
      <c r="LKN31" s="15"/>
      <c r="LKO31" s="15"/>
      <c r="LKP31" s="15"/>
      <c r="LKQ31" s="15"/>
      <c r="LKR31" s="15"/>
      <c r="LKS31" s="15"/>
      <c r="LKT31" s="15"/>
      <c r="LKU31" s="15"/>
      <c r="LKV31" s="15"/>
      <c r="LKW31" s="15"/>
      <c r="LKX31" s="15"/>
      <c r="LKY31" s="15"/>
      <c r="LKZ31" s="15"/>
      <c r="LLA31" s="15"/>
      <c r="LLB31" s="15"/>
      <c r="LLC31" s="15"/>
      <c r="LLD31" s="15"/>
      <c r="LLE31" s="15"/>
      <c r="LLF31" s="15"/>
      <c r="LLG31" s="15"/>
      <c r="LLH31" s="15"/>
      <c r="LLI31" s="15"/>
      <c r="LLJ31" s="15"/>
      <c r="LLK31" s="15"/>
      <c r="LLL31" s="15"/>
      <c r="LLM31" s="15"/>
      <c r="LLN31" s="15"/>
      <c r="LLO31" s="15"/>
      <c r="LLP31" s="15"/>
      <c r="LLQ31" s="15"/>
      <c r="LLR31" s="15"/>
      <c r="LLS31" s="15"/>
      <c r="LLT31" s="15"/>
      <c r="LLU31" s="15"/>
      <c r="LLV31" s="15"/>
      <c r="LLW31" s="15"/>
      <c r="LLX31" s="15"/>
      <c r="LLY31" s="15"/>
      <c r="LLZ31" s="15"/>
      <c r="LMA31" s="15"/>
      <c r="LMB31" s="15"/>
      <c r="LMC31" s="15"/>
      <c r="LMD31" s="15"/>
      <c r="LME31" s="15"/>
      <c r="LMF31" s="15"/>
      <c r="LMG31" s="15"/>
      <c r="LMH31" s="15"/>
      <c r="LMI31" s="15"/>
      <c r="LMJ31" s="15"/>
      <c r="LMK31" s="15"/>
      <c r="LML31" s="15"/>
      <c r="LMM31" s="15"/>
      <c r="LMN31" s="15"/>
      <c r="LMO31" s="15"/>
      <c r="LMP31" s="15"/>
      <c r="LMQ31" s="15"/>
      <c r="LMR31" s="15"/>
      <c r="LMS31" s="15"/>
      <c r="LMT31" s="15"/>
      <c r="LMU31" s="15"/>
      <c r="LMV31" s="15"/>
      <c r="LMW31" s="15"/>
      <c r="LMX31" s="15"/>
      <c r="LMY31" s="15"/>
      <c r="LMZ31" s="15"/>
      <c r="LNA31" s="15"/>
      <c r="LNB31" s="15"/>
      <c r="LNC31" s="15"/>
      <c r="LND31" s="15"/>
      <c r="LNE31" s="15"/>
      <c r="LNF31" s="15"/>
      <c r="LNG31" s="15"/>
      <c r="LNH31" s="15"/>
      <c r="LNI31" s="15"/>
      <c r="LNJ31" s="15"/>
      <c r="LNK31" s="15"/>
      <c r="LNL31" s="15"/>
      <c r="LNM31" s="15"/>
      <c r="LNN31" s="15"/>
      <c r="LNO31" s="15"/>
      <c r="LNP31" s="15"/>
      <c r="LNQ31" s="15"/>
      <c r="LNR31" s="15"/>
      <c r="LNS31" s="15"/>
      <c r="LNT31" s="15"/>
      <c r="LNU31" s="15"/>
      <c r="LNV31" s="15"/>
      <c r="LNW31" s="15"/>
      <c r="LNX31" s="15"/>
      <c r="LNY31" s="15"/>
      <c r="LNZ31" s="15"/>
      <c r="LOA31" s="15"/>
      <c r="LOB31" s="15"/>
      <c r="LOC31" s="15"/>
      <c r="LOD31" s="15"/>
      <c r="LOE31" s="15"/>
      <c r="LOF31" s="15"/>
      <c r="LOG31" s="15"/>
      <c r="LOH31" s="15"/>
      <c r="LOI31" s="15"/>
      <c r="LOJ31" s="15"/>
      <c r="LOK31" s="15"/>
      <c r="LOL31" s="15"/>
      <c r="LOM31" s="15"/>
      <c r="LON31" s="15"/>
      <c r="LOO31" s="15"/>
      <c r="LOP31" s="15"/>
      <c r="LOQ31" s="15"/>
      <c r="LOR31" s="15"/>
      <c r="LOS31" s="15"/>
      <c r="LOT31" s="15"/>
      <c r="LOU31" s="15"/>
      <c r="LOV31" s="15"/>
      <c r="LOW31" s="15"/>
      <c r="LOX31" s="15"/>
      <c r="LOY31" s="15"/>
      <c r="LOZ31" s="15"/>
      <c r="LPA31" s="15"/>
      <c r="LPB31" s="15"/>
      <c r="LPC31" s="15"/>
      <c r="LPD31" s="15"/>
      <c r="LPE31" s="15"/>
      <c r="LPF31" s="15"/>
      <c r="LPG31" s="15"/>
      <c r="LPH31" s="15"/>
      <c r="LPI31" s="15"/>
      <c r="LPJ31" s="15"/>
      <c r="LPK31" s="15"/>
      <c r="LPL31" s="15"/>
      <c r="LPM31" s="15"/>
      <c r="LPN31" s="15"/>
      <c r="LPO31" s="15"/>
      <c r="LPP31" s="15"/>
      <c r="LPQ31" s="15"/>
      <c r="LPR31" s="15"/>
      <c r="LPS31" s="15"/>
      <c r="LPT31" s="15"/>
      <c r="LPU31" s="15"/>
      <c r="LPV31" s="15"/>
      <c r="LPW31" s="15"/>
      <c r="LPX31" s="15"/>
      <c r="LPY31" s="15"/>
      <c r="LPZ31" s="15"/>
      <c r="LQA31" s="15"/>
      <c r="LQB31" s="15"/>
      <c r="LQC31" s="15"/>
      <c r="LQD31" s="15"/>
      <c r="LQE31" s="15"/>
      <c r="LQF31" s="15"/>
      <c r="LQG31" s="15"/>
      <c r="LQH31" s="15"/>
      <c r="LQI31" s="15"/>
      <c r="LQJ31" s="15"/>
      <c r="LQK31" s="15"/>
      <c r="LQL31" s="15"/>
      <c r="LQM31" s="15"/>
      <c r="LQN31" s="15"/>
      <c r="LQO31" s="15"/>
      <c r="LQP31" s="15"/>
      <c r="LQQ31" s="15"/>
      <c r="LQR31" s="15"/>
      <c r="LQS31" s="15"/>
      <c r="LQT31" s="15"/>
      <c r="LQU31" s="15"/>
      <c r="LQV31" s="15"/>
      <c r="LQW31" s="15"/>
      <c r="LQX31" s="15"/>
      <c r="LQY31" s="15"/>
      <c r="LQZ31" s="15"/>
      <c r="LRA31" s="15"/>
      <c r="LRB31" s="15"/>
      <c r="LRC31" s="15"/>
      <c r="LRD31" s="15"/>
      <c r="LRE31" s="15"/>
      <c r="LRF31" s="15"/>
      <c r="LRG31" s="15"/>
      <c r="LRH31" s="15"/>
      <c r="LRI31" s="15"/>
      <c r="LRJ31" s="15"/>
      <c r="LRK31" s="15"/>
      <c r="LRL31" s="15"/>
      <c r="LRM31" s="15"/>
      <c r="LRN31" s="15"/>
      <c r="LRO31" s="15"/>
      <c r="LRP31" s="15"/>
      <c r="LRQ31" s="15"/>
      <c r="LRR31" s="15"/>
      <c r="LRS31" s="15"/>
      <c r="LRT31" s="15"/>
      <c r="LRU31" s="15"/>
      <c r="LRV31" s="15"/>
      <c r="LRW31" s="15"/>
      <c r="LRX31" s="15"/>
      <c r="LRY31" s="15"/>
      <c r="LRZ31" s="15"/>
      <c r="LSA31" s="15"/>
      <c r="LSB31" s="15"/>
      <c r="LSC31" s="15"/>
      <c r="LSD31" s="15"/>
      <c r="LSE31" s="15"/>
      <c r="LSF31" s="15"/>
      <c r="LSG31" s="15"/>
      <c r="LSH31" s="15"/>
      <c r="LSI31" s="15"/>
      <c r="LSJ31" s="15"/>
      <c r="LSK31" s="15"/>
      <c r="LSL31" s="15"/>
      <c r="LSM31" s="15"/>
      <c r="LSN31" s="15"/>
      <c r="LSO31" s="15"/>
      <c r="LSP31" s="15"/>
      <c r="LSQ31" s="15"/>
      <c r="LSR31" s="15"/>
      <c r="LSS31" s="15"/>
      <c r="LST31" s="15"/>
      <c r="LSU31" s="15"/>
      <c r="LSV31" s="15"/>
      <c r="LSW31" s="15"/>
      <c r="LSX31" s="15"/>
      <c r="LSY31" s="15"/>
      <c r="LSZ31" s="15"/>
      <c r="LTA31" s="15"/>
      <c r="LTB31" s="15"/>
      <c r="LTC31" s="15"/>
      <c r="LTD31" s="15"/>
      <c r="LTE31" s="15"/>
      <c r="LTF31" s="15"/>
      <c r="LTG31" s="15"/>
      <c r="LTH31" s="15"/>
      <c r="LTI31" s="15"/>
      <c r="LTJ31" s="15"/>
      <c r="LTK31" s="15"/>
      <c r="LTL31" s="15"/>
      <c r="LTM31" s="15"/>
      <c r="LTN31" s="15"/>
      <c r="LTO31" s="15"/>
      <c r="LTP31" s="15"/>
      <c r="LTQ31" s="15"/>
      <c r="LTR31" s="15"/>
      <c r="LTS31" s="15"/>
      <c r="LTT31" s="15"/>
      <c r="LTU31" s="15"/>
      <c r="LTV31" s="15"/>
      <c r="LTW31" s="15"/>
      <c r="LTX31" s="15"/>
      <c r="LTY31" s="15"/>
      <c r="LTZ31" s="15"/>
      <c r="LUA31" s="15"/>
      <c r="LUB31" s="15"/>
      <c r="LUC31" s="15"/>
      <c r="LUD31" s="15"/>
      <c r="LUE31" s="15"/>
      <c r="LUF31" s="15"/>
      <c r="LUG31" s="15"/>
      <c r="LUH31" s="15"/>
      <c r="LUI31" s="15"/>
      <c r="LUJ31" s="15"/>
      <c r="LUK31" s="15"/>
      <c r="LUL31" s="15"/>
      <c r="LUM31" s="15"/>
      <c r="LUN31" s="15"/>
      <c r="LUO31" s="15"/>
      <c r="LUP31" s="15"/>
      <c r="LUQ31" s="15"/>
      <c r="LUR31" s="15"/>
      <c r="LUS31" s="15"/>
      <c r="LUT31" s="15"/>
      <c r="LUU31" s="15"/>
      <c r="LUV31" s="15"/>
      <c r="LUW31" s="15"/>
      <c r="LUX31" s="15"/>
      <c r="LUY31" s="15"/>
      <c r="LUZ31" s="15"/>
      <c r="LVA31" s="15"/>
      <c r="LVB31" s="15"/>
      <c r="LVC31" s="15"/>
      <c r="LVD31" s="15"/>
      <c r="LVE31" s="15"/>
      <c r="LVF31" s="15"/>
      <c r="LVG31" s="15"/>
      <c r="LVH31" s="15"/>
      <c r="LVI31" s="15"/>
      <c r="LVJ31" s="15"/>
      <c r="LVK31" s="15"/>
      <c r="LVL31" s="15"/>
      <c r="LVM31" s="15"/>
      <c r="LVN31" s="15"/>
      <c r="LVO31" s="15"/>
      <c r="LVP31" s="15"/>
      <c r="LVQ31" s="15"/>
      <c r="LVR31" s="15"/>
      <c r="LVS31" s="15"/>
      <c r="LVT31" s="15"/>
      <c r="LVU31" s="15"/>
      <c r="LVV31" s="15"/>
      <c r="LVW31" s="15"/>
      <c r="LVX31" s="15"/>
      <c r="LVY31" s="15"/>
      <c r="LVZ31" s="15"/>
      <c r="LWA31" s="15"/>
      <c r="LWB31" s="15"/>
      <c r="LWC31" s="15"/>
      <c r="LWD31" s="15"/>
      <c r="LWE31" s="15"/>
      <c r="LWF31" s="15"/>
      <c r="LWG31" s="15"/>
      <c r="LWH31" s="15"/>
      <c r="LWI31" s="15"/>
      <c r="LWJ31" s="15"/>
      <c r="LWK31" s="15"/>
      <c r="LWL31" s="15"/>
      <c r="LWM31" s="15"/>
      <c r="LWN31" s="15"/>
      <c r="LWO31" s="15"/>
      <c r="LWP31" s="15"/>
      <c r="LWQ31" s="15"/>
      <c r="LWR31" s="15"/>
      <c r="LWS31" s="15"/>
      <c r="LWT31" s="15"/>
      <c r="LWU31" s="15"/>
      <c r="LWV31" s="15"/>
      <c r="LWW31" s="15"/>
      <c r="LWX31" s="15"/>
      <c r="LWY31" s="15"/>
      <c r="LWZ31" s="15"/>
      <c r="LXA31" s="15"/>
      <c r="LXB31" s="15"/>
      <c r="LXC31" s="15"/>
      <c r="LXD31" s="15"/>
      <c r="LXE31" s="15"/>
      <c r="LXF31" s="15"/>
      <c r="LXG31" s="15"/>
      <c r="LXH31" s="15"/>
      <c r="LXI31" s="15"/>
      <c r="LXJ31" s="15"/>
      <c r="LXK31" s="15"/>
      <c r="LXL31" s="15"/>
      <c r="LXM31" s="15"/>
      <c r="LXN31" s="15"/>
      <c r="LXO31" s="15"/>
      <c r="LXP31" s="15"/>
      <c r="LXQ31" s="15"/>
      <c r="LXR31" s="15"/>
      <c r="LXS31" s="15"/>
      <c r="LXT31" s="15"/>
      <c r="LXU31" s="15"/>
      <c r="LXV31" s="15"/>
      <c r="LXW31" s="15"/>
      <c r="LXX31" s="15"/>
      <c r="LXY31" s="15"/>
      <c r="LXZ31" s="15"/>
      <c r="LYA31" s="15"/>
      <c r="LYB31" s="15"/>
      <c r="LYC31" s="15"/>
      <c r="LYD31" s="15"/>
      <c r="LYE31" s="15"/>
      <c r="LYF31" s="15"/>
      <c r="LYG31" s="15"/>
      <c r="LYH31" s="15"/>
      <c r="LYI31" s="15"/>
      <c r="LYJ31" s="15"/>
      <c r="LYK31" s="15"/>
      <c r="LYL31" s="15"/>
      <c r="LYM31" s="15"/>
      <c r="LYN31" s="15"/>
      <c r="LYO31" s="15"/>
      <c r="LYP31" s="15"/>
      <c r="LYQ31" s="15"/>
      <c r="LYR31" s="15"/>
      <c r="LYS31" s="15"/>
      <c r="LYT31" s="15"/>
      <c r="LYU31" s="15"/>
      <c r="LYV31" s="15"/>
      <c r="LYW31" s="15"/>
      <c r="LYX31" s="15"/>
      <c r="LYY31" s="15"/>
      <c r="LYZ31" s="15"/>
      <c r="LZA31" s="15"/>
      <c r="LZB31" s="15"/>
      <c r="LZC31" s="15"/>
      <c r="LZD31" s="15"/>
      <c r="LZE31" s="15"/>
      <c r="LZF31" s="15"/>
      <c r="LZG31" s="15"/>
      <c r="LZH31" s="15"/>
      <c r="LZI31" s="15"/>
      <c r="LZJ31" s="15"/>
      <c r="LZK31" s="15"/>
      <c r="LZL31" s="15"/>
      <c r="LZM31" s="15"/>
      <c r="LZN31" s="15"/>
      <c r="LZO31" s="15"/>
      <c r="LZP31" s="15"/>
      <c r="LZQ31" s="15"/>
      <c r="LZR31" s="15"/>
      <c r="LZS31" s="15"/>
      <c r="LZT31" s="15"/>
      <c r="LZU31" s="15"/>
      <c r="LZV31" s="15"/>
      <c r="LZW31" s="15"/>
      <c r="LZX31" s="15"/>
      <c r="LZY31" s="15"/>
      <c r="LZZ31" s="15"/>
      <c r="MAA31" s="15"/>
      <c r="MAB31" s="15"/>
      <c r="MAC31" s="15"/>
      <c r="MAD31" s="15"/>
      <c r="MAE31" s="15"/>
      <c r="MAF31" s="15"/>
      <c r="MAG31" s="15"/>
      <c r="MAH31" s="15"/>
      <c r="MAI31" s="15"/>
      <c r="MAJ31" s="15"/>
      <c r="MAK31" s="15"/>
      <c r="MAL31" s="15"/>
      <c r="MAM31" s="15"/>
      <c r="MAN31" s="15"/>
      <c r="MAO31" s="15"/>
      <c r="MAP31" s="15"/>
      <c r="MAQ31" s="15"/>
      <c r="MAR31" s="15"/>
      <c r="MAS31" s="15"/>
      <c r="MAT31" s="15"/>
      <c r="MAU31" s="15"/>
      <c r="MAV31" s="15"/>
      <c r="MAW31" s="15"/>
      <c r="MAX31" s="15"/>
      <c r="MAY31" s="15"/>
      <c r="MAZ31" s="15"/>
      <c r="MBA31" s="15"/>
      <c r="MBB31" s="15"/>
      <c r="MBC31" s="15"/>
      <c r="MBD31" s="15"/>
      <c r="MBE31" s="15"/>
      <c r="MBF31" s="15"/>
      <c r="MBG31" s="15"/>
      <c r="MBH31" s="15"/>
      <c r="MBI31" s="15"/>
      <c r="MBJ31" s="15"/>
      <c r="MBK31" s="15"/>
      <c r="MBL31" s="15"/>
      <c r="MBM31" s="15"/>
      <c r="MBN31" s="15"/>
      <c r="MBO31" s="15"/>
      <c r="MBP31" s="15"/>
      <c r="MBQ31" s="15"/>
      <c r="MBR31" s="15"/>
      <c r="MBS31" s="15"/>
      <c r="MBT31" s="15"/>
      <c r="MBU31" s="15"/>
      <c r="MBV31" s="15"/>
      <c r="MBW31" s="15"/>
      <c r="MBX31" s="15"/>
      <c r="MBY31" s="15"/>
      <c r="MBZ31" s="15"/>
      <c r="MCA31" s="15"/>
      <c r="MCB31" s="15"/>
      <c r="MCC31" s="15"/>
      <c r="MCD31" s="15"/>
      <c r="MCE31" s="15"/>
      <c r="MCF31" s="15"/>
      <c r="MCG31" s="15"/>
      <c r="MCH31" s="15"/>
      <c r="MCI31" s="15"/>
      <c r="MCJ31" s="15"/>
      <c r="MCK31" s="15"/>
      <c r="MCL31" s="15"/>
      <c r="MCM31" s="15"/>
      <c r="MCN31" s="15"/>
      <c r="MCO31" s="15"/>
      <c r="MCP31" s="15"/>
      <c r="MCQ31" s="15"/>
      <c r="MCR31" s="15"/>
      <c r="MCS31" s="15"/>
      <c r="MCT31" s="15"/>
      <c r="MCU31" s="15"/>
      <c r="MCV31" s="15"/>
      <c r="MCW31" s="15"/>
      <c r="MCX31" s="15"/>
      <c r="MCY31" s="15"/>
      <c r="MCZ31" s="15"/>
      <c r="MDA31" s="15"/>
      <c r="MDB31" s="15"/>
      <c r="MDC31" s="15"/>
      <c r="MDD31" s="15"/>
      <c r="MDE31" s="15"/>
      <c r="MDF31" s="15"/>
      <c r="MDG31" s="15"/>
      <c r="MDH31" s="15"/>
      <c r="MDI31" s="15"/>
      <c r="MDJ31" s="15"/>
      <c r="MDK31" s="15"/>
      <c r="MDL31" s="15"/>
      <c r="MDM31" s="15"/>
      <c r="MDN31" s="15"/>
      <c r="MDO31" s="15"/>
      <c r="MDP31" s="15"/>
      <c r="MDQ31" s="15"/>
      <c r="MDR31" s="15"/>
      <c r="MDS31" s="15"/>
      <c r="MDT31" s="15"/>
      <c r="MDU31" s="15"/>
      <c r="MDV31" s="15"/>
      <c r="MDW31" s="15"/>
      <c r="MDX31" s="15"/>
      <c r="MDY31" s="15"/>
      <c r="MDZ31" s="15"/>
      <c r="MEA31" s="15"/>
      <c r="MEB31" s="15"/>
      <c r="MEC31" s="15"/>
      <c r="MED31" s="15"/>
      <c r="MEE31" s="15"/>
      <c r="MEF31" s="15"/>
      <c r="MEG31" s="15"/>
      <c r="MEH31" s="15"/>
      <c r="MEI31" s="15"/>
      <c r="MEJ31" s="15"/>
      <c r="MEK31" s="15"/>
      <c r="MEL31" s="15"/>
      <c r="MEM31" s="15"/>
      <c r="MEN31" s="15"/>
      <c r="MEO31" s="15"/>
      <c r="MEP31" s="15"/>
      <c r="MEQ31" s="15"/>
      <c r="MER31" s="15"/>
      <c r="MES31" s="15"/>
      <c r="MET31" s="15"/>
      <c r="MEU31" s="15"/>
      <c r="MEV31" s="15"/>
      <c r="MEW31" s="15"/>
      <c r="MEX31" s="15"/>
      <c r="MEY31" s="15"/>
      <c r="MEZ31" s="15"/>
      <c r="MFA31" s="15"/>
      <c r="MFB31" s="15"/>
      <c r="MFC31" s="15"/>
      <c r="MFD31" s="15"/>
      <c r="MFE31" s="15"/>
      <c r="MFF31" s="15"/>
      <c r="MFG31" s="15"/>
      <c r="MFH31" s="15"/>
      <c r="MFI31" s="15"/>
      <c r="MFJ31" s="15"/>
      <c r="MFK31" s="15"/>
      <c r="MFL31" s="15"/>
      <c r="MFM31" s="15"/>
      <c r="MFN31" s="15"/>
      <c r="MFO31" s="15"/>
      <c r="MFP31" s="15"/>
      <c r="MFQ31" s="15"/>
      <c r="MFR31" s="15"/>
      <c r="MFS31" s="15"/>
      <c r="MFT31" s="15"/>
      <c r="MFU31" s="15"/>
      <c r="MFV31" s="15"/>
      <c r="MFW31" s="15"/>
      <c r="MFX31" s="15"/>
      <c r="MFY31" s="15"/>
      <c r="MFZ31" s="15"/>
      <c r="MGA31" s="15"/>
      <c r="MGB31" s="15"/>
      <c r="MGC31" s="15"/>
      <c r="MGD31" s="15"/>
      <c r="MGE31" s="15"/>
      <c r="MGF31" s="15"/>
      <c r="MGG31" s="15"/>
      <c r="MGH31" s="15"/>
      <c r="MGI31" s="15"/>
      <c r="MGJ31" s="15"/>
      <c r="MGK31" s="15"/>
      <c r="MGL31" s="15"/>
      <c r="MGM31" s="15"/>
      <c r="MGN31" s="15"/>
      <c r="MGO31" s="15"/>
      <c r="MGP31" s="15"/>
      <c r="MGQ31" s="15"/>
      <c r="MGR31" s="15"/>
      <c r="MGS31" s="15"/>
      <c r="MGT31" s="15"/>
      <c r="MGU31" s="15"/>
      <c r="MGV31" s="15"/>
      <c r="MGW31" s="15"/>
      <c r="MGX31" s="15"/>
      <c r="MGY31" s="15"/>
      <c r="MGZ31" s="15"/>
      <c r="MHA31" s="15"/>
      <c r="MHB31" s="15"/>
      <c r="MHC31" s="15"/>
      <c r="MHD31" s="15"/>
      <c r="MHE31" s="15"/>
      <c r="MHF31" s="15"/>
      <c r="MHG31" s="15"/>
      <c r="MHH31" s="15"/>
      <c r="MHI31" s="15"/>
      <c r="MHJ31" s="15"/>
      <c r="MHK31" s="15"/>
      <c r="MHL31" s="15"/>
      <c r="MHM31" s="15"/>
      <c r="MHN31" s="15"/>
      <c r="MHO31" s="15"/>
      <c r="MHP31" s="15"/>
      <c r="MHQ31" s="15"/>
      <c r="MHR31" s="15"/>
      <c r="MHS31" s="15"/>
      <c r="MHT31" s="15"/>
      <c r="MHU31" s="15"/>
      <c r="MHV31" s="15"/>
      <c r="MHW31" s="15"/>
      <c r="MHX31" s="15"/>
      <c r="MHY31" s="15"/>
      <c r="MHZ31" s="15"/>
      <c r="MIA31" s="15"/>
      <c r="MIB31" s="15"/>
      <c r="MIC31" s="15"/>
      <c r="MID31" s="15"/>
      <c r="MIE31" s="15"/>
      <c r="MIF31" s="15"/>
      <c r="MIG31" s="15"/>
      <c r="MIH31" s="15"/>
      <c r="MII31" s="15"/>
      <c r="MIJ31" s="15"/>
      <c r="MIK31" s="15"/>
      <c r="MIL31" s="15"/>
      <c r="MIM31" s="15"/>
      <c r="MIN31" s="15"/>
      <c r="MIO31" s="15"/>
      <c r="MIP31" s="15"/>
      <c r="MIQ31" s="15"/>
      <c r="MIR31" s="15"/>
      <c r="MIS31" s="15"/>
      <c r="MIT31" s="15"/>
      <c r="MIU31" s="15"/>
      <c r="MIV31" s="15"/>
      <c r="MIW31" s="15"/>
      <c r="MIX31" s="15"/>
      <c r="MIY31" s="15"/>
      <c r="MIZ31" s="15"/>
      <c r="MJA31" s="15"/>
      <c r="MJB31" s="15"/>
      <c r="MJC31" s="15"/>
      <c r="MJD31" s="15"/>
      <c r="MJE31" s="15"/>
      <c r="MJF31" s="15"/>
      <c r="MJG31" s="15"/>
      <c r="MJH31" s="15"/>
      <c r="MJI31" s="15"/>
      <c r="MJJ31" s="15"/>
      <c r="MJK31" s="15"/>
      <c r="MJL31" s="15"/>
      <c r="MJM31" s="15"/>
      <c r="MJN31" s="15"/>
      <c r="MJO31" s="15"/>
      <c r="MJP31" s="15"/>
      <c r="MJQ31" s="15"/>
      <c r="MJR31" s="15"/>
      <c r="MJS31" s="15"/>
      <c r="MJT31" s="15"/>
      <c r="MJU31" s="15"/>
      <c r="MJV31" s="15"/>
      <c r="MJW31" s="15"/>
      <c r="MJX31" s="15"/>
      <c r="MJY31" s="15"/>
      <c r="MJZ31" s="15"/>
      <c r="MKA31" s="15"/>
      <c r="MKB31" s="15"/>
      <c r="MKC31" s="15"/>
      <c r="MKD31" s="15"/>
      <c r="MKE31" s="15"/>
      <c r="MKF31" s="15"/>
      <c r="MKG31" s="15"/>
      <c r="MKH31" s="15"/>
      <c r="MKI31" s="15"/>
      <c r="MKJ31" s="15"/>
      <c r="MKK31" s="15"/>
      <c r="MKL31" s="15"/>
      <c r="MKM31" s="15"/>
      <c r="MKN31" s="15"/>
      <c r="MKO31" s="15"/>
      <c r="MKP31" s="15"/>
      <c r="MKQ31" s="15"/>
      <c r="MKR31" s="15"/>
      <c r="MKS31" s="15"/>
      <c r="MKT31" s="15"/>
      <c r="MKU31" s="15"/>
      <c r="MKV31" s="15"/>
      <c r="MKW31" s="15"/>
      <c r="MKX31" s="15"/>
      <c r="MKY31" s="15"/>
      <c r="MKZ31" s="15"/>
      <c r="MLA31" s="15"/>
      <c r="MLB31" s="15"/>
      <c r="MLC31" s="15"/>
      <c r="MLD31" s="15"/>
      <c r="MLE31" s="15"/>
      <c r="MLF31" s="15"/>
      <c r="MLG31" s="15"/>
      <c r="MLH31" s="15"/>
      <c r="MLI31" s="15"/>
      <c r="MLJ31" s="15"/>
      <c r="MLK31" s="15"/>
      <c r="MLL31" s="15"/>
      <c r="MLM31" s="15"/>
      <c r="MLN31" s="15"/>
      <c r="MLO31" s="15"/>
      <c r="MLP31" s="15"/>
      <c r="MLQ31" s="15"/>
      <c r="MLR31" s="15"/>
      <c r="MLS31" s="15"/>
      <c r="MLT31" s="15"/>
      <c r="MLU31" s="15"/>
      <c r="MLV31" s="15"/>
      <c r="MLW31" s="15"/>
      <c r="MLX31" s="15"/>
      <c r="MLY31" s="15"/>
      <c r="MLZ31" s="15"/>
      <c r="MMA31" s="15"/>
      <c r="MMB31" s="15"/>
      <c r="MMC31" s="15"/>
      <c r="MMD31" s="15"/>
      <c r="MME31" s="15"/>
      <c r="MMF31" s="15"/>
      <c r="MMG31" s="15"/>
      <c r="MMH31" s="15"/>
      <c r="MMI31" s="15"/>
      <c r="MMJ31" s="15"/>
      <c r="MMK31" s="15"/>
      <c r="MML31" s="15"/>
      <c r="MMM31" s="15"/>
      <c r="MMN31" s="15"/>
      <c r="MMO31" s="15"/>
      <c r="MMP31" s="15"/>
      <c r="MMQ31" s="15"/>
      <c r="MMR31" s="15"/>
      <c r="MMS31" s="15"/>
      <c r="MMT31" s="15"/>
      <c r="MMU31" s="15"/>
      <c r="MMV31" s="15"/>
      <c r="MMW31" s="15"/>
      <c r="MMX31" s="15"/>
      <c r="MMY31" s="15"/>
      <c r="MMZ31" s="15"/>
      <c r="MNA31" s="15"/>
      <c r="MNB31" s="15"/>
      <c r="MNC31" s="15"/>
      <c r="MND31" s="15"/>
      <c r="MNE31" s="15"/>
      <c r="MNF31" s="15"/>
      <c r="MNG31" s="15"/>
      <c r="MNH31" s="15"/>
      <c r="MNI31" s="15"/>
      <c r="MNJ31" s="15"/>
      <c r="MNK31" s="15"/>
      <c r="MNL31" s="15"/>
      <c r="MNM31" s="15"/>
      <c r="MNN31" s="15"/>
      <c r="MNO31" s="15"/>
      <c r="MNP31" s="15"/>
      <c r="MNQ31" s="15"/>
      <c r="MNR31" s="15"/>
      <c r="MNS31" s="15"/>
      <c r="MNT31" s="15"/>
      <c r="MNU31" s="15"/>
      <c r="MNV31" s="15"/>
      <c r="MNW31" s="15"/>
      <c r="MNX31" s="15"/>
      <c r="MNY31" s="15"/>
      <c r="MNZ31" s="15"/>
      <c r="MOA31" s="15"/>
      <c r="MOB31" s="15"/>
      <c r="MOC31" s="15"/>
      <c r="MOD31" s="15"/>
      <c r="MOE31" s="15"/>
      <c r="MOF31" s="15"/>
      <c r="MOG31" s="15"/>
      <c r="MOH31" s="15"/>
      <c r="MOI31" s="15"/>
      <c r="MOJ31" s="15"/>
      <c r="MOK31" s="15"/>
      <c r="MOL31" s="15"/>
      <c r="MOM31" s="15"/>
      <c r="MON31" s="15"/>
      <c r="MOO31" s="15"/>
      <c r="MOP31" s="15"/>
      <c r="MOQ31" s="15"/>
      <c r="MOR31" s="15"/>
      <c r="MOS31" s="15"/>
      <c r="MOT31" s="15"/>
      <c r="MOU31" s="15"/>
      <c r="MOV31" s="15"/>
      <c r="MOW31" s="15"/>
      <c r="MOX31" s="15"/>
      <c r="MOY31" s="15"/>
      <c r="MOZ31" s="15"/>
      <c r="MPA31" s="15"/>
      <c r="MPB31" s="15"/>
      <c r="MPC31" s="15"/>
      <c r="MPD31" s="15"/>
      <c r="MPE31" s="15"/>
      <c r="MPF31" s="15"/>
      <c r="MPG31" s="15"/>
      <c r="MPH31" s="15"/>
      <c r="MPI31" s="15"/>
      <c r="MPJ31" s="15"/>
      <c r="MPK31" s="15"/>
      <c r="MPL31" s="15"/>
      <c r="MPM31" s="15"/>
      <c r="MPN31" s="15"/>
      <c r="MPO31" s="15"/>
      <c r="MPP31" s="15"/>
      <c r="MPQ31" s="15"/>
      <c r="MPR31" s="15"/>
      <c r="MPS31" s="15"/>
      <c r="MPT31" s="15"/>
      <c r="MPU31" s="15"/>
      <c r="MPV31" s="15"/>
      <c r="MPW31" s="15"/>
      <c r="MPX31" s="15"/>
      <c r="MPY31" s="15"/>
      <c r="MPZ31" s="15"/>
      <c r="MQA31" s="15"/>
      <c r="MQB31" s="15"/>
      <c r="MQC31" s="15"/>
      <c r="MQD31" s="15"/>
      <c r="MQE31" s="15"/>
      <c r="MQF31" s="15"/>
      <c r="MQG31" s="15"/>
      <c r="MQH31" s="15"/>
      <c r="MQI31" s="15"/>
      <c r="MQJ31" s="15"/>
      <c r="MQK31" s="15"/>
      <c r="MQL31" s="15"/>
      <c r="MQM31" s="15"/>
      <c r="MQN31" s="15"/>
      <c r="MQO31" s="15"/>
      <c r="MQP31" s="15"/>
      <c r="MQQ31" s="15"/>
      <c r="MQR31" s="15"/>
      <c r="MQS31" s="15"/>
      <c r="MQT31" s="15"/>
      <c r="MQU31" s="15"/>
      <c r="MQV31" s="15"/>
      <c r="MQW31" s="15"/>
      <c r="MQX31" s="15"/>
      <c r="MQY31" s="15"/>
      <c r="MQZ31" s="15"/>
      <c r="MRA31" s="15"/>
      <c r="MRB31" s="15"/>
      <c r="MRC31" s="15"/>
      <c r="MRD31" s="15"/>
      <c r="MRE31" s="15"/>
      <c r="MRF31" s="15"/>
      <c r="MRG31" s="15"/>
      <c r="MRH31" s="15"/>
      <c r="MRI31" s="15"/>
      <c r="MRJ31" s="15"/>
      <c r="MRK31" s="15"/>
      <c r="MRL31" s="15"/>
      <c r="MRM31" s="15"/>
      <c r="MRN31" s="15"/>
      <c r="MRO31" s="15"/>
      <c r="MRP31" s="15"/>
      <c r="MRQ31" s="15"/>
      <c r="MRR31" s="15"/>
      <c r="MRS31" s="15"/>
      <c r="MRT31" s="15"/>
      <c r="MRU31" s="15"/>
      <c r="MRV31" s="15"/>
      <c r="MRW31" s="15"/>
      <c r="MRX31" s="15"/>
      <c r="MRY31" s="15"/>
      <c r="MRZ31" s="15"/>
      <c r="MSA31" s="15"/>
      <c r="MSB31" s="15"/>
      <c r="MSC31" s="15"/>
      <c r="MSD31" s="15"/>
      <c r="MSE31" s="15"/>
      <c r="MSF31" s="15"/>
      <c r="MSG31" s="15"/>
      <c r="MSH31" s="15"/>
      <c r="MSI31" s="15"/>
      <c r="MSJ31" s="15"/>
      <c r="MSK31" s="15"/>
      <c r="MSL31" s="15"/>
      <c r="MSM31" s="15"/>
      <c r="MSN31" s="15"/>
      <c r="MSO31" s="15"/>
      <c r="MSP31" s="15"/>
      <c r="MSQ31" s="15"/>
      <c r="MSR31" s="15"/>
      <c r="MSS31" s="15"/>
      <c r="MST31" s="15"/>
      <c r="MSU31" s="15"/>
      <c r="MSV31" s="15"/>
      <c r="MSW31" s="15"/>
      <c r="MSX31" s="15"/>
      <c r="MSY31" s="15"/>
      <c r="MSZ31" s="15"/>
      <c r="MTA31" s="15"/>
      <c r="MTB31" s="15"/>
      <c r="MTC31" s="15"/>
      <c r="MTD31" s="15"/>
      <c r="MTE31" s="15"/>
      <c r="MTF31" s="15"/>
      <c r="MTG31" s="15"/>
      <c r="MTH31" s="15"/>
      <c r="MTI31" s="15"/>
      <c r="MTJ31" s="15"/>
      <c r="MTK31" s="15"/>
      <c r="MTL31" s="15"/>
      <c r="MTM31" s="15"/>
      <c r="MTN31" s="15"/>
      <c r="MTO31" s="15"/>
      <c r="MTP31" s="15"/>
      <c r="MTQ31" s="15"/>
      <c r="MTR31" s="15"/>
      <c r="MTS31" s="15"/>
      <c r="MTT31" s="15"/>
      <c r="MTU31" s="15"/>
      <c r="MTV31" s="15"/>
      <c r="MTW31" s="15"/>
      <c r="MTX31" s="15"/>
      <c r="MTY31" s="15"/>
      <c r="MTZ31" s="15"/>
      <c r="MUA31" s="15"/>
      <c r="MUB31" s="15"/>
      <c r="MUC31" s="15"/>
      <c r="MUD31" s="15"/>
      <c r="MUE31" s="15"/>
      <c r="MUF31" s="15"/>
      <c r="MUG31" s="15"/>
      <c r="MUH31" s="15"/>
      <c r="MUI31" s="15"/>
      <c r="MUJ31" s="15"/>
      <c r="MUK31" s="15"/>
      <c r="MUL31" s="15"/>
      <c r="MUM31" s="15"/>
      <c r="MUN31" s="15"/>
      <c r="MUO31" s="15"/>
      <c r="MUP31" s="15"/>
      <c r="MUQ31" s="15"/>
      <c r="MUR31" s="15"/>
      <c r="MUS31" s="15"/>
      <c r="MUT31" s="15"/>
      <c r="MUU31" s="15"/>
      <c r="MUV31" s="15"/>
      <c r="MUW31" s="15"/>
      <c r="MUX31" s="15"/>
      <c r="MUY31" s="15"/>
      <c r="MUZ31" s="15"/>
      <c r="MVA31" s="15"/>
      <c r="MVB31" s="15"/>
      <c r="MVC31" s="15"/>
      <c r="MVD31" s="15"/>
      <c r="MVE31" s="15"/>
      <c r="MVF31" s="15"/>
      <c r="MVG31" s="15"/>
      <c r="MVH31" s="15"/>
      <c r="MVI31" s="15"/>
      <c r="MVJ31" s="15"/>
      <c r="MVK31" s="15"/>
      <c r="MVL31" s="15"/>
      <c r="MVM31" s="15"/>
      <c r="MVN31" s="15"/>
      <c r="MVO31" s="15"/>
      <c r="MVP31" s="15"/>
      <c r="MVQ31" s="15"/>
      <c r="MVR31" s="15"/>
      <c r="MVS31" s="15"/>
      <c r="MVT31" s="15"/>
      <c r="MVU31" s="15"/>
      <c r="MVV31" s="15"/>
      <c r="MVW31" s="15"/>
      <c r="MVX31" s="15"/>
      <c r="MVY31" s="15"/>
      <c r="MVZ31" s="15"/>
      <c r="MWA31" s="15"/>
      <c r="MWB31" s="15"/>
      <c r="MWC31" s="15"/>
      <c r="MWD31" s="15"/>
      <c r="MWE31" s="15"/>
      <c r="MWF31" s="15"/>
      <c r="MWG31" s="15"/>
      <c r="MWH31" s="15"/>
      <c r="MWI31" s="15"/>
      <c r="MWJ31" s="15"/>
      <c r="MWK31" s="15"/>
      <c r="MWL31" s="15"/>
      <c r="MWM31" s="15"/>
      <c r="MWN31" s="15"/>
      <c r="MWO31" s="15"/>
      <c r="MWP31" s="15"/>
      <c r="MWQ31" s="15"/>
      <c r="MWR31" s="15"/>
      <c r="MWS31" s="15"/>
      <c r="MWT31" s="15"/>
      <c r="MWU31" s="15"/>
      <c r="MWV31" s="15"/>
      <c r="MWW31" s="15"/>
      <c r="MWX31" s="15"/>
      <c r="MWY31" s="15"/>
      <c r="MWZ31" s="15"/>
      <c r="MXA31" s="15"/>
      <c r="MXB31" s="15"/>
      <c r="MXC31" s="15"/>
      <c r="MXD31" s="15"/>
      <c r="MXE31" s="15"/>
      <c r="MXF31" s="15"/>
      <c r="MXG31" s="15"/>
      <c r="MXH31" s="15"/>
      <c r="MXI31" s="15"/>
      <c r="MXJ31" s="15"/>
      <c r="MXK31" s="15"/>
      <c r="MXL31" s="15"/>
      <c r="MXM31" s="15"/>
      <c r="MXN31" s="15"/>
      <c r="MXO31" s="15"/>
      <c r="MXP31" s="15"/>
      <c r="MXQ31" s="15"/>
      <c r="MXR31" s="15"/>
      <c r="MXS31" s="15"/>
      <c r="MXT31" s="15"/>
      <c r="MXU31" s="15"/>
      <c r="MXV31" s="15"/>
      <c r="MXW31" s="15"/>
      <c r="MXX31" s="15"/>
      <c r="MXY31" s="15"/>
      <c r="MXZ31" s="15"/>
      <c r="MYA31" s="15"/>
      <c r="MYB31" s="15"/>
      <c r="MYC31" s="15"/>
      <c r="MYD31" s="15"/>
      <c r="MYE31" s="15"/>
      <c r="MYF31" s="15"/>
      <c r="MYG31" s="15"/>
      <c r="MYH31" s="15"/>
      <c r="MYI31" s="15"/>
      <c r="MYJ31" s="15"/>
      <c r="MYK31" s="15"/>
      <c r="MYL31" s="15"/>
      <c r="MYM31" s="15"/>
      <c r="MYN31" s="15"/>
      <c r="MYO31" s="15"/>
      <c r="MYP31" s="15"/>
      <c r="MYQ31" s="15"/>
      <c r="MYR31" s="15"/>
      <c r="MYS31" s="15"/>
      <c r="MYT31" s="15"/>
      <c r="MYU31" s="15"/>
      <c r="MYV31" s="15"/>
      <c r="MYW31" s="15"/>
      <c r="MYX31" s="15"/>
      <c r="MYY31" s="15"/>
      <c r="MYZ31" s="15"/>
      <c r="MZA31" s="15"/>
      <c r="MZB31" s="15"/>
      <c r="MZC31" s="15"/>
      <c r="MZD31" s="15"/>
      <c r="MZE31" s="15"/>
      <c r="MZF31" s="15"/>
      <c r="MZG31" s="15"/>
      <c r="MZH31" s="15"/>
      <c r="MZI31" s="15"/>
      <c r="MZJ31" s="15"/>
      <c r="MZK31" s="15"/>
      <c r="MZL31" s="15"/>
      <c r="MZM31" s="15"/>
      <c r="MZN31" s="15"/>
      <c r="MZO31" s="15"/>
      <c r="MZP31" s="15"/>
      <c r="MZQ31" s="15"/>
      <c r="MZR31" s="15"/>
      <c r="MZS31" s="15"/>
      <c r="MZT31" s="15"/>
      <c r="MZU31" s="15"/>
      <c r="MZV31" s="15"/>
      <c r="MZW31" s="15"/>
      <c r="MZX31" s="15"/>
      <c r="MZY31" s="15"/>
      <c r="MZZ31" s="15"/>
      <c r="NAA31" s="15"/>
      <c r="NAB31" s="15"/>
      <c r="NAC31" s="15"/>
      <c r="NAD31" s="15"/>
      <c r="NAE31" s="15"/>
      <c r="NAF31" s="15"/>
      <c r="NAG31" s="15"/>
      <c r="NAH31" s="15"/>
      <c r="NAI31" s="15"/>
      <c r="NAJ31" s="15"/>
      <c r="NAK31" s="15"/>
      <c r="NAL31" s="15"/>
      <c r="NAM31" s="15"/>
      <c r="NAN31" s="15"/>
      <c r="NAO31" s="15"/>
      <c r="NAP31" s="15"/>
      <c r="NAQ31" s="15"/>
      <c r="NAR31" s="15"/>
      <c r="NAS31" s="15"/>
      <c r="NAT31" s="15"/>
      <c r="NAU31" s="15"/>
      <c r="NAV31" s="15"/>
      <c r="NAW31" s="15"/>
      <c r="NAX31" s="15"/>
      <c r="NAY31" s="15"/>
      <c r="NAZ31" s="15"/>
      <c r="NBA31" s="15"/>
      <c r="NBB31" s="15"/>
      <c r="NBC31" s="15"/>
      <c r="NBD31" s="15"/>
      <c r="NBE31" s="15"/>
      <c r="NBF31" s="15"/>
      <c r="NBG31" s="15"/>
      <c r="NBH31" s="15"/>
      <c r="NBI31" s="15"/>
      <c r="NBJ31" s="15"/>
      <c r="NBK31" s="15"/>
      <c r="NBL31" s="15"/>
      <c r="NBM31" s="15"/>
      <c r="NBN31" s="15"/>
      <c r="NBO31" s="15"/>
      <c r="NBP31" s="15"/>
      <c r="NBQ31" s="15"/>
      <c r="NBR31" s="15"/>
      <c r="NBS31" s="15"/>
      <c r="NBT31" s="15"/>
      <c r="NBU31" s="15"/>
      <c r="NBV31" s="15"/>
      <c r="NBW31" s="15"/>
      <c r="NBX31" s="15"/>
      <c r="NBY31" s="15"/>
      <c r="NBZ31" s="15"/>
      <c r="NCA31" s="15"/>
      <c r="NCB31" s="15"/>
      <c r="NCC31" s="15"/>
      <c r="NCD31" s="15"/>
      <c r="NCE31" s="15"/>
      <c r="NCF31" s="15"/>
      <c r="NCG31" s="15"/>
      <c r="NCH31" s="15"/>
      <c r="NCI31" s="15"/>
      <c r="NCJ31" s="15"/>
      <c r="NCK31" s="15"/>
      <c r="NCL31" s="15"/>
      <c r="NCM31" s="15"/>
      <c r="NCN31" s="15"/>
      <c r="NCO31" s="15"/>
      <c r="NCP31" s="15"/>
      <c r="NCQ31" s="15"/>
      <c r="NCR31" s="15"/>
      <c r="NCS31" s="15"/>
      <c r="NCT31" s="15"/>
      <c r="NCU31" s="15"/>
      <c r="NCV31" s="15"/>
      <c r="NCW31" s="15"/>
      <c r="NCX31" s="15"/>
      <c r="NCY31" s="15"/>
      <c r="NCZ31" s="15"/>
      <c r="NDA31" s="15"/>
      <c r="NDB31" s="15"/>
      <c r="NDC31" s="15"/>
      <c r="NDD31" s="15"/>
      <c r="NDE31" s="15"/>
      <c r="NDF31" s="15"/>
      <c r="NDG31" s="15"/>
      <c r="NDH31" s="15"/>
      <c r="NDI31" s="15"/>
      <c r="NDJ31" s="15"/>
      <c r="NDK31" s="15"/>
      <c r="NDL31" s="15"/>
      <c r="NDM31" s="15"/>
      <c r="NDN31" s="15"/>
      <c r="NDO31" s="15"/>
      <c r="NDP31" s="15"/>
      <c r="NDQ31" s="15"/>
      <c r="NDR31" s="15"/>
      <c r="NDS31" s="15"/>
      <c r="NDT31" s="15"/>
      <c r="NDU31" s="15"/>
      <c r="NDV31" s="15"/>
      <c r="NDW31" s="15"/>
      <c r="NDX31" s="15"/>
      <c r="NDY31" s="15"/>
      <c r="NDZ31" s="15"/>
      <c r="NEA31" s="15"/>
      <c r="NEB31" s="15"/>
      <c r="NEC31" s="15"/>
      <c r="NED31" s="15"/>
      <c r="NEE31" s="15"/>
      <c r="NEF31" s="15"/>
      <c r="NEG31" s="15"/>
      <c r="NEH31" s="15"/>
      <c r="NEI31" s="15"/>
      <c r="NEJ31" s="15"/>
      <c r="NEK31" s="15"/>
      <c r="NEL31" s="15"/>
      <c r="NEM31" s="15"/>
      <c r="NEN31" s="15"/>
      <c r="NEO31" s="15"/>
      <c r="NEP31" s="15"/>
      <c r="NEQ31" s="15"/>
      <c r="NER31" s="15"/>
      <c r="NES31" s="15"/>
      <c r="NET31" s="15"/>
      <c r="NEU31" s="15"/>
      <c r="NEV31" s="15"/>
      <c r="NEW31" s="15"/>
      <c r="NEX31" s="15"/>
      <c r="NEY31" s="15"/>
      <c r="NEZ31" s="15"/>
      <c r="NFA31" s="15"/>
      <c r="NFB31" s="15"/>
      <c r="NFC31" s="15"/>
      <c r="NFD31" s="15"/>
      <c r="NFE31" s="15"/>
      <c r="NFF31" s="15"/>
      <c r="NFG31" s="15"/>
      <c r="NFH31" s="15"/>
      <c r="NFI31" s="15"/>
      <c r="NFJ31" s="15"/>
      <c r="NFK31" s="15"/>
      <c r="NFL31" s="15"/>
      <c r="NFM31" s="15"/>
      <c r="NFN31" s="15"/>
      <c r="NFO31" s="15"/>
      <c r="NFP31" s="15"/>
      <c r="NFQ31" s="15"/>
      <c r="NFR31" s="15"/>
      <c r="NFS31" s="15"/>
      <c r="NFT31" s="15"/>
      <c r="NFU31" s="15"/>
      <c r="NFV31" s="15"/>
      <c r="NFW31" s="15"/>
      <c r="NFX31" s="15"/>
      <c r="NFY31" s="15"/>
      <c r="NFZ31" s="15"/>
      <c r="NGA31" s="15"/>
      <c r="NGB31" s="15"/>
      <c r="NGC31" s="15"/>
      <c r="NGD31" s="15"/>
      <c r="NGE31" s="15"/>
      <c r="NGF31" s="15"/>
      <c r="NGG31" s="15"/>
      <c r="NGH31" s="15"/>
      <c r="NGI31" s="15"/>
      <c r="NGJ31" s="15"/>
      <c r="NGK31" s="15"/>
      <c r="NGL31" s="15"/>
      <c r="NGM31" s="15"/>
      <c r="NGN31" s="15"/>
      <c r="NGO31" s="15"/>
      <c r="NGP31" s="15"/>
      <c r="NGQ31" s="15"/>
      <c r="NGR31" s="15"/>
      <c r="NGS31" s="15"/>
      <c r="NGT31" s="15"/>
      <c r="NGU31" s="15"/>
      <c r="NGV31" s="15"/>
      <c r="NGW31" s="15"/>
      <c r="NGX31" s="15"/>
      <c r="NGY31" s="15"/>
      <c r="NGZ31" s="15"/>
      <c r="NHA31" s="15"/>
      <c r="NHB31" s="15"/>
      <c r="NHC31" s="15"/>
      <c r="NHD31" s="15"/>
      <c r="NHE31" s="15"/>
      <c r="NHF31" s="15"/>
      <c r="NHG31" s="15"/>
      <c r="NHH31" s="15"/>
      <c r="NHI31" s="15"/>
      <c r="NHJ31" s="15"/>
      <c r="NHK31" s="15"/>
      <c r="NHL31" s="15"/>
      <c r="NHM31" s="15"/>
      <c r="NHN31" s="15"/>
      <c r="NHO31" s="15"/>
      <c r="NHP31" s="15"/>
      <c r="NHQ31" s="15"/>
      <c r="NHR31" s="15"/>
      <c r="NHS31" s="15"/>
      <c r="NHT31" s="15"/>
      <c r="NHU31" s="15"/>
      <c r="NHV31" s="15"/>
      <c r="NHW31" s="15"/>
      <c r="NHX31" s="15"/>
      <c r="NHY31" s="15"/>
      <c r="NHZ31" s="15"/>
      <c r="NIA31" s="15"/>
      <c r="NIB31" s="15"/>
      <c r="NIC31" s="15"/>
      <c r="NID31" s="15"/>
      <c r="NIE31" s="15"/>
      <c r="NIF31" s="15"/>
      <c r="NIG31" s="15"/>
      <c r="NIH31" s="15"/>
      <c r="NII31" s="15"/>
      <c r="NIJ31" s="15"/>
      <c r="NIK31" s="15"/>
      <c r="NIL31" s="15"/>
      <c r="NIM31" s="15"/>
      <c r="NIN31" s="15"/>
      <c r="NIO31" s="15"/>
      <c r="NIP31" s="15"/>
      <c r="NIQ31" s="15"/>
      <c r="NIR31" s="15"/>
      <c r="NIS31" s="15"/>
      <c r="NIT31" s="15"/>
      <c r="NIU31" s="15"/>
      <c r="NIV31" s="15"/>
      <c r="NIW31" s="15"/>
      <c r="NIX31" s="15"/>
      <c r="NIY31" s="15"/>
      <c r="NIZ31" s="15"/>
      <c r="NJA31" s="15"/>
      <c r="NJB31" s="15"/>
      <c r="NJC31" s="15"/>
      <c r="NJD31" s="15"/>
      <c r="NJE31" s="15"/>
      <c r="NJF31" s="15"/>
      <c r="NJG31" s="15"/>
      <c r="NJH31" s="15"/>
      <c r="NJI31" s="15"/>
      <c r="NJJ31" s="15"/>
      <c r="NJK31" s="15"/>
      <c r="NJL31" s="15"/>
      <c r="NJM31" s="15"/>
      <c r="NJN31" s="15"/>
      <c r="NJO31" s="15"/>
      <c r="NJP31" s="15"/>
      <c r="NJQ31" s="15"/>
      <c r="NJR31" s="15"/>
      <c r="NJS31" s="15"/>
      <c r="NJT31" s="15"/>
      <c r="NJU31" s="15"/>
      <c r="NJV31" s="15"/>
      <c r="NJW31" s="15"/>
      <c r="NJX31" s="15"/>
      <c r="NJY31" s="15"/>
      <c r="NJZ31" s="15"/>
      <c r="NKA31" s="15"/>
      <c r="NKB31" s="15"/>
      <c r="NKC31" s="15"/>
      <c r="NKD31" s="15"/>
      <c r="NKE31" s="15"/>
      <c r="NKF31" s="15"/>
      <c r="NKG31" s="15"/>
      <c r="NKH31" s="15"/>
      <c r="NKI31" s="15"/>
      <c r="NKJ31" s="15"/>
      <c r="NKK31" s="15"/>
      <c r="NKL31" s="15"/>
      <c r="NKM31" s="15"/>
      <c r="NKN31" s="15"/>
      <c r="NKO31" s="15"/>
      <c r="NKP31" s="15"/>
      <c r="NKQ31" s="15"/>
      <c r="NKR31" s="15"/>
      <c r="NKS31" s="15"/>
      <c r="NKT31" s="15"/>
      <c r="NKU31" s="15"/>
      <c r="NKV31" s="15"/>
      <c r="NKW31" s="15"/>
      <c r="NKX31" s="15"/>
      <c r="NKY31" s="15"/>
      <c r="NKZ31" s="15"/>
      <c r="NLA31" s="15"/>
      <c r="NLB31" s="15"/>
      <c r="NLC31" s="15"/>
      <c r="NLD31" s="15"/>
      <c r="NLE31" s="15"/>
      <c r="NLF31" s="15"/>
      <c r="NLG31" s="15"/>
      <c r="NLH31" s="15"/>
      <c r="NLI31" s="15"/>
      <c r="NLJ31" s="15"/>
      <c r="NLK31" s="15"/>
      <c r="NLL31" s="15"/>
      <c r="NLM31" s="15"/>
      <c r="NLN31" s="15"/>
      <c r="NLO31" s="15"/>
      <c r="NLP31" s="15"/>
      <c r="NLQ31" s="15"/>
      <c r="NLR31" s="15"/>
      <c r="NLS31" s="15"/>
      <c r="NLT31" s="15"/>
      <c r="NLU31" s="15"/>
      <c r="NLV31" s="15"/>
      <c r="NLW31" s="15"/>
      <c r="NLX31" s="15"/>
      <c r="NLY31" s="15"/>
      <c r="NLZ31" s="15"/>
      <c r="NMA31" s="15"/>
      <c r="NMB31" s="15"/>
      <c r="NMC31" s="15"/>
      <c r="NMD31" s="15"/>
      <c r="NME31" s="15"/>
      <c r="NMF31" s="15"/>
      <c r="NMG31" s="15"/>
      <c r="NMH31" s="15"/>
      <c r="NMI31" s="15"/>
      <c r="NMJ31" s="15"/>
      <c r="NMK31" s="15"/>
      <c r="NML31" s="15"/>
      <c r="NMM31" s="15"/>
      <c r="NMN31" s="15"/>
      <c r="NMO31" s="15"/>
      <c r="NMP31" s="15"/>
      <c r="NMQ31" s="15"/>
      <c r="NMR31" s="15"/>
      <c r="NMS31" s="15"/>
      <c r="NMT31" s="15"/>
      <c r="NMU31" s="15"/>
      <c r="NMV31" s="15"/>
      <c r="NMW31" s="15"/>
      <c r="NMX31" s="15"/>
      <c r="NMY31" s="15"/>
      <c r="NMZ31" s="15"/>
      <c r="NNA31" s="15"/>
      <c r="NNB31" s="15"/>
      <c r="NNC31" s="15"/>
      <c r="NND31" s="15"/>
      <c r="NNE31" s="15"/>
      <c r="NNF31" s="15"/>
      <c r="NNG31" s="15"/>
      <c r="NNH31" s="15"/>
      <c r="NNI31" s="15"/>
      <c r="NNJ31" s="15"/>
      <c r="NNK31" s="15"/>
      <c r="NNL31" s="15"/>
      <c r="NNM31" s="15"/>
      <c r="NNN31" s="15"/>
      <c r="NNO31" s="15"/>
      <c r="NNP31" s="15"/>
      <c r="NNQ31" s="15"/>
      <c r="NNR31" s="15"/>
      <c r="NNS31" s="15"/>
      <c r="NNT31" s="15"/>
      <c r="NNU31" s="15"/>
      <c r="NNV31" s="15"/>
      <c r="NNW31" s="15"/>
      <c r="NNX31" s="15"/>
      <c r="NNY31" s="15"/>
      <c r="NNZ31" s="15"/>
      <c r="NOA31" s="15"/>
      <c r="NOB31" s="15"/>
      <c r="NOC31" s="15"/>
      <c r="NOD31" s="15"/>
      <c r="NOE31" s="15"/>
      <c r="NOF31" s="15"/>
      <c r="NOG31" s="15"/>
      <c r="NOH31" s="15"/>
      <c r="NOI31" s="15"/>
      <c r="NOJ31" s="15"/>
      <c r="NOK31" s="15"/>
      <c r="NOL31" s="15"/>
      <c r="NOM31" s="15"/>
      <c r="NON31" s="15"/>
      <c r="NOO31" s="15"/>
      <c r="NOP31" s="15"/>
      <c r="NOQ31" s="15"/>
      <c r="NOR31" s="15"/>
      <c r="NOS31" s="15"/>
      <c r="NOT31" s="15"/>
      <c r="NOU31" s="15"/>
      <c r="NOV31" s="15"/>
      <c r="NOW31" s="15"/>
      <c r="NOX31" s="15"/>
      <c r="NOY31" s="15"/>
      <c r="NOZ31" s="15"/>
      <c r="NPA31" s="15"/>
      <c r="NPB31" s="15"/>
      <c r="NPC31" s="15"/>
      <c r="NPD31" s="15"/>
      <c r="NPE31" s="15"/>
      <c r="NPF31" s="15"/>
      <c r="NPG31" s="15"/>
      <c r="NPH31" s="15"/>
      <c r="NPI31" s="15"/>
      <c r="NPJ31" s="15"/>
      <c r="NPK31" s="15"/>
      <c r="NPL31" s="15"/>
      <c r="NPM31" s="15"/>
      <c r="NPN31" s="15"/>
      <c r="NPO31" s="15"/>
      <c r="NPP31" s="15"/>
      <c r="NPQ31" s="15"/>
      <c r="NPR31" s="15"/>
      <c r="NPS31" s="15"/>
      <c r="NPT31" s="15"/>
      <c r="NPU31" s="15"/>
      <c r="NPV31" s="15"/>
      <c r="NPW31" s="15"/>
      <c r="NPX31" s="15"/>
      <c r="NPY31" s="15"/>
      <c r="NPZ31" s="15"/>
      <c r="NQA31" s="15"/>
      <c r="NQB31" s="15"/>
      <c r="NQC31" s="15"/>
      <c r="NQD31" s="15"/>
      <c r="NQE31" s="15"/>
      <c r="NQF31" s="15"/>
      <c r="NQG31" s="15"/>
      <c r="NQH31" s="15"/>
      <c r="NQI31" s="15"/>
      <c r="NQJ31" s="15"/>
      <c r="NQK31" s="15"/>
      <c r="NQL31" s="15"/>
      <c r="NQM31" s="15"/>
      <c r="NQN31" s="15"/>
      <c r="NQO31" s="15"/>
      <c r="NQP31" s="15"/>
      <c r="NQQ31" s="15"/>
      <c r="NQR31" s="15"/>
      <c r="NQS31" s="15"/>
      <c r="NQT31" s="15"/>
      <c r="NQU31" s="15"/>
      <c r="NQV31" s="15"/>
      <c r="NQW31" s="15"/>
      <c r="NQX31" s="15"/>
      <c r="NQY31" s="15"/>
      <c r="NQZ31" s="15"/>
      <c r="NRA31" s="15"/>
      <c r="NRB31" s="15"/>
      <c r="NRC31" s="15"/>
      <c r="NRD31" s="15"/>
      <c r="NRE31" s="15"/>
      <c r="NRF31" s="15"/>
      <c r="NRG31" s="15"/>
      <c r="NRH31" s="15"/>
      <c r="NRI31" s="15"/>
      <c r="NRJ31" s="15"/>
      <c r="NRK31" s="15"/>
      <c r="NRL31" s="15"/>
      <c r="NRM31" s="15"/>
      <c r="NRN31" s="15"/>
      <c r="NRO31" s="15"/>
      <c r="NRP31" s="15"/>
      <c r="NRQ31" s="15"/>
      <c r="NRR31" s="15"/>
      <c r="NRS31" s="15"/>
      <c r="NRT31" s="15"/>
      <c r="NRU31" s="15"/>
      <c r="NRV31" s="15"/>
      <c r="NRW31" s="15"/>
      <c r="NRX31" s="15"/>
      <c r="NRY31" s="15"/>
      <c r="NRZ31" s="15"/>
      <c r="NSA31" s="15"/>
      <c r="NSB31" s="15"/>
      <c r="NSC31" s="15"/>
      <c r="NSD31" s="15"/>
      <c r="NSE31" s="15"/>
      <c r="NSF31" s="15"/>
      <c r="NSG31" s="15"/>
      <c r="NSH31" s="15"/>
      <c r="NSI31" s="15"/>
      <c r="NSJ31" s="15"/>
      <c r="NSK31" s="15"/>
      <c r="NSL31" s="15"/>
      <c r="NSM31" s="15"/>
      <c r="NSN31" s="15"/>
      <c r="NSO31" s="15"/>
      <c r="NSP31" s="15"/>
      <c r="NSQ31" s="15"/>
      <c r="NSR31" s="15"/>
      <c r="NSS31" s="15"/>
      <c r="NST31" s="15"/>
      <c r="NSU31" s="15"/>
      <c r="NSV31" s="15"/>
      <c r="NSW31" s="15"/>
      <c r="NSX31" s="15"/>
      <c r="NSY31" s="15"/>
      <c r="NSZ31" s="15"/>
      <c r="NTA31" s="15"/>
      <c r="NTB31" s="15"/>
      <c r="NTC31" s="15"/>
      <c r="NTD31" s="15"/>
      <c r="NTE31" s="15"/>
      <c r="NTF31" s="15"/>
      <c r="NTG31" s="15"/>
      <c r="NTH31" s="15"/>
      <c r="NTI31" s="15"/>
      <c r="NTJ31" s="15"/>
      <c r="NTK31" s="15"/>
      <c r="NTL31" s="15"/>
      <c r="NTM31" s="15"/>
      <c r="NTN31" s="15"/>
      <c r="NTO31" s="15"/>
      <c r="NTP31" s="15"/>
      <c r="NTQ31" s="15"/>
      <c r="NTR31" s="15"/>
      <c r="NTS31" s="15"/>
      <c r="NTT31" s="15"/>
      <c r="NTU31" s="15"/>
      <c r="NTV31" s="15"/>
      <c r="NTW31" s="15"/>
      <c r="NTX31" s="15"/>
      <c r="NTY31" s="15"/>
      <c r="NTZ31" s="15"/>
      <c r="NUA31" s="15"/>
      <c r="NUB31" s="15"/>
      <c r="NUC31" s="15"/>
      <c r="NUD31" s="15"/>
      <c r="NUE31" s="15"/>
      <c r="NUF31" s="15"/>
      <c r="NUG31" s="15"/>
      <c r="NUH31" s="15"/>
      <c r="NUI31" s="15"/>
      <c r="NUJ31" s="15"/>
      <c r="NUK31" s="15"/>
      <c r="NUL31" s="15"/>
      <c r="NUM31" s="15"/>
      <c r="NUN31" s="15"/>
      <c r="NUO31" s="15"/>
      <c r="NUP31" s="15"/>
      <c r="NUQ31" s="15"/>
      <c r="NUR31" s="15"/>
      <c r="NUS31" s="15"/>
      <c r="NUT31" s="15"/>
      <c r="NUU31" s="15"/>
      <c r="NUV31" s="15"/>
      <c r="NUW31" s="15"/>
      <c r="NUX31" s="15"/>
      <c r="NUY31" s="15"/>
      <c r="NUZ31" s="15"/>
      <c r="NVA31" s="15"/>
      <c r="NVB31" s="15"/>
      <c r="NVC31" s="15"/>
      <c r="NVD31" s="15"/>
      <c r="NVE31" s="15"/>
      <c r="NVF31" s="15"/>
      <c r="NVG31" s="15"/>
      <c r="NVH31" s="15"/>
      <c r="NVI31" s="15"/>
      <c r="NVJ31" s="15"/>
      <c r="NVK31" s="15"/>
      <c r="NVL31" s="15"/>
      <c r="NVM31" s="15"/>
      <c r="NVN31" s="15"/>
      <c r="NVO31" s="15"/>
      <c r="NVP31" s="15"/>
      <c r="NVQ31" s="15"/>
      <c r="NVR31" s="15"/>
      <c r="NVS31" s="15"/>
      <c r="NVT31" s="15"/>
      <c r="NVU31" s="15"/>
      <c r="NVV31" s="15"/>
      <c r="NVW31" s="15"/>
      <c r="NVX31" s="15"/>
      <c r="NVY31" s="15"/>
      <c r="NVZ31" s="15"/>
      <c r="NWA31" s="15"/>
      <c r="NWB31" s="15"/>
      <c r="NWC31" s="15"/>
      <c r="NWD31" s="15"/>
      <c r="NWE31" s="15"/>
      <c r="NWF31" s="15"/>
      <c r="NWG31" s="15"/>
      <c r="NWH31" s="15"/>
      <c r="NWI31" s="15"/>
      <c r="NWJ31" s="15"/>
      <c r="NWK31" s="15"/>
      <c r="NWL31" s="15"/>
      <c r="NWM31" s="15"/>
      <c r="NWN31" s="15"/>
      <c r="NWO31" s="15"/>
      <c r="NWP31" s="15"/>
      <c r="NWQ31" s="15"/>
      <c r="NWR31" s="15"/>
      <c r="NWS31" s="15"/>
      <c r="NWT31" s="15"/>
      <c r="NWU31" s="15"/>
      <c r="NWV31" s="15"/>
      <c r="NWW31" s="15"/>
      <c r="NWX31" s="15"/>
      <c r="NWY31" s="15"/>
      <c r="NWZ31" s="15"/>
      <c r="NXA31" s="15"/>
      <c r="NXB31" s="15"/>
      <c r="NXC31" s="15"/>
      <c r="NXD31" s="15"/>
      <c r="NXE31" s="15"/>
      <c r="NXF31" s="15"/>
      <c r="NXG31" s="15"/>
      <c r="NXH31" s="15"/>
      <c r="NXI31" s="15"/>
      <c r="NXJ31" s="15"/>
      <c r="NXK31" s="15"/>
      <c r="NXL31" s="15"/>
      <c r="NXM31" s="15"/>
      <c r="NXN31" s="15"/>
      <c r="NXO31" s="15"/>
      <c r="NXP31" s="15"/>
      <c r="NXQ31" s="15"/>
      <c r="NXR31" s="15"/>
      <c r="NXS31" s="15"/>
      <c r="NXT31" s="15"/>
      <c r="NXU31" s="15"/>
      <c r="NXV31" s="15"/>
      <c r="NXW31" s="15"/>
      <c r="NXX31" s="15"/>
      <c r="NXY31" s="15"/>
      <c r="NXZ31" s="15"/>
      <c r="NYA31" s="15"/>
      <c r="NYB31" s="15"/>
      <c r="NYC31" s="15"/>
      <c r="NYD31" s="15"/>
      <c r="NYE31" s="15"/>
      <c r="NYF31" s="15"/>
      <c r="NYG31" s="15"/>
      <c r="NYH31" s="15"/>
      <c r="NYI31" s="15"/>
      <c r="NYJ31" s="15"/>
      <c r="NYK31" s="15"/>
      <c r="NYL31" s="15"/>
      <c r="NYM31" s="15"/>
      <c r="NYN31" s="15"/>
      <c r="NYO31" s="15"/>
      <c r="NYP31" s="15"/>
      <c r="NYQ31" s="15"/>
      <c r="NYR31" s="15"/>
      <c r="NYS31" s="15"/>
      <c r="NYT31" s="15"/>
      <c r="NYU31" s="15"/>
      <c r="NYV31" s="15"/>
      <c r="NYW31" s="15"/>
      <c r="NYX31" s="15"/>
      <c r="NYY31" s="15"/>
      <c r="NYZ31" s="15"/>
      <c r="NZA31" s="15"/>
      <c r="NZB31" s="15"/>
      <c r="NZC31" s="15"/>
      <c r="NZD31" s="15"/>
      <c r="NZE31" s="15"/>
      <c r="NZF31" s="15"/>
      <c r="NZG31" s="15"/>
      <c r="NZH31" s="15"/>
      <c r="NZI31" s="15"/>
      <c r="NZJ31" s="15"/>
      <c r="NZK31" s="15"/>
      <c r="NZL31" s="15"/>
      <c r="NZM31" s="15"/>
      <c r="NZN31" s="15"/>
      <c r="NZO31" s="15"/>
      <c r="NZP31" s="15"/>
      <c r="NZQ31" s="15"/>
      <c r="NZR31" s="15"/>
      <c r="NZS31" s="15"/>
      <c r="NZT31" s="15"/>
      <c r="NZU31" s="15"/>
      <c r="NZV31" s="15"/>
      <c r="NZW31" s="15"/>
      <c r="NZX31" s="15"/>
      <c r="NZY31" s="15"/>
      <c r="NZZ31" s="15"/>
      <c r="OAA31" s="15"/>
      <c r="OAB31" s="15"/>
      <c r="OAC31" s="15"/>
      <c r="OAD31" s="15"/>
      <c r="OAE31" s="15"/>
      <c r="OAF31" s="15"/>
      <c r="OAG31" s="15"/>
      <c r="OAH31" s="15"/>
      <c r="OAI31" s="15"/>
      <c r="OAJ31" s="15"/>
      <c r="OAK31" s="15"/>
      <c r="OAL31" s="15"/>
      <c r="OAM31" s="15"/>
      <c r="OAN31" s="15"/>
      <c r="OAO31" s="15"/>
      <c r="OAP31" s="15"/>
      <c r="OAQ31" s="15"/>
      <c r="OAR31" s="15"/>
      <c r="OAS31" s="15"/>
      <c r="OAT31" s="15"/>
      <c r="OAU31" s="15"/>
      <c r="OAV31" s="15"/>
      <c r="OAW31" s="15"/>
      <c r="OAX31" s="15"/>
      <c r="OAY31" s="15"/>
      <c r="OAZ31" s="15"/>
      <c r="OBA31" s="15"/>
      <c r="OBB31" s="15"/>
      <c r="OBC31" s="15"/>
      <c r="OBD31" s="15"/>
      <c r="OBE31" s="15"/>
      <c r="OBF31" s="15"/>
      <c r="OBG31" s="15"/>
      <c r="OBH31" s="15"/>
      <c r="OBI31" s="15"/>
      <c r="OBJ31" s="15"/>
      <c r="OBK31" s="15"/>
      <c r="OBL31" s="15"/>
      <c r="OBM31" s="15"/>
      <c r="OBN31" s="15"/>
      <c r="OBO31" s="15"/>
      <c r="OBP31" s="15"/>
      <c r="OBQ31" s="15"/>
      <c r="OBR31" s="15"/>
      <c r="OBS31" s="15"/>
      <c r="OBT31" s="15"/>
      <c r="OBU31" s="15"/>
      <c r="OBV31" s="15"/>
      <c r="OBW31" s="15"/>
      <c r="OBX31" s="15"/>
      <c r="OBY31" s="15"/>
      <c r="OBZ31" s="15"/>
      <c r="OCA31" s="15"/>
      <c r="OCB31" s="15"/>
      <c r="OCC31" s="15"/>
      <c r="OCD31" s="15"/>
      <c r="OCE31" s="15"/>
      <c r="OCF31" s="15"/>
      <c r="OCG31" s="15"/>
      <c r="OCH31" s="15"/>
      <c r="OCI31" s="15"/>
      <c r="OCJ31" s="15"/>
      <c r="OCK31" s="15"/>
      <c r="OCL31" s="15"/>
      <c r="OCM31" s="15"/>
      <c r="OCN31" s="15"/>
      <c r="OCO31" s="15"/>
      <c r="OCP31" s="15"/>
      <c r="OCQ31" s="15"/>
      <c r="OCR31" s="15"/>
      <c r="OCS31" s="15"/>
      <c r="OCT31" s="15"/>
      <c r="OCU31" s="15"/>
      <c r="OCV31" s="15"/>
      <c r="OCW31" s="15"/>
      <c r="OCX31" s="15"/>
      <c r="OCY31" s="15"/>
      <c r="OCZ31" s="15"/>
      <c r="ODA31" s="15"/>
      <c r="ODB31" s="15"/>
      <c r="ODC31" s="15"/>
      <c r="ODD31" s="15"/>
      <c r="ODE31" s="15"/>
      <c r="ODF31" s="15"/>
      <c r="ODG31" s="15"/>
      <c r="ODH31" s="15"/>
      <c r="ODI31" s="15"/>
      <c r="ODJ31" s="15"/>
      <c r="ODK31" s="15"/>
      <c r="ODL31" s="15"/>
      <c r="ODM31" s="15"/>
      <c r="ODN31" s="15"/>
      <c r="ODO31" s="15"/>
      <c r="ODP31" s="15"/>
      <c r="ODQ31" s="15"/>
      <c r="ODR31" s="15"/>
      <c r="ODS31" s="15"/>
      <c r="ODT31" s="15"/>
      <c r="ODU31" s="15"/>
      <c r="ODV31" s="15"/>
      <c r="ODW31" s="15"/>
      <c r="ODX31" s="15"/>
      <c r="ODY31" s="15"/>
      <c r="ODZ31" s="15"/>
      <c r="OEA31" s="15"/>
      <c r="OEB31" s="15"/>
      <c r="OEC31" s="15"/>
      <c r="OED31" s="15"/>
      <c r="OEE31" s="15"/>
      <c r="OEF31" s="15"/>
      <c r="OEG31" s="15"/>
      <c r="OEH31" s="15"/>
      <c r="OEI31" s="15"/>
      <c r="OEJ31" s="15"/>
      <c r="OEK31" s="15"/>
      <c r="OEL31" s="15"/>
      <c r="OEM31" s="15"/>
      <c r="OEN31" s="15"/>
      <c r="OEO31" s="15"/>
      <c r="OEP31" s="15"/>
      <c r="OEQ31" s="15"/>
      <c r="OER31" s="15"/>
      <c r="OES31" s="15"/>
      <c r="OET31" s="15"/>
      <c r="OEU31" s="15"/>
      <c r="OEV31" s="15"/>
      <c r="OEW31" s="15"/>
      <c r="OEX31" s="15"/>
      <c r="OEY31" s="15"/>
      <c r="OEZ31" s="15"/>
      <c r="OFA31" s="15"/>
      <c r="OFB31" s="15"/>
      <c r="OFC31" s="15"/>
      <c r="OFD31" s="15"/>
      <c r="OFE31" s="15"/>
      <c r="OFF31" s="15"/>
      <c r="OFG31" s="15"/>
      <c r="OFH31" s="15"/>
      <c r="OFI31" s="15"/>
      <c r="OFJ31" s="15"/>
      <c r="OFK31" s="15"/>
      <c r="OFL31" s="15"/>
      <c r="OFM31" s="15"/>
      <c r="OFN31" s="15"/>
      <c r="OFO31" s="15"/>
      <c r="OFP31" s="15"/>
      <c r="OFQ31" s="15"/>
      <c r="OFR31" s="15"/>
      <c r="OFS31" s="15"/>
      <c r="OFT31" s="15"/>
      <c r="OFU31" s="15"/>
      <c r="OFV31" s="15"/>
      <c r="OFW31" s="15"/>
      <c r="OFX31" s="15"/>
      <c r="OFY31" s="15"/>
      <c r="OFZ31" s="15"/>
      <c r="OGA31" s="15"/>
      <c r="OGB31" s="15"/>
      <c r="OGC31" s="15"/>
      <c r="OGD31" s="15"/>
      <c r="OGE31" s="15"/>
      <c r="OGF31" s="15"/>
      <c r="OGG31" s="15"/>
      <c r="OGH31" s="15"/>
      <c r="OGI31" s="15"/>
      <c r="OGJ31" s="15"/>
      <c r="OGK31" s="15"/>
      <c r="OGL31" s="15"/>
      <c r="OGM31" s="15"/>
      <c r="OGN31" s="15"/>
      <c r="OGO31" s="15"/>
      <c r="OGP31" s="15"/>
      <c r="OGQ31" s="15"/>
      <c r="OGR31" s="15"/>
      <c r="OGS31" s="15"/>
      <c r="OGT31" s="15"/>
      <c r="OGU31" s="15"/>
      <c r="OGV31" s="15"/>
      <c r="OGW31" s="15"/>
      <c r="OGX31" s="15"/>
      <c r="OGY31" s="15"/>
      <c r="OGZ31" s="15"/>
      <c r="OHA31" s="15"/>
      <c r="OHB31" s="15"/>
      <c r="OHC31" s="15"/>
      <c r="OHD31" s="15"/>
      <c r="OHE31" s="15"/>
      <c r="OHF31" s="15"/>
      <c r="OHG31" s="15"/>
      <c r="OHH31" s="15"/>
      <c r="OHI31" s="15"/>
      <c r="OHJ31" s="15"/>
      <c r="OHK31" s="15"/>
      <c r="OHL31" s="15"/>
      <c r="OHM31" s="15"/>
      <c r="OHN31" s="15"/>
      <c r="OHO31" s="15"/>
      <c r="OHP31" s="15"/>
      <c r="OHQ31" s="15"/>
      <c r="OHR31" s="15"/>
      <c r="OHS31" s="15"/>
      <c r="OHT31" s="15"/>
      <c r="OHU31" s="15"/>
      <c r="OHV31" s="15"/>
      <c r="OHW31" s="15"/>
      <c r="OHX31" s="15"/>
      <c r="OHY31" s="15"/>
      <c r="OHZ31" s="15"/>
      <c r="OIA31" s="15"/>
      <c r="OIB31" s="15"/>
      <c r="OIC31" s="15"/>
      <c r="OID31" s="15"/>
      <c r="OIE31" s="15"/>
      <c r="OIF31" s="15"/>
      <c r="OIG31" s="15"/>
      <c r="OIH31" s="15"/>
      <c r="OII31" s="15"/>
      <c r="OIJ31" s="15"/>
      <c r="OIK31" s="15"/>
      <c r="OIL31" s="15"/>
      <c r="OIM31" s="15"/>
      <c r="OIN31" s="15"/>
      <c r="OIO31" s="15"/>
      <c r="OIP31" s="15"/>
      <c r="OIQ31" s="15"/>
      <c r="OIR31" s="15"/>
      <c r="OIS31" s="15"/>
      <c r="OIT31" s="15"/>
      <c r="OIU31" s="15"/>
      <c r="OIV31" s="15"/>
      <c r="OIW31" s="15"/>
      <c r="OIX31" s="15"/>
      <c r="OIY31" s="15"/>
      <c r="OIZ31" s="15"/>
      <c r="OJA31" s="15"/>
      <c r="OJB31" s="15"/>
      <c r="OJC31" s="15"/>
      <c r="OJD31" s="15"/>
      <c r="OJE31" s="15"/>
      <c r="OJF31" s="15"/>
      <c r="OJG31" s="15"/>
      <c r="OJH31" s="15"/>
      <c r="OJI31" s="15"/>
      <c r="OJJ31" s="15"/>
      <c r="OJK31" s="15"/>
      <c r="OJL31" s="15"/>
      <c r="OJM31" s="15"/>
      <c r="OJN31" s="15"/>
      <c r="OJO31" s="15"/>
      <c r="OJP31" s="15"/>
      <c r="OJQ31" s="15"/>
      <c r="OJR31" s="15"/>
      <c r="OJS31" s="15"/>
      <c r="OJT31" s="15"/>
      <c r="OJU31" s="15"/>
      <c r="OJV31" s="15"/>
      <c r="OJW31" s="15"/>
      <c r="OJX31" s="15"/>
      <c r="OJY31" s="15"/>
      <c r="OJZ31" s="15"/>
      <c r="OKA31" s="15"/>
      <c r="OKB31" s="15"/>
      <c r="OKC31" s="15"/>
      <c r="OKD31" s="15"/>
      <c r="OKE31" s="15"/>
      <c r="OKF31" s="15"/>
      <c r="OKG31" s="15"/>
      <c r="OKH31" s="15"/>
      <c r="OKI31" s="15"/>
      <c r="OKJ31" s="15"/>
      <c r="OKK31" s="15"/>
      <c r="OKL31" s="15"/>
      <c r="OKM31" s="15"/>
      <c r="OKN31" s="15"/>
      <c r="OKO31" s="15"/>
      <c r="OKP31" s="15"/>
      <c r="OKQ31" s="15"/>
      <c r="OKR31" s="15"/>
      <c r="OKS31" s="15"/>
      <c r="OKT31" s="15"/>
      <c r="OKU31" s="15"/>
      <c r="OKV31" s="15"/>
      <c r="OKW31" s="15"/>
      <c r="OKX31" s="15"/>
      <c r="OKY31" s="15"/>
      <c r="OKZ31" s="15"/>
      <c r="OLA31" s="15"/>
      <c r="OLB31" s="15"/>
      <c r="OLC31" s="15"/>
      <c r="OLD31" s="15"/>
      <c r="OLE31" s="15"/>
      <c r="OLF31" s="15"/>
      <c r="OLG31" s="15"/>
      <c r="OLH31" s="15"/>
      <c r="OLI31" s="15"/>
      <c r="OLJ31" s="15"/>
      <c r="OLK31" s="15"/>
      <c r="OLL31" s="15"/>
      <c r="OLM31" s="15"/>
      <c r="OLN31" s="15"/>
      <c r="OLO31" s="15"/>
      <c r="OLP31" s="15"/>
      <c r="OLQ31" s="15"/>
      <c r="OLR31" s="15"/>
      <c r="OLS31" s="15"/>
      <c r="OLT31" s="15"/>
      <c r="OLU31" s="15"/>
      <c r="OLV31" s="15"/>
      <c r="OLW31" s="15"/>
      <c r="OLX31" s="15"/>
      <c r="OLY31" s="15"/>
      <c r="OLZ31" s="15"/>
      <c r="OMA31" s="15"/>
      <c r="OMB31" s="15"/>
      <c r="OMC31" s="15"/>
      <c r="OMD31" s="15"/>
      <c r="OME31" s="15"/>
      <c r="OMF31" s="15"/>
      <c r="OMG31" s="15"/>
      <c r="OMH31" s="15"/>
      <c r="OMI31" s="15"/>
      <c r="OMJ31" s="15"/>
      <c r="OMK31" s="15"/>
      <c r="OML31" s="15"/>
      <c r="OMM31" s="15"/>
      <c r="OMN31" s="15"/>
      <c r="OMO31" s="15"/>
      <c r="OMP31" s="15"/>
      <c r="OMQ31" s="15"/>
      <c r="OMR31" s="15"/>
      <c r="OMS31" s="15"/>
      <c r="OMT31" s="15"/>
      <c r="OMU31" s="15"/>
      <c r="OMV31" s="15"/>
      <c r="OMW31" s="15"/>
      <c r="OMX31" s="15"/>
      <c r="OMY31" s="15"/>
      <c r="OMZ31" s="15"/>
      <c r="ONA31" s="15"/>
      <c r="ONB31" s="15"/>
      <c r="ONC31" s="15"/>
      <c r="OND31" s="15"/>
      <c r="ONE31" s="15"/>
      <c r="ONF31" s="15"/>
      <c r="ONG31" s="15"/>
      <c r="ONH31" s="15"/>
      <c r="ONI31" s="15"/>
      <c r="ONJ31" s="15"/>
      <c r="ONK31" s="15"/>
      <c r="ONL31" s="15"/>
      <c r="ONM31" s="15"/>
      <c r="ONN31" s="15"/>
      <c r="ONO31" s="15"/>
      <c r="ONP31" s="15"/>
      <c r="ONQ31" s="15"/>
      <c r="ONR31" s="15"/>
      <c r="ONS31" s="15"/>
      <c r="ONT31" s="15"/>
      <c r="ONU31" s="15"/>
      <c r="ONV31" s="15"/>
      <c r="ONW31" s="15"/>
      <c r="ONX31" s="15"/>
      <c r="ONY31" s="15"/>
      <c r="ONZ31" s="15"/>
      <c r="OOA31" s="15"/>
      <c r="OOB31" s="15"/>
      <c r="OOC31" s="15"/>
      <c r="OOD31" s="15"/>
      <c r="OOE31" s="15"/>
      <c r="OOF31" s="15"/>
      <c r="OOG31" s="15"/>
      <c r="OOH31" s="15"/>
      <c r="OOI31" s="15"/>
      <c r="OOJ31" s="15"/>
      <c r="OOK31" s="15"/>
      <c r="OOL31" s="15"/>
      <c r="OOM31" s="15"/>
      <c r="OON31" s="15"/>
      <c r="OOO31" s="15"/>
      <c r="OOP31" s="15"/>
      <c r="OOQ31" s="15"/>
      <c r="OOR31" s="15"/>
      <c r="OOS31" s="15"/>
      <c r="OOT31" s="15"/>
      <c r="OOU31" s="15"/>
      <c r="OOV31" s="15"/>
      <c r="OOW31" s="15"/>
      <c r="OOX31" s="15"/>
      <c r="OOY31" s="15"/>
      <c r="OOZ31" s="15"/>
      <c r="OPA31" s="15"/>
      <c r="OPB31" s="15"/>
      <c r="OPC31" s="15"/>
      <c r="OPD31" s="15"/>
      <c r="OPE31" s="15"/>
      <c r="OPF31" s="15"/>
      <c r="OPG31" s="15"/>
      <c r="OPH31" s="15"/>
      <c r="OPI31" s="15"/>
      <c r="OPJ31" s="15"/>
      <c r="OPK31" s="15"/>
      <c r="OPL31" s="15"/>
      <c r="OPM31" s="15"/>
      <c r="OPN31" s="15"/>
      <c r="OPO31" s="15"/>
      <c r="OPP31" s="15"/>
      <c r="OPQ31" s="15"/>
      <c r="OPR31" s="15"/>
      <c r="OPS31" s="15"/>
      <c r="OPT31" s="15"/>
      <c r="OPU31" s="15"/>
      <c r="OPV31" s="15"/>
      <c r="OPW31" s="15"/>
      <c r="OPX31" s="15"/>
      <c r="OPY31" s="15"/>
      <c r="OPZ31" s="15"/>
      <c r="OQA31" s="15"/>
      <c r="OQB31" s="15"/>
      <c r="OQC31" s="15"/>
      <c r="OQD31" s="15"/>
      <c r="OQE31" s="15"/>
      <c r="OQF31" s="15"/>
      <c r="OQG31" s="15"/>
      <c r="OQH31" s="15"/>
      <c r="OQI31" s="15"/>
      <c r="OQJ31" s="15"/>
      <c r="OQK31" s="15"/>
      <c r="OQL31" s="15"/>
      <c r="OQM31" s="15"/>
      <c r="OQN31" s="15"/>
      <c r="OQO31" s="15"/>
      <c r="OQP31" s="15"/>
      <c r="OQQ31" s="15"/>
      <c r="OQR31" s="15"/>
      <c r="OQS31" s="15"/>
      <c r="OQT31" s="15"/>
      <c r="OQU31" s="15"/>
      <c r="OQV31" s="15"/>
      <c r="OQW31" s="15"/>
      <c r="OQX31" s="15"/>
      <c r="OQY31" s="15"/>
      <c r="OQZ31" s="15"/>
      <c r="ORA31" s="15"/>
      <c r="ORB31" s="15"/>
      <c r="ORC31" s="15"/>
      <c r="ORD31" s="15"/>
      <c r="ORE31" s="15"/>
      <c r="ORF31" s="15"/>
      <c r="ORG31" s="15"/>
      <c r="ORH31" s="15"/>
      <c r="ORI31" s="15"/>
      <c r="ORJ31" s="15"/>
      <c r="ORK31" s="15"/>
      <c r="ORL31" s="15"/>
      <c r="ORM31" s="15"/>
      <c r="ORN31" s="15"/>
      <c r="ORO31" s="15"/>
      <c r="ORP31" s="15"/>
      <c r="ORQ31" s="15"/>
      <c r="ORR31" s="15"/>
      <c r="ORS31" s="15"/>
      <c r="ORT31" s="15"/>
      <c r="ORU31" s="15"/>
      <c r="ORV31" s="15"/>
      <c r="ORW31" s="15"/>
      <c r="ORX31" s="15"/>
      <c r="ORY31" s="15"/>
      <c r="ORZ31" s="15"/>
      <c r="OSA31" s="15"/>
      <c r="OSB31" s="15"/>
      <c r="OSC31" s="15"/>
      <c r="OSD31" s="15"/>
      <c r="OSE31" s="15"/>
      <c r="OSF31" s="15"/>
      <c r="OSG31" s="15"/>
      <c r="OSH31" s="15"/>
      <c r="OSI31" s="15"/>
      <c r="OSJ31" s="15"/>
      <c r="OSK31" s="15"/>
      <c r="OSL31" s="15"/>
      <c r="OSM31" s="15"/>
      <c r="OSN31" s="15"/>
      <c r="OSO31" s="15"/>
      <c r="OSP31" s="15"/>
      <c r="OSQ31" s="15"/>
      <c r="OSR31" s="15"/>
      <c r="OSS31" s="15"/>
      <c r="OST31" s="15"/>
      <c r="OSU31" s="15"/>
      <c r="OSV31" s="15"/>
      <c r="OSW31" s="15"/>
      <c r="OSX31" s="15"/>
      <c r="OSY31" s="15"/>
      <c r="OSZ31" s="15"/>
      <c r="OTA31" s="15"/>
      <c r="OTB31" s="15"/>
      <c r="OTC31" s="15"/>
      <c r="OTD31" s="15"/>
      <c r="OTE31" s="15"/>
      <c r="OTF31" s="15"/>
      <c r="OTG31" s="15"/>
      <c r="OTH31" s="15"/>
      <c r="OTI31" s="15"/>
      <c r="OTJ31" s="15"/>
      <c r="OTK31" s="15"/>
      <c r="OTL31" s="15"/>
      <c r="OTM31" s="15"/>
      <c r="OTN31" s="15"/>
      <c r="OTO31" s="15"/>
      <c r="OTP31" s="15"/>
      <c r="OTQ31" s="15"/>
      <c r="OTR31" s="15"/>
      <c r="OTS31" s="15"/>
      <c r="OTT31" s="15"/>
      <c r="OTU31" s="15"/>
      <c r="OTV31" s="15"/>
      <c r="OTW31" s="15"/>
      <c r="OTX31" s="15"/>
      <c r="OTY31" s="15"/>
      <c r="OTZ31" s="15"/>
      <c r="OUA31" s="15"/>
      <c r="OUB31" s="15"/>
      <c r="OUC31" s="15"/>
      <c r="OUD31" s="15"/>
      <c r="OUE31" s="15"/>
      <c r="OUF31" s="15"/>
      <c r="OUG31" s="15"/>
      <c r="OUH31" s="15"/>
      <c r="OUI31" s="15"/>
      <c r="OUJ31" s="15"/>
      <c r="OUK31" s="15"/>
      <c r="OUL31" s="15"/>
      <c r="OUM31" s="15"/>
      <c r="OUN31" s="15"/>
      <c r="OUO31" s="15"/>
      <c r="OUP31" s="15"/>
      <c r="OUQ31" s="15"/>
      <c r="OUR31" s="15"/>
      <c r="OUS31" s="15"/>
      <c r="OUT31" s="15"/>
      <c r="OUU31" s="15"/>
      <c r="OUV31" s="15"/>
      <c r="OUW31" s="15"/>
      <c r="OUX31" s="15"/>
      <c r="OUY31" s="15"/>
      <c r="OUZ31" s="15"/>
      <c r="OVA31" s="15"/>
      <c r="OVB31" s="15"/>
      <c r="OVC31" s="15"/>
      <c r="OVD31" s="15"/>
      <c r="OVE31" s="15"/>
      <c r="OVF31" s="15"/>
      <c r="OVG31" s="15"/>
      <c r="OVH31" s="15"/>
      <c r="OVI31" s="15"/>
      <c r="OVJ31" s="15"/>
      <c r="OVK31" s="15"/>
      <c r="OVL31" s="15"/>
      <c r="OVM31" s="15"/>
      <c r="OVN31" s="15"/>
      <c r="OVO31" s="15"/>
      <c r="OVP31" s="15"/>
      <c r="OVQ31" s="15"/>
      <c r="OVR31" s="15"/>
      <c r="OVS31" s="15"/>
      <c r="OVT31" s="15"/>
      <c r="OVU31" s="15"/>
      <c r="OVV31" s="15"/>
      <c r="OVW31" s="15"/>
      <c r="OVX31" s="15"/>
      <c r="OVY31" s="15"/>
      <c r="OVZ31" s="15"/>
      <c r="OWA31" s="15"/>
      <c r="OWB31" s="15"/>
      <c r="OWC31" s="15"/>
      <c r="OWD31" s="15"/>
      <c r="OWE31" s="15"/>
      <c r="OWF31" s="15"/>
      <c r="OWG31" s="15"/>
      <c r="OWH31" s="15"/>
      <c r="OWI31" s="15"/>
      <c r="OWJ31" s="15"/>
      <c r="OWK31" s="15"/>
      <c r="OWL31" s="15"/>
      <c r="OWM31" s="15"/>
      <c r="OWN31" s="15"/>
      <c r="OWO31" s="15"/>
      <c r="OWP31" s="15"/>
      <c r="OWQ31" s="15"/>
      <c r="OWR31" s="15"/>
      <c r="OWS31" s="15"/>
      <c r="OWT31" s="15"/>
      <c r="OWU31" s="15"/>
      <c r="OWV31" s="15"/>
      <c r="OWW31" s="15"/>
      <c r="OWX31" s="15"/>
      <c r="OWY31" s="15"/>
      <c r="OWZ31" s="15"/>
      <c r="OXA31" s="15"/>
      <c r="OXB31" s="15"/>
      <c r="OXC31" s="15"/>
      <c r="OXD31" s="15"/>
      <c r="OXE31" s="15"/>
      <c r="OXF31" s="15"/>
      <c r="OXG31" s="15"/>
      <c r="OXH31" s="15"/>
      <c r="OXI31" s="15"/>
      <c r="OXJ31" s="15"/>
      <c r="OXK31" s="15"/>
      <c r="OXL31" s="15"/>
      <c r="OXM31" s="15"/>
      <c r="OXN31" s="15"/>
      <c r="OXO31" s="15"/>
      <c r="OXP31" s="15"/>
      <c r="OXQ31" s="15"/>
      <c r="OXR31" s="15"/>
      <c r="OXS31" s="15"/>
      <c r="OXT31" s="15"/>
      <c r="OXU31" s="15"/>
      <c r="OXV31" s="15"/>
      <c r="OXW31" s="15"/>
      <c r="OXX31" s="15"/>
      <c r="OXY31" s="15"/>
      <c r="OXZ31" s="15"/>
      <c r="OYA31" s="15"/>
      <c r="OYB31" s="15"/>
      <c r="OYC31" s="15"/>
      <c r="OYD31" s="15"/>
      <c r="OYE31" s="15"/>
      <c r="OYF31" s="15"/>
      <c r="OYG31" s="15"/>
      <c r="OYH31" s="15"/>
      <c r="OYI31" s="15"/>
      <c r="OYJ31" s="15"/>
      <c r="OYK31" s="15"/>
      <c r="OYL31" s="15"/>
      <c r="OYM31" s="15"/>
      <c r="OYN31" s="15"/>
      <c r="OYO31" s="15"/>
      <c r="OYP31" s="15"/>
      <c r="OYQ31" s="15"/>
      <c r="OYR31" s="15"/>
      <c r="OYS31" s="15"/>
      <c r="OYT31" s="15"/>
      <c r="OYU31" s="15"/>
      <c r="OYV31" s="15"/>
      <c r="OYW31" s="15"/>
      <c r="OYX31" s="15"/>
      <c r="OYY31" s="15"/>
      <c r="OYZ31" s="15"/>
      <c r="OZA31" s="15"/>
      <c r="OZB31" s="15"/>
      <c r="OZC31" s="15"/>
      <c r="OZD31" s="15"/>
      <c r="OZE31" s="15"/>
      <c r="OZF31" s="15"/>
      <c r="OZG31" s="15"/>
      <c r="OZH31" s="15"/>
      <c r="OZI31" s="15"/>
      <c r="OZJ31" s="15"/>
      <c r="OZK31" s="15"/>
      <c r="OZL31" s="15"/>
      <c r="OZM31" s="15"/>
      <c r="OZN31" s="15"/>
      <c r="OZO31" s="15"/>
      <c r="OZP31" s="15"/>
      <c r="OZQ31" s="15"/>
      <c r="OZR31" s="15"/>
      <c r="OZS31" s="15"/>
      <c r="OZT31" s="15"/>
      <c r="OZU31" s="15"/>
      <c r="OZV31" s="15"/>
      <c r="OZW31" s="15"/>
      <c r="OZX31" s="15"/>
      <c r="OZY31" s="15"/>
      <c r="OZZ31" s="15"/>
      <c r="PAA31" s="15"/>
      <c r="PAB31" s="15"/>
      <c r="PAC31" s="15"/>
      <c r="PAD31" s="15"/>
      <c r="PAE31" s="15"/>
      <c r="PAF31" s="15"/>
      <c r="PAG31" s="15"/>
      <c r="PAH31" s="15"/>
      <c r="PAI31" s="15"/>
      <c r="PAJ31" s="15"/>
      <c r="PAK31" s="15"/>
      <c r="PAL31" s="15"/>
      <c r="PAM31" s="15"/>
      <c r="PAN31" s="15"/>
      <c r="PAO31" s="15"/>
      <c r="PAP31" s="15"/>
      <c r="PAQ31" s="15"/>
      <c r="PAR31" s="15"/>
      <c r="PAS31" s="15"/>
      <c r="PAT31" s="15"/>
      <c r="PAU31" s="15"/>
      <c r="PAV31" s="15"/>
      <c r="PAW31" s="15"/>
      <c r="PAX31" s="15"/>
      <c r="PAY31" s="15"/>
      <c r="PAZ31" s="15"/>
      <c r="PBA31" s="15"/>
      <c r="PBB31" s="15"/>
      <c r="PBC31" s="15"/>
      <c r="PBD31" s="15"/>
      <c r="PBE31" s="15"/>
      <c r="PBF31" s="15"/>
      <c r="PBG31" s="15"/>
      <c r="PBH31" s="15"/>
      <c r="PBI31" s="15"/>
      <c r="PBJ31" s="15"/>
      <c r="PBK31" s="15"/>
      <c r="PBL31" s="15"/>
      <c r="PBM31" s="15"/>
      <c r="PBN31" s="15"/>
      <c r="PBO31" s="15"/>
      <c r="PBP31" s="15"/>
      <c r="PBQ31" s="15"/>
      <c r="PBR31" s="15"/>
      <c r="PBS31" s="15"/>
      <c r="PBT31" s="15"/>
      <c r="PBU31" s="15"/>
      <c r="PBV31" s="15"/>
      <c r="PBW31" s="15"/>
      <c r="PBX31" s="15"/>
      <c r="PBY31" s="15"/>
      <c r="PBZ31" s="15"/>
      <c r="PCA31" s="15"/>
      <c r="PCB31" s="15"/>
      <c r="PCC31" s="15"/>
      <c r="PCD31" s="15"/>
      <c r="PCE31" s="15"/>
      <c r="PCF31" s="15"/>
      <c r="PCG31" s="15"/>
      <c r="PCH31" s="15"/>
      <c r="PCI31" s="15"/>
      <c r="PCJ31" s="15"/>
      <c r="PCK31" s="15"/>
      <c r="PCL31" s="15"/>
      <c r="PCM31" s="15"/>
      <c r="PCN31" s="15"/>
      <c r="PCO31" s="15"/>
      <c r="PCP31" s="15"/>
      <c r="PCQ31" s="15"/>
      <c r="PCR31" s="15"/>
      <c r="PCS31" s="15"/>
      <c r="PCT31" s="15"/>
      <c r="PCU31" s="15"/>
      <c r="PCV31" s="15"/>
      <c r="PCW31" s="15"/>
      <c r="PCX31" s="15"/>
      <c r="PCY31" s="15"/>
      <c r="PCZ31" s="15"/>
      <c r="PDA31" s="15"/>
      <c r="PDB31" s="15"/>
      <c r="PDC31" s="15"/>
      <c r="PDD31" s="15"/>
      <c r="PDE31" s="15"/>
      <c r="PDF31" s="15"/>
      <c r="PDG31" s="15"/>
      <c r="PDH31" s="15"/>
      <c r="PDI31" s="15"/>
      <c r="PDJ31" s="15"/>
      <c r="PDK31" s="15"/>
      <c r="PDL31" s="15"/>
      <c r="PDM31" s="15"/>
      <c r="PDN31" s="15"/>
      <c r="PDO31" s="15"/>
      <c r="PDP31" s="15"/>
      <c r="PDQ31" s="15"/>
      <c r="PDR31" s="15"/>
      <c r="PDS31" s="15"/>
      <c r="PDT31" s="15"/>
      <c r="PDU31" s="15"/>
      <c r="PDV31" s="15"/>
      <c r="PDW31" s="15"/>
      <c r="PDX31" s="15"/>
      <c r="PDY31" s="15"/>
      <c r="PDZ31" s="15"/>
      <c r="PEA31" s="15"/>
      <c r="PEB31" s="15"/>
      <c r="PEC31" s="15"/>
      <c r="PED31" s="15"/>
      <c r="PEE31" s="15"/>
      <c r="PEF31" s="15"/>
      <c r="PEG31" s="15"/>
      <c r="PEH31" s="15"/>
      <c r="PEI31" s="15"/>
      <c r="PEJ31" s="15"/>
      <c r="PEK31" s="15"/>
      <c r="PEL31" s="15"/>
      <c r="PEM31" s="15"/>
      <c r="PEN31" s="15"/>
      <c r="PEO31" s="15"/>
      <c r="PEP31" s="15"/>
      <c r="PEQ31" s="15"/>
      <c r="PER31" s="15"/>
      <c r="PES31" s="15"/>
      <c r="PET31" s="15"/>
      <c r="PEU31" s="15"/>
      <c r="PEV31" s="15"/>
      <c r="PEW31" s="15"/>
      <c r="PEX31" s="15"/>
      <c r="PEY31" s="15"/>
      <c r="PEZ31" s="15"/>
      <c r="PFA31" s="15"/>
      <c r="PFB31" s="15"/>
      <c r="PFC31" s="15"/>
      <c r="PFD31" s="15"/>
      <c r="PFE31" s="15"/>
      <c r="PFF31" s="15"/>
      <c r="PFG31" s="15"/>
      <c r="PFH31" s="15"/>
      <c r="PFI31" s="15"/>
      <c r="PFJ31" s="15"/>
      <c r="PFK31" s="15"/>
      <c r="PFL31" s="15"/>
      <c r="PFM31" s="15"/>
      <c r="PFN31" s="15"/>
      <c r="PFO31" s="15"/>
      <c r="PFP31" s="15"/>
      <c r="PFQ31" s="15"/>
      <c r="PFR31" s="15"/>
      <c r="PFS31" s="15"/>
      <c r="PFT31" s="15"/>
      <c r="PFU31" s="15"/>
      <c r="PFV31" s="15"/>
      <c r="PFW31" s="15"/>
      <c r="PFX31" s="15"/>
      <c r="PFY31" s="15"/>
      <c r="PFZ31" s="15"/>
      <c r="PGA31" s="15"/>
      <c r="PGB31" s="15"/>
      <c r="PGC31" s="15"/>
      <c r="PGD31" s="15"/>
      <c r="PGE31" s="15"/>
      <c r="PGF31" s="15"/>
      <c r="PGG31" s="15"/>
      <c r="PGH31" s="15"/>
      <c r="PGI31" s="15"/>
      <c r="PGJ31" s="15"/>
      <c r="PGK31" s="15"/>
      <c r="PGL31" s="15"/>
      <c r="PGM31" s="15"/>
      <c r="PGN31" s="15"/>
      <c r="PGO31" s="15"/>
      <c r="PGP31" s="15"/>
      <c r="PGQ31" s="15"/>
      <c r="PGR31" s="15"/>
      <c r="PGS31" s="15"/>
      <c r="PGT31" s="15"/>
      <c r="PGU31" s="15"/>
      <c r="PGV31" s="15"/>
      <c r="PGW31" s="15"/>
      <c r="PGX31" s="15"/>
      <c r="PGY31" s="15"/>
      <c r="PGZ31" s="15"/>
      <c r="PHA31" s="15"/>
      <c r="PHB31" s="15"/>
      <c r="PHC31" s="15"/>
      <c r="PHD31" s="15"/>
      <c r="PHE31" s="15"/>
      <c r="PHF31" s="15"/>
      <c r="PHG31" s="15"/>
      <c r="PHH31" s="15"/>
      <c r="PHI31" s="15"/>
      <c r="PHJ31" s="15"/>
      <c r="PHK31" s="15"/>
      <c r="PHL31" s="15"/>
      <c r="PHM31" s="15"/>
      <c r="PHN31" s="15"/>
      <c r="PHO31" s="15"/>
      <c r="PHP31" s="15"/>
      <c r="PHQ31" s="15"/>
      <c r="PHR31" s="15"/>
      <c r="PHS31" s="15"/>
      <c r="PHT31" s="15"/>
      <c r="PHU31" s="15"/>
      <c r="PHV31" s="15"/>
      <c r="PHW31" s="15"/>
      <c r="PHX31" s="15"/>
      <c r="PHY31" s="15"/>
      <c r="PHZ31" s="15"/>
      <c r="PIA31" s="15"/>
      <c r="PIB31" s="15"/>
      <c r="PIC31" s="15"/>
      <c r="PID31" s="15"/>
      <c r="PIE31" s="15"/>
      <c r="PIF31" s="15"/>
      <c r="PIG31" s="15"/>
      <c r="PIH31" s="15"/>
      <c r="PII31" s="15"/>
      <c r="PIJ31" s="15"/>
      <c r="PIK31" s="15"/>
      <c r="PIL31" s="15"/>
      <c r="PIM31" s="15"/>
      <c r="PIN31" s="15"/>
      <c r="PIO31" s="15"/>
      <c r="PIP31" s="15"/>
      <c r="PIQ31" s="15"/>
      <c r="PIR31" s="15"/>
      <c r="PIS31" s="15"/>
      <c r="PIT31" s="15"/>
      <c r="PIU31" s="15"/>
      <c r="PIV31" s="15"/>
      <c r="PIW31" s="15"/>
      <c r="PIX31" s="15"/>
      <c r="PIY31" s="15"/>
      <c r="PIZ31" s="15"/>
      <c r="PJA31" s="15"/>
      <c r="PJB31" s="15"/>
      <c r="PJC31" s="15"/>
      <c r="PJD31" s="15"/>
      <c r="PJE31" s="15"/>
      <c r="PJF31" s="15"/>
      <c r="PJG31" s="15"/>
      <c r="PJH31" s="15"/>
      <c r="PJI31" s="15"/>
      <c r="PJJ31" s="15"/>
      <c r="PJK31" s="15"/>
      <c r="PJL31" s="15"/>
      <c r="PJM31" s="15"/>
      <c r="PJN31" s="15"/>
      <c r="PJO31" s="15"/>
      <c r="PJP31" s="15"/>
      <c r="PJQ31" s="15"/>
      <c r="PJR31" s="15"/>
      <c r="PJS31" s="15"/>
      <c r="PJT31" s="15"/>
      <c r="PJU31" s="15"/>
      <c r="PJV31" s="15"/>
      <c r="PJW31" s="15"/>
      <c r="PJX31" s="15"/>
      <c r="PJY31" s="15"/>
      <c r="PJZ31" s="15"/>
      <c r="PKA31" s="15"/>
      <c r="PKB31" s="15"/>
      <c r="PKC31" s="15"/>
      <c r="PKD31" s="15"/>
      <c r="PKE31" s="15"/>
      <c r="PKF31" s="15"/>
      <c r="PKG31" s="15"/>
      <c r="PKH31" s="15"/>
      <c r="PKI31" s="15"/>
      <c r="PKJ31" s="15"/>
      <c r="PKK31" s="15"/>
      <c r="PKL31" s="15"/>
      <c r="PKM31" s="15"/>
      <c r="PKN31" s="15"/>
      <c r="PKO31" s="15"/>
      <c r="PKP31" s="15"/>
      <c r="PKQ31" s="15"/>
      <c r="PKR31" s="15"/>
      <c r="PKS31" s="15"/>
      <c r="PKT31" s="15"/>
      <c r="PKU31" s="15"/>
      <c r="PKV31" s="15"/>
      <c r="PKW31" s="15"/>
      <c r="PKX31" s="15"/>
      <c r="PKY31" s="15"/>
      <c r="PKZ31" s="15"/>
      <c r="PLA31" s="15"/>
      <c r="PLB31" s="15"/>
      <c r="PLC31" s="15"/>
      <c r="PLD31" s="15"/>
      <c r="PLE31" s="15"/>
      <c r="PLF31" s="15"/>
      <c r="PLG31" s="15"/>
      <c r="PLH31" s="15"/>
      <c r="PLI31" s="15"/>
      <c r="PLJ31" s="15"/>
      <c r="PLK31" s="15"/>
      <c r="PLL31" s="15"/>
      <c r="PLM31" s="15"/>
      <c r="PLN31" s="15"/>
      <c r="PLO31" s="15"/>
      <c r="PLP31" s="15"/>
      <c r="PLQ31" s="15"/>
      <c r="PLR31" s="15"/>
      <c r="PLS31" s="15"/>
      <c r="PLT31" s="15"/>
      <c r="PLU31" s="15"/>
      <c r="PLV31" s="15"/>
      <c r="PLW31" s="15"/>
      <c r="PLX31" s="15"/>
      <c r="PLY31" s="15"/>
      <c r="PLZ31" s="15"/>
      <c r="PMA31" s="15"/>
      <c r="PMB31" s="15"/>
      <c r="PMC31" s="15"/>
      <c r="PMD31" s="15"/>
      <c r="PME31" s="15"/>
      <c r="PMF31" s="15"/>
      <c r="PMG31" s="15"/>
      <c r="PMH31" s="15"/>
      <c r="PMI31" s="15"/>
      <c r="PMJ31" s="15"/>
      <c r="PMK31" s="15"/>
      <c r="PML31" s="15"/>
      <c r="PMM31" s="15"/>
      <c r="PMN31" s="15"/>
      <c r="PMO31" s="15"/>
      <c r="PMP31" s="15"/>
      <c r="PMQ31" s="15"/>
      <c r="PMR31" s="15"/>
      <c r="PMS31" s="15"/>
      <c r="PMT31" s="15"/>
      <c r="PMU31" s="15"/>
      <c r="PMV31" s="15"/>
      <c r="PMW31" s="15"/>
      <c r="PMX31" s="15"/>
      <c r="PMY31" s="15"/>
      <c r="PMZ31" s="15"/>
      <c r="PNA31" s="15"/>
      <c r="PNB31" s="15"/>
      <c r="PNC31" s="15"/>
      <c r="PND31" s="15"/>
      <c r="PNE31" s="15"/>
      <c r="PNF31" s="15"/>
      <c r="PNG31" s="15"/>
      <c r="PNH31" s="15"/>
      <c r="PNI31" s="15"/>
      <c r="PNJ31" s="15"/>
      <c r="PNK31" s="15"/>
      <c r="PNL31" s="15"/>
      <c r="PNM31" s="15"/>
      <c r="PNN31" s="15"/>
      <c r="PNO31" s="15"/>
      <c r="PNP31" s="15"/>
      <c r="PNQ31" s="15"/>
      <c r="PNR31" s="15"/>
      <c r="PNS31" s="15"/>
      <c r="PNT31" s="15"/>
      <c r="PNU31" s="15"/>
      <c r="PNV31" s="15"/>
      <c r="PNW31" s="15"/>
      <c r="PNX31" s="15"/>
      <c r="PNY31" s="15"/>
      <c r="PNZ31" s="15"/>
      <c r="POA31" s="15"/>
      <c r="POB31" s="15"/>
      <c r="POC31" s="15"/>
      <c r="POD31" s="15"/>
      <c r="POE31" s="15"/>
      <c r="POF31" s="15"/>
      <c r="POG31" s="15"/>
      <c r="POH31" s="15"/>
      <c r="POI31" s="15"/>
      <c r="POJ31" s="15"/>
      <c r="POK31" s="15"/>
      <c r="POL31" s="15"/>
      <c r="POM31" s="15"/>
      <c r="PON31" s="15"/>
      <c r="POO31" s="15"/>
      <c r="POP31" s="15"/>
      <c r="POQ31" s="15"/>
      <c r="POR31" s="15"/>
      <c r="POS31" s="15"/>
      <c r="POT31" s="15"/>
      <c r="POU31" s="15"/>
      <c r="POV31" s="15"/>
      <c r="POW31" s="15"/>
      <c r="POX31" s="15"/>
      <c r="POY31" s="15"/>
      <c r="POZ31" s="15"/>
      <c r="PPA31" s="15"/>
      <c r="PPB31" s="15"/>
      <c r="PPC31" s="15"/>
      <c r="PPD31" s="15"/>
      <c r="PPE31" s="15"/>
      <c r="PPF31" s="15"/>
      <c r="PPG31" s="15"/>
      <c r="PPH31" s="15"/>
      <c r="PPI31" s="15"/>
      <c r="PPJ31" s="15"/>
      <c r="PPK31" s="15"/>
      <c r="PPL31" s="15"/>
      <c r="PPM31" s="15"/>
      <c r="PPN31" s="15"/>
      <c r="PPO31" s="15"/>
      <c r="PPP31" s="15"/>
      <c r="PPQ31" s="15"/>
      <c r="PPR31" s="15"/>
      <c r="PPS31" s="15"/>
      <c r="PPT31" s="15"/>
      <c r="PPU31" s="15"/>
      <c r="PPV31" s="15"/>
      <c r="PPW31" s="15"/>
      <c r="PPX31" s="15"/>
      <c r="PPY31" s="15"/>
      <c r="PPZ31" s="15"/>
      <c r="PQA31" s="15"/>
      <c r="PQB31" s="15"/>
      <c r="PQC31" s="15"/>
      <c r="PQD31" s="15"/>
      <c r="PQE31" s="15"/>
      <c r="PQF31" s="15"/>
      <c r="PQG31" s="15"/>
      <c r="PQH31" s="15"/>
      <c r="PQI31" s="15"/>
      <c r="PQJ31" s="15"/>
      <c r="PQK31" s="15"/>
      <c r="PQL31" s="15"/>
      <c r="PQM31" s="15"/>
      <c r="PQN31" s="15"/>
      <c r="PQO31" s="15"/>
      <c r="PQP31" s="15"/>
      <c r="PQQ31" s="15"/>
      <c r="PQR31" s="15"/>
      <c r="PQS31" s="15"/>
      <c r="PQT31" s="15"/>
      <c r="PQU31" s="15"/>
      <c r="PQV31" s="15"/>
      <c r="PQW31" s="15"/>
      <c r="PQX31" s="15"/>
      <c r="PQY31" s="15"/>
      <c r="PQZ31" s="15"/>
      <c r="PRA31" s="15"/>
      <c r="PRB31" s="15"/>
      <c r="PRC31" s="15"/>
      <c r="PRD31" s="15"/>
      <c r="PRE31" s="15"/>
      <c r="PRF31" s="15"/>
      <c r="PRG31" s="15"/>
      <c r="PRH31" s="15"/>
      <c r="PRI31" s="15"/>
      <c r="PRJ31" s="15"/>
      <c r="PRK31" s="15"/>
      <c r="PRL31" s="15"/>
      <c r="PRM31" s="15"/>
      <c r="PRN31" s="15"/>
      <c r="PRO31" s="15"/>
      <c r="PRP31" s="15"/>
      <c r="PRQ31" s="15"/>
      <c r="PRR31" s="15"/>
      <c r="PRS31" s="15"/>
      <c r="PRT31" s="15"/>
      <c r="PRU31" s="15"/>
      <c r="PRV31" s="15"/>
      <c r="PRW31" s="15"/>
      <c r="PRX31" s="15"/>
      <c r="PRY31" s="15"/>
      <c r="PRZ31" s="15"/>
      <c r="PSA31" s="15"/>
      <c r="PSB31" s="15"/>
      <c r="PSC31" s="15"/>
      <c r="PSD31" s="15"/>
      <c r="PSE31" s="15"/>
      <c r="PSF31" s="15"/>
      <c r="PSG31" s="15"/>
      <c r="PSH31" s="15"/>
      <c r="PSI31" s="15"/>
      <c r="PSJ31" s="15"/>
      <c r="PSK31" s="15"/>
      <c r="PSL31" s="15"/>
      <c r="PSM31" s="15"/>
      <c r="PSN31" s="15"/>
      <c r="PSO31" s="15"/>
      <c r="PSP31" s="15"/>
      <c r="PSQ31" s="15"/>
      <c r="PSR31" s="15"/>
      <c r="PSS31" s="15"/>
      <c r="PST31" s="15"/>
      <c r="PSU31" s="15"/>
      <c r="PSV31" s="15"/>
      <c r="PSW31" s="15"/>
      <c r="PSX31" s="15"/>
      <c r="PSY31" s="15"/>
      <c r="PSZ31" s="15"/>
      <c r="PTA31" s="15"/>
      <c r="PTB31" s="15"/>
      <c r="PTC31" s="15"/>
      <c r="PTD31" s="15"/>
      <c r="PTE31" s="15"/>
      <c r="PTF31" s="15"/>
      <c r="PTG31" s="15"/>
      <c r="PTH31" s="15"/>
      <c r="PTI31" s="15"/>
      <c r="PTJ31" s="15"/>
      <c r="PTK31" s="15"/>
      <c r="PTL31" s="15"/>
      <c r="PTM31" s="15"/>
      <c r="PTN31" s="15"/>
      <c r="PTO31" s="15"/>
      <c r="PTP31" s="15"/>
      <c r="PTQ31" s="15"/>
      <c r="PTR31" s="15"/>
      <c r="PTS31" s="15"/>
      <c r="PTT31" s="15"/>
      <c r="PTU31" s="15"/>
      <c r="PTV31" s="15"/>
      <c r="PTW31" s="15"/>
      <c r="PTX31" s="15"/>
      <c r="PTY31" s="15"/>
      <c r="PTZ31" s="15"/>
      <c r="PUA31" s="15"/>
      <c r="PUB31" s="15"/>
      <c r="PUC31" s="15"/>
      <c r="PUD31" s="15"/>
      <c r="PUE31" s="15"/>
      <c r="PUF31" s="15"/>
      <c r="PUG31" s="15"/>
      <c r="PUH31" s="15"/>
      <c r="PUI31" s="15"/>
      <c r="PUJ31" s="15"/>
      <c r="PUK31" s="15"/>
      <c r="PUL31" s="15"/>
      <c r="PUM31" s="15"/>
      <c r="PUN31" s="15"/>
      <c r="PUO31" s="15"/>
      <c r="PUP31" s="15"/>
      <c r="PUQ31" s="15"/>
      <c r="PUR31" s="15"/>
      <c r="PUS31" s="15"/>
      <c r="PUT31" s="15"/>
      <c r="PUU31" s="15"/>
      <c r="PUV31" s="15"/>
      <c r="PUW31" s="15"/>
      <c r="PUX31" s="15"/>
      <c r="PUY31" s="15"/>
      <c r="PUZ31" s="15"/>
      <c r="PVA31" s="15"/>
      <c r="PVB31" s="15"/>
      <c r="PVC31" s="15"/>
      <c r="PVD31" s="15"/>
      <c r="PVE31" s="15"/>
      <c r="PVF31" s="15"/>
      <c r="PVG31" s="15"/>
      <c r="PVH31" s="15"/>
      <c r="PVI31" s="15"/>
      <c r="PVJ31" s="15"/>
      <c r="PVK31" s="15"/>
      <c r="PVL31" s="15"/>
      <c r="PVM31" s="15"/>
      <c r="PVN31" s="15"/>
      <c r="PVO31" s="15"/>
      <c r="PVP31" s="15"/>
      <c r="PVQ31" s="15"/>
      <c r="PVR31" s="15"/>
      <c r="PVS31" s="15"/>
      <c r="PVT31" s="15"/>
      <c r="PVU31" s="15"/>
      <c r="PVV31" s="15"/>
      <c r="PVW31" s="15"/>
      <c r="PVX31" s="15"/>
      <c r="PVY31" s="15"/>
      <c r="PVZ31" s="15"/>
      <c r="PWA31" s="15"/>
      <c r="PWB31" s="15"/>
      <c r="PWC31" s="15"/>
      <c r="PWD31" s="15"/>
      <c r="PWE31" s="15"/>
      <c r="PWF31" s="15"/>
      <c r="PWG31" s="15"/>
      <c r="PWH31" s="15"/>
      <c r="PWI31" s="15"/>
      <c r="PWJ31" s="15"/>
      <c r="PWK31" s="15"/>
      <c r="PWL31" s="15"/>
      <c r="PWM31" s="15"/>
      <c r="PWN31" s="15"/>
      <c r="PWO31" s="15"/>
      <c r="PWP31" s="15"/>
      <c r="PWQ31" s="15"/>
      <c r="PWR31" s="15"/>
      <c r="PWS31" s="15"/>
      <c r="PWT31" s="15"/>
      <c r="PWU31" s="15"/>
      <c r="PWV31" s="15"/>
      <c r="PWW31" s="15"/>
      <c r="PWX31" s="15"/>
      <c r="PWY31" s="15"/>
      <c r="PWZ31" s="15"/>
      <c r="PXA31" s="15"/>
      <c r="PXB31" s="15"/>
      <c r="PXC31" s="15"/>
      <c r="PXD31" s="15"/>
      <c r="PXE31" s="15"/>
      <c r="PXF31" s="15"/>
      <c r="PXG31" s="15"/>
      <c r="PXH31" s="15"/>
      <c r="PXI31" s="15"/>
      <c r="PXJ31" s="15"/>
      <c r="PXK31" s="15"/>
      <c r="PXL31" s="15"/>
      <c r="PXM31" s="15"/>
      <c r="PXN31" s="15"/>
      <c r="PXO31" s="15"/>
      <c r="PXP31" s="15"/>
      <c r="PXQ31" s="15"/>
      <c r="PXR31" s="15"/>
      <c r="PXS31" s="15"/>
      <c r="PXT31" s="15"/>
      <c r="PXU31" s="15"/>
      <c r="PXV31" s="15"/>
      <c r="PXW31" s="15"/>
      <c r="PXX31" s="15"/>
      <c r="PXY31" s="15"/>
      <c r="PXZ31" s="15"/>
      <c r="PYA31" s="15"/>
      <c r="PYB31" s="15"/>
      <c r="PYC31" s="15"/>
      <c r="PYD31" s="15"/>
      <c r="PYE31" s="15"/>
      <c r="PYF31" s="15"/>
      <c r="PYG31" s="15"/>
      <c r="PYH31" s="15"/>
      <c r="PYI31" s="15"/>
      <c r="PYJ31" s="15"/>
      <c r="PYK31" s="15"/>
      <c r="PYL31" s="15"/>
      <c r="PYM31" s="15"/>
      <c r="PYN31" s="15"/>
      <c r="PYO31" s="15"/>
      <c r="PYP31" s="15"/>
      <c r="PYQ31" s="15"/>
      <c r="PYR31" s="15"/>
      <c r="PYS31" s="15"/>
      <c r="PYT31" s="15"/>
      <c r="PYU31" s="15"/>
      <c r="PYV31" s="15"/>
      <c r="PYW31" s="15"/>
      <c r="PYX31" s="15"/>
      <c r="PYY31" s="15"/>
      <c r="PYZ31" s="15"/>
      <c r="PZA31" s="15"/>
      <c r="PZB31" s="15"/>
      <c r="PZC31" s="15"/>
      <c r="PZD31" s="15"/>
      <c r="PZE31" s="15"/>
      <c r="PZF31" s="15"/>
      <c r="PZG31" s="15"/>
      <c r="PZH31" s="15"/>
      <c r="PZI31" s="15"/>
      <c r="PZJ31" s="15"/>
      <c r="PZK31" s="15"/>
      <c r="PZL31" s="15"/>
      <c r="PZM31" s="15"/>
      <c r="PZN31" s="15"/>
      <c r="PZO31" s="15"/>
      <c r="PZP31" s="15"/>
      <c r="PZQ31" s="15"/>
      <c r="PZR31" s="15"/>
      <c r="PZS31" s="15"/>
      <c r="PZT31" s="15"/>
      <c r="PZU31" s="15"/>
      <c r="PZV31" s="15"/>
      <c r="PZW31" s="15"/>
      <c r="PZX31" s="15"/>
      <c r="PZY31" s="15"/>
      <c r="PZZ31" s="15"/>
      <c r="QAA31" s="15"/>
      <c r="QAB31" s="15"/>
      <c r="QAC31" s="15"/>
      <c r="QAD31" s="15"/>
      <c r="QAE31" s="15"/>
      <c r="QAF31" s="15"/>
      <c r="QAG31" s="15"/>
      <c r="QAH31" s="15"/>
      <c r="QAI31" s="15"/>
      <c r="QAJ31" s="15"/>
      <c r="QAK31" s="15"/>
      <c r="QAL31" s="15"/>
      <c r="QAM31" s="15"/>
      <c r="QAN31" s="15"/>
      <c r="QAO31" s="15"/>
      <c r="QAP31" s="15"/>
      <c r="QAQ31" s="15"/>
      <c r="QAR31" s="15"/>
      <c r="QAS31" s="15"/>
      <c r="QAT31" s="15"/>
      <c r="QAU31" s="15"/>
      <c r="QAV31" s="15"/>
      <c r="QAW31" s="15"/>
      <c r="QAX31" s="15"/>
      <c r="QAY31" s="15"/>
      <c r="QAZ31" s="15"/>
      <c r="QBA31" s="15"/>
      <c r="QBB31" s="15"/>
      <c r="QBC31" s="15"/>
      <c r="QBD31" s="15"/>
      <c r="QBE31" s="15"/>
      <c r="QBF31" s="15"/>
      <c r="QBG31" s="15"/>
      <c r="QBH31" s="15"/>
      <c r="QBI31" s="15"/>
      <c r="QBJ31" s="15"/>
      <c r="QBK31" s="15"/>
      <c r="QBL31" s="15"/>
      <c r="QBM31" s="15"/>
      <c r="QBN31" s="15"/>
      <c r="QBO31" s="15"/>
      <c r="QBP31" s="15"/>
      <c r="QBQ31" s="15"/>
      <c r="QBR31" s="15"/>
      <c r="QBS31" s="15"/>
      <c r="QBT31" s="15"/>
      <c r="QBU31" s="15"/>
      <c r="QBV31" s="15"/>
      <c r="QBW31" s="15"/>
      <c r="QBX31" s="15"/>
      <c r="QBY31" s="15"/>
      <c r="QBZ31" s="15"/>
      <c r="QCA31" s="15"/>
      <c r="QCB31" s="15"/>
      <c r="QCC31" s="15"/>
      <c r="QCD31" s="15"/>
      <c r="QCE31" s="15"/>
      <c r="QCF31" s="15"/>
      <c r="QCG31" s="15"/>
      <c r="QCH31" s="15"/>
      <c r="QCI31" s="15"/>
      <c r="QCJ31" s="15"/>
      <c r="QCK31" s="15"/>
      <c r="QCL31" s="15"/>
      <c r="QCM31" s="15"/>
      <c r="QCN31" s="15"/>
      <c r="QCO31" s="15"/>
      <c r="QCP31" s="15"/>
      <c r="QCQ31" s="15"/>
      <c r="QCR31" s="15"/>
      <c r="QCS31" s="15"/>
      <c r="QCT31" s="15"/>
      <c r="QCU31" s="15"/>
      <c r="QCV31" s="15"/>
      <c r="QCW31" s="15"/>
      <c r="QCX31" s="15"/>
      <c r="QCY31" s="15"/>
      <c r="QCZ31" s="15"/>
      <c r="QDA31" s="15"/>
      <c r="QDB31" s="15"/>
      <c r="QDC31" s="15"/>
      <c r="QDD31" s="15"/>
      <c r="QDE31" s="15"/>
      <c r="QDF31" s="15"/>
      <c r="QDG31" s="15"/>
      <c r="QDH31" s="15"/>
      <c r="QDI31" s="15"/>
      <c r="QDJ31" s="15"/>
      <c r="QDK31" s="15"/>
      <c r="QDL31" s="15"/>
      <c r="QDM31" s="15"/>
      <c r="QDN31" s="15"/>
      <c r="QDO31" s="15"/>
      <c r="QDP31" s="15"/>
      <c r="QDQ31" s="15"/>
      <c r="QDR31" s="15"/>
      <c r="QDS31" s="15"/>
      <c r="QDT31" s="15"/>
      <c r="QDU31" s="15"/>
      <c r="QDV31" s="15"/>
      <c r="QDW31" s="15"/>
      <c r="QDX31" s="15"/>
      <c r="QDY31" s="15"/>
      <c r="QDZ31" s="15"/>
      <c r="QEA31" s="15"/>
      <c r="QEB31" s="15"/>
      <c r="QEC31" s="15"/>
      <c r="QED31" s="15"/>
      <c r="QEE31" s="15"/>
      <c r="QEF31" s="15"/>
      <c r="QEG31" s="15"/>
      <c r="QEH31" s="15"/>
      <c r="QEI31" s="15"/>
      <c r="QEJ31" s="15"/>
      <c r="QEK31" s="15"/>
      <c r="QEL31" s="15"/>
      <c r="QEM31" s="15"/>
      <c r="QEN31" s="15"/>
      <c r="QEO31" s="15"/>
      <c r="QEP31" s="15"/>
      <c r="QEQ31" s="15"/>
      <c r="QER31" s="15"/>
      <c r="QES31" s="15"/>
      <c r="QET31" s="15"/>
      <c r="QEU31" s="15"/>
      <c r="QEV31" s="15"/>
      <c r="QEW31" s="15"/>
      <c r="QEX31" s="15"/>
      <c r="QEY31" s="15"/>
      <c r="QEZ31" s="15"/>
      <c r="QFA31" s="15"/>
      <c r="QFB31" s="15"/>
      <c r="QFC31" s="15"/>
      <c r="QFD31" s="15"/>
      <c r="QFE31" s="15"/>
      <c r="QFF31" s="15"/>
      <c r="QFG31" s="15"/>
      <c r="QFH31" s="15"/>
      <c r="QFI31" s="15"/>
      <c r="QFJ31" s="15"/>
      <c r="QFK31" s="15"/>
      <c r="QFL31" s="15"/>
      <c r="QFM31" s="15"/>
      <c r="QFN31" s="15"/>
      <c r="QFO31" s="15"/>
      <c r="QFP31" s="15"/>
      <c r="QFQ31" s="15"/>
      <c r="QFR31" s="15"/>
      <c r="QFS31" s="15"/>
      <c r="QFT31" s="15"/>
      <c r="QFU31" s="15"/>
      <c r="QFV31" s="15"/>
      <c r="QFW31" s="15"/>
      <c r="QFX31" s="15"/>
      <c r="QFY31" s="15"/>
      <c r="QFZ31" s="15"/>
      <c r="QGA31" s="15"/>
      <c r="QGB31" s="15"/>
      <c r="QGC31" s="15"/>
      <c r="QGD31" s="15"/>
      <c r="QGE31" s="15"/>
      <c r="QGF31" s="15"/>
      <c r="QGG31" s="15"/>
      <c r="QGH31" s="15"/>
      <c r="QGI31" s="15"/>
      <c r="QGJ31" s="15"/>
      <c r="QGK31" s="15"/>
      <c r="QGL31" s="15"/>
      <c r="QGM31" s="15"/>
      <c r="QGN31" s="15"/>
      <c r="QGO31" s="15"/>
      <c r="QGP31" s="15"/>
      <c r="QGQ31" s="15"/>
      <c r="QGR31" s="15"/>
      <c r="QGS31" s="15"/>
      <c r="QGT31" s="15"/>
      <c r="QGU31" s="15"/>
      <c r="QGV31" s="15"/>
      <c r="QGW31" s="15"/>
      <c r="QGX31" s="15"/>
      <c r="QGY31" s="15"/>
      <c r="QGZ31" s="15"/>
      <c r="QHA31" s="15"/>
      <c r="QHB31" s="15"/>
      <c r="QHC31" s="15"/>
      <c r="QHD31" s="15"/>
      <c r="QHE31" s="15"/>
      <c r="QHF31" s="15"/>
      <c r="QHG31" s="15"/>
      <c r="QHH31" s="15"/>
      <c r="QHI31" s="15"/>
      <c r="QHJ31" s="15"/>
      <c r="QHK31" s="15"/>
      <c r="QHL31" s="15"/>
      <c r="QHM31" s="15"/>
      <c r="QHN31" s="15"/>
      <c r="QHO31" s="15"/>
      <c r="QHP31" s="15"/>
      <c r="QHQ31" s="15"/>
      <c r="QHR31" s="15"/>
      <c r="QHS31" s="15"/>
      <c r="QHT31" s="15"/>
      <c r="QHU31" s="15"/>
      <c r="QHV31" s="15"/>
      <c r="QHW31" s="15"/>
      <c r="QHX31" s="15"/>
      <c r="QHY31" s="15"/>
      <c r="QHZ31" s="15"/>
      <c r="QIA31" s="15"/>
      <c r="QIB31" s="15"/>
      <c r="QIC31" s="15"/>
      <c r="QID31" s="15"/>
      <c r="QIE31" s="15"/>
      <c r="QIF31" s="15"/>
      <c r="QIG31" s="15"/>
      <c r="QIH31" s="15"/>
      <c r="QII31" s="15"/>
      <c r="QIJ31" s="15"/>
      <c r="QIK31" s="15"/>
      <c r="QIL31" s="15"/>
      <c r="QIM31" s="15"/>
      <c r="QIN31" s="15"/>
      <c r="QIO31" s="15"/>
      <c r="QIP31" s="15"/>
      <c r="QIQ31" s="15"/>
      <c r="QIR31" s="15"/>
      <c r="QIS31" s="15"/>
      <c r="QIT31" s="15"/>
      <c r="QIU31" s="15"/>
      <c r="QIV31" s="15"/>
      <c r="QIW31" s="15"/>
      <c r="QIX31" s="15"/>
      <c r="QIY31" s="15"/>
      <c r="QIZ31" s="15"/>
      <c r="QJA31" s="15"/>
      <c r="QJB31" s="15"/>
      <c r="QJC31" s="15"/>
      <c r="QJD31" s="15"/>
      <c r="QJE31" s="15"/>
      <c r="QJF31" s="15"/>
      <c r="QJG31" s="15"/>
      <c r="QJH31" s="15"/>
      <c r="QJI31" s="15"/>
      <c r="QJJ31" s="15"/>
      <c r="QJK31" s="15"/>
      <c r="QJL31" s="15"/>
      <c r="QJM31" s="15"/>
      <c r="QJN31" s="15"/>
      <c r="QJO31" s="15"/>
      <c r="QJP31" s="15"/>
      <c r="QJQ31" s="15"/>
      <c r="QJR31" s="15"/>
      <c r="QJS31" s="15"/>
      <c r="QJT31" s="15"/>
      <c r="QJU31" s="15"/>
      <c r="QJV31" s="15"/>
      <c r="QJW31" s="15"/>
      <c r="QJX31" s="15"/>
      <c r="QJY31" s="15"/>
      <c r="QJZ31" s="15"/>
      <c r="QKA31" s="15"/>
      <c r="QKB31" s="15"/>
      <c r="QKC31" s="15"/>
      <c r="QKD31" s="15"/>
      <c r="QKE31" s="15"/>
      <c r="QKF31" s="15"/>
      <c r="QKG31" s="15"/>
      <c r="QKH31" s="15"/>
      <c r="QKI31" s="15"/>
      <c r="QKJ31" s="15"/>
      <c r="QKK31" s="15"/>
      <c r="QKL31" s="15"/>
      <c r="QKM31" s="15"/>
      <c r="QKN31" s="15"/>
      <c r="QKO31" s="15"/>
      <c r="QKP31" s="15"/>
      <c r="QKQ31" s="15"/>
      <c r="QKR31" s="15"/>
      <c r="QKS31" s="15"/>
      <c r="QKT31" s="15"/>
      <c r="QKU31" s="15"/>
      <c r="QKV31" s="15"/>
      <c r="QKW31" s="15"/>
      <c r="QKX31" s="15"/>
      <c r="QKY31" s="15"/>
      <c r="QKZ31" s="15"/>
      <c r="QLA31" s="15"/>
      <c r="QLB31" s="15"/>
      <c r="QLC31" s="15"/>
      <c r="QLD31" s="15"/>
      <c r="QLE31" s="15"/>
      <c r="QLF31" s="15"/>
      <c r="QLG31" s="15"/>
      <c r="QLH31" s="15"/>
      <c r="QLI31" s="15"/>
      <c r="QLJ31" s="15"/>
      <c r="QLK31" s="15"/>
      <c r="QLL31" s="15"/>
      <c r="QLM31" s="15"/>
      <c r="QLN31" s="15"/>
      <c r="QLO31" s="15"/>
      <c r="QLP31" s="15"/>
      <c r="QLQ31" s="15"/>
      <c r="QLR31" s="15"/>
      <c r="QLS31" s="15"/>
      <c r="QLT31" s="15"/>
      <c r="QLU31" s="15"/>
      <c r="QLV31" s="15"/>
      <c r="QLW31" s="15"/>
      <c r="QLX31" s="15"/>
      <c r="QLY31" s="15"/>
      <c r="QLZ31" s="15"/>
      <c r="QMA31" s="15"/>
      <c r="QMB31" s="15"/>
      <c r="QMC31" s="15"/>
      <c r="QMD31" s="15"/>
      <c r="QME31" s="15"/>
      <c r="QMF31" s="15"/>
      <c r="QMG31" s="15"/>
      <c r="QMH31" s="15"/>
      <c r="QMI31" s="15"/>
      <c r="QMJ31" s="15"/>
      <c r="QMK31" s="15"/>
      <c r="QML31" s="15"/>
      <c r="QMM31" s="15"/>
      <c r="QMN31" s="15"/>
      <c r="QMO31" s="15"/>
      <c r="QMP31" s="15"/>
      <c r="QMQ31" s="15"/>
      <c r="QMR31" s="15"/>
      <c r="QMS31" s="15"/>
      <c r="QMT31" s="15"/>
      <c r="QMU31" s="15"/>
      <c r="QMV31" s="15"/>
      <c r="QMW31" s="15"/>
      <c r="QMX31" s="15"/>
      <c r="QMY31" s="15"/>
      <c r="QMZ31" s="15"/>
      <c r="QNA31" s="15"/>
      <c r="QNB31" s="15"/>
      <c r="QNC31" s="15"/>
      <c r="QND31" s="15"/>
      <c r="QNE31" s="15"/>
      <c r="QNF31" s="15"/>
      <c r="QNG31" s="15"/>
      <c r="QNH31" s="15"/>
      <c r="QNI31" s="15"/>
      <c r="QNJ31" s="15"/>
      <c r="QNK31" s="15"/>
      <c r="QNL31" s="15"/>
      <c r="QNM31" s="15"/>
      <c r="QNN31" s="15"/>
      <c r="QNO31" s="15"/>
      <c r="QNP31" s="15"/>
      <c r="QNQ31" s="15"/>
      <c r="QNR31" s="15"/>
      <c r="QNS31" s="15"/>
      <c r="QNT31" s="15"/>
      <c r="QNU31" s="15"/>
      <c r="QNV31" s="15"/>
      <c r="QNW31" s="15"/>
      <c r="QNX31" s="15"/>
      <c r="QNY31" s="15"/>
      <c r="QNZ31" s="15"/>
      <c r="QOA31" s="15"/>
      <c r="QOB31" s="15"/>
      <c r="QOC31" s="15"/>
      <c r="QOD31" s="15"/>
      <c r="QOE31" s="15"/>
      <c r="QOF31" s="15"/>
      <c r="QOG31" s="15"/>
      <c r="QOH31" s="15"/>
      <c r="QOI31" s="15"/>
      <c r="QOJ31" s="15"/>
      <c r="QOK31" s="15"/>
      <c r="QOL31" s="15"/>
      <c r="QOM31" s="15"/>
      <c r="QON31" s="15"/>
      <c r="QOO31" s="15"/>
      <c r="QOP31" s="15"/>
      <c r="QOQ31" s="15"/>
      <c r="QOR31" s="15"/>
      <c r="QOS31" s="15"/>
      <c r="QOT31" s="15"/>
      <c r="QOU31" s="15"/>
      <c r="QOV31" s="15"/>
      <c r="QOW31" s="15"/>
      <c r="QOX31" s="15"/>
      <c r="QOY31" s="15"/>
      <c r="QOZ31" s="15"/>
      <c r="QPA31" s="15"/>
      <c r="QPB31" s="15"/>
      <c r="QPC31" s="15"/>
      <c r="QPD31" s="15"/>
      <c r="QPE31" s="15"/>
      <c r="QPF31" s="15"/>
      <c r="QPG31" s="15"/>
      <c r="QPH31" s="15"/>
      <c r="QPI31" s="15"/>
      <c r="QPJ31" s="15"/>
      <c r="QPK31" s="15"/>
      <c r="QPL31" s="15"/>
      <c r="QPM31" s="15"/>
      <c r="QPN31" s="15"/>
      <c r="QPO31" s="15"/>
      <c r="QPP31" s="15"/>
      <c r="QPQ31" s="15"/>
      <c r="QPR31" s="15"/>
      <c r="QPS31" s="15"/>
      <c r="QPT31" s="15"/>
      <c r="QPU31" s="15"/>
      <c r="QPV31" s="15"/>
      <c r="QPW31" s="15"/>
      <c r="QPX31" s="15"/>
      <c r="QPY31" s="15"/>
      <c r="QPZ31" s="15"/>
      <c r="QQA31" s="15"/>
      <c r="QQB31" s="15"/>
      <c r="QQC31" s="15"/>
      <c r="QQD31" s="15"/>
      <c r="QQE31" s="15"/>
      <c r="QQF31" s="15"/>
      <c r="QQG31" s="15"/>
      <c r="QQH31" s="15"/>
      <c r="QQI31" s="15"/>
      <c r="QQJ31" s="15"/>
      <c r="QQK31" s="15"/>
      <c r="QQL31" s="15"/>
      <c r="QQM31" s="15"/>
      <c r="QQN31" s="15"/>
      <c r="QQO31" s="15"/>
      <c r="QQP31" s="15"/>
      <c r="QQQ31" s="15"/>
      <c r="QQR31" s="15"/>
      <c r="QQS31" s="15"/>
      <c r="QQT31" s="15"/>
      <c r="QQU31" s="15"/>
      <c r="QQV31" s="15"/>
      <c r="QQW31" s="15"/>
      <c r="QQX31" s="15"/>
      <c r="QQY31" s="15"/>
      <c r="QQZ31" s="15"/>
      <c r="QRA31" s="15"/>
      <c r="QRB31" s="15"/>
      <c r="QRC31" s="15"/>
      <c r="QRD31" s="15"/>
      <c r="QRE31" s="15"/>
      <c r="QRF31" s="15"/>
      <c r="QRG31" s="15"/>
      <c r="QRH31" s="15"/>
      <c r="QRI31" s="15"/>
      <c r="QRJ31" s="15"/>
      <c r="QRK31" s="15"/>
      <c r="QRL31" s="15"/>
      <c r="QRM31" s="15"/>
      <c r="QRN31" s="15"/>
      <c r="QRO31" s="15"/>
      <c r="QRP31" s="15"/>
      <c r="QRQ31" s="15"/>
      <c r="QRR31" s="15"/>
      <c r="QRS31" s="15"/>
      <c r="QRT31" s="15"/>
      <c r="QRU31" s="15"/>
      <c r="QRV31" s="15"/>
      <c r="QRW31" s="15"/>
      <c r="QRX31" s="15"/>
      <c r="QRY31" s="15"/>
      <c r="QRZ31" s="15"/>
      <c r="QSA31" s="15"/>
      <c r="QSB31" s="15"/>
      <c r="QSC31" s="15"/>
      <c r="QSD31" s="15"/>
      <c r="QSE31" s="15"/>
      <c r="QSF31" s="15"/>
      <c r="QSG31" s="15"/>
      <c r="QSH31" s="15"/>
      <c r="QSI31" s="15"/>
      <c r="QSJ31" s="15"/>
      <c r="QSK31" s="15"/>
      <c r="QSL31" s="15"/>
      <c r="QSM31" s="15"/>
      <c r="QSN31" s="15"/>
      <c r="QSO31" s="15"/>
      <c r="QSP31" s="15"/>
      <c r="QSQ31" s="15"/>
      <c r="QSR31" s="15"/>
      <c r="QSS31" s="15"/>
      <c r="QST31" s="15"/>
      <c r="QSU31" s="15"/>
      <c r="QSV31" s="15"/>
      <c r="QSW31" s="15"/>
      <c r="QSX31" s="15"/>
      <c r="QSY31" s="15"/>
      <c r="QSZ31" s="15"/>
      <c r="QTA31" s="15"/>
      <c r="QTB31" s="15"/>
      <c r="QTC31" s="15"/>
      <c r="QTD31" s="15"/>
      <c r="QTE31" s="15"/>
      <c r="QTF31" s="15"/>
      <c r="QTG31" s="15"/>
      <c r="QTH31" s="15"/>
      <c r="QTI31" s="15"/>
      <c r="QTJ31" s="15"/>
      <c r="QTK31" s="15"/>
      <c r="QTL31" s="15"/>
      <c r="QTM31" s="15"/>
      <c r="QTN31" s="15"/>
      <c r="QTO31" s="15"/>
      <c r="QTP31" s="15"/>
      <c r="QTQ31" s="15"/>
      <c r="QTR31" s="15"/>
      <c r="QTS31" s="15"/>
      <c r="QTT31" s="15"/>
      <c r="QTU31" s="15"/>
      <c r="QTV31" s="15"/>
      <c r="QTW31" s="15"/>
      <c r="QTX31" s="15"/>
      <c r="QTY31" s="15"/>
      <c r="QTZ31" s="15"/>
      <c r="QUA31" s="15"/>
      <c r="QUB31" s="15"/>
      <c r="QUC31" s="15"/>
      <c r="QUD31" s="15"/>
      <c r="QUE31" s="15"/>
      <c r="QUF31" s="15"/>
      <c r="QUG31" s="15"/>
      <c r="QUH31" s="15"/>
      <c r="QUI31" s="15"/>
      <c r="QUJ31" s="15"/>
      <c r="QUK31" s="15"/>
      <c r="QUL31" s="15"/>
      <c r="QUM31" s="15"/>
      <c r="QUN31" s="15"/>
      <c r="QUO31" s="15"/>
      <c r="QUP31" s="15"/>
      <c r="QUQ31" s="15"/>
      <c r="QUR31" s="15"/>
      <c r="QUS31" s="15"/>
      <c r="QUT31" s="15"/>
      <c r="QUU31" s="15"/>
      <c r="QUV31" s="15"/>
      <c r="QUW31" s="15"/>
      <c r="QUX31" s="15"/>
      <c r="QUY31" s="15"/>
      <c r="QUZ31" s="15"/>
      <c r="QVA31" s="15"/>
      <c r="QVB31" s="15"/>
      <c r="QVC31" s="15"/>
      <c r="QVD31" s="15"/>
      <c r="QVE31" s="15"/>
      <c r="QVF31" s="15"/>
      <c r="QVG31" s="15"/>
      <c r="QVH31" s="15"/>
      <c r="QVI31" s="15"/>
      <c r="QVJ31" s="15"/>
      <c r="QVK31" s="15"/>
      <c r="QVL31" s="15"/>
      <c r="QVM31" s="15"/>
      <c r="QVN31" s="15"/>
      <c r="QVO31" s="15"/>
      <c r="QVP31" s="15"/>
      <c r="QVQ31" s="15"/>
      <c r="QVR31" s="15"/>
      <c r="QVS31" s="15"/>
      <c r="QVT31" s="15"/>
      <c r="QVU31" s="15"/>
      <c r="QVV31" s="15"/>
      <c r="QVW31" s="15"/>
      <c r="QVX31" s="15"/>
      <c r="QVY31" s="15"/>
      <c r="QVZ31" s="15"/>
      <c r="QWA31" s="15"/>
      <c r="QWB31" s="15"/>
      <c r="QWC31" s="15"/>
      <c r="QWD31" s="15"/>
      <c r="QWE31" s="15"/>
      <c r="QWF31" s="15"/>
      <c r="QWG31" s="15"/>
      <c r="QWH31" s="15"/>
      <c r="QWI31" s="15"/>
      <c r="QWJ31" s="15"/>
      <c r="QWK31" s="15"/>
      <c r="QWL31" s="15"/>
      <c r="QWM31" s="15"/>
      <c r="QWN31" s="15"/>
      <c r="QWO31" s="15"/>
      <c r="QWP31" s="15"/>
      <c r="QWQ31" s="15"/>
      <c r="QWR31" s="15"/>
      <c r="QWS31" s="15"/>
      <c r="QWT31" s="15"/>
      <c r="QWU31" s="15"/>
      <c r="QWV31" s="15"/>
      <c r="QWW31" s="15"/>
      <c r="QWX31" s="15"/>
      <c r="QWY31" s="15"/>
      <c r="QWZ31" s="15"/>
      <c r="QXA31" s="15"/>
      <c r="QXB31" s="15"/>
      <c r="QXC31" s="15"/>
      <c r="QXD31" s="15"/>
      <c r="QXE31" s="15"/>
      <c r="QXF31" s="15"/>
      <c r="QXG31" s="15"/>
      <c r="QXH31" s="15"/>
      <c r="QXI31" s="15"/>
      <c r="QXJ31" s="15"/>
      <c r="QXK31" s="15"/>
      <c r="QXL31" s="15"/>
      <c r="QXM31" s="15"/>
      <c r="QXN31" s="15"/>
      <c r="QXO31" s="15"/>
      <c r="QXP31" s="15"/>
      <c r="QXQ31" s="15"/>
      <c r="QXR31" s="15"/>
      <c r="QXS31" s="15"/>
      <c r="QXT31" s="15"/>
      <c r="QXU31" s="15"/>
      <c r="QXV31" s="15"/>
      <c r="QXW31" s="15"/>
      <c r="QXX31" s="15"/>
      <c r="QXY31" s="15"/>
      <c r="QXZ31" s="15"/>
      <c r="QYA31" s="15"/>
      <c r="QYB31" s="15"/>
      <c r="QYC31" s="15"/>
      <c r="QYD31" s="15"/>
      <c r="QYE31" s="15"/>
      <c r="QYF31" s="15"/>
      <c r="QYG31" s="15"/>
      <c r="QYH31" s="15"/>
      <c r="QYI31" s="15"/>
      <c r="QYJ31" s="15"/>
      <c r="QYK31" s="15"/>
      <c r="QYL31" s="15"/>
      <c r="QYM31" s="15"/>
      <c r="QYN31" s="15"/>
      <c r="QYO31" s="15"/>
      <c r="QYP31" s="15"/>
      <c r="QYQ31" s="15"/>
      <c r="QYR31" s="15"/>
      <c r="QYS31" s="15"/>
      <c r="QYT31" s="15"/>
      <c r="QYU31" s="15"/>
      <c r="QYV31" s="15"/>
      <c r="QYW31" s="15"/>
      <c r="QYX31" s="15"/>
      <c r="QYY31" s="15"/>
      <c r="QYZ31" s="15"/>
      <c r="QZA31" s="15"/>
      <c r="QZB31" s="15"/>
      <c r="QZC31" s="15"/>
      <c r="QZD31" s="15"/>
      <c r="QZE31" s="15"/>
      <c r="QZF31" s="15"/>
      <c r="QZG31" s="15"/>
      <c r="QZH31" s="15"/>
      <c r="QZI31" s="15"/>
      <c r="QZJ31" s="15"/>
      <c r="QZK31" s="15"/>
      <c r="QZL31" s="15"/>
      <c r="QZM31" s="15"/>
      <c r="QZN31" s="15"/>
      <c r="QZO31" s="15"/>
      <c r="QZP31" s="15"/>
      <c r="QZQ31" s="15"/>
      <c r="QZR31" s="15"/>
      <c r="QZS31" s="15"/>
      <c r="QZT31" s="15"/>
      <c r="QZU31" s="15"/>
      <c r="QZV31" s="15"/>
      <c r="QZW31" s="15"/>
      <c r="QZX31" s="15"/>
      <c r="QZY31" s="15"/>
      <c r="QZZ31" s="15"/>
      <c r="RAA31" s="15"/>
      <c r="RAB31" s="15"/>
      <c r="RAC31" s="15"/>
      <c r="RAD31" s="15"/>
      <c r="RAE31" s="15"/>
      <c r="RAF31" s="15"/>
      <c r="RAG31" s="15"/>
      <c r="RAH31" s="15"/>
      <c r="RAI31" s="15"/>
      <c r="RAJ31" s="15"/>
      <c r="RAK31" s="15"/>
      <c r="RAL31" s="15"/>
      <c r="RAM31" s="15"/>
      <c r="RAN31" s="15"/>
      <c r="RAO31" s="15"/>
      <c r="RAP31" s="15"/>
      <c r="RAQ31" s="15"/>
      <c r="RAR31" s="15"/>
      <c r="RAS31" s="15"/>
      <c r="RAT31" s="15"/>
      <c r="RAU31" s="15"/>
      <c r="RAV31" s="15"/>
      <c r="RAW31" s="15"/>
      <c r="RAX31" s="15"/>
      <c r="RAY31" s="15"/>
      <c r="RAZ31" s="15"/>
      <c r="RBA31" s="15"/>
      <c r="RBB31" s="15"/>
      <c r="RBC31" s="15"/>
      <c r="RBD31" s="15"/>
      <c r="RBE31" s="15"/>
      <c r="RBF31" s="15"/>
      <c r="RBG31" s="15"/>
      <c r="RBH31" s="15"/>
      <c r="RBI31" s="15"/>
      <c r="RBJ31" s="15"/>
      <c r="RBK31" s="15"/>
      <c r="RBL31" s="15"/>
      <c r="RBM31" s="15"/>
      <c r="RBN31" s="15"/>
      <c r="RBO31" s="15"/>
      <c r="RBP31" s="15"/>
      <c r="RBQ31" s="15"/>
      <c r="RBR31" s="15"/>
      <c r="RBS31" s="15"/>
      <c r="RBT31" s="15"/>
      <c r="RBU31" s="15"/>
      <c r="RBV31" s="15"/>
      <c r="RBW31" s="15"/>
      <c r="RBX31" s="15"/>
      <c r="RBY31" s="15"/>
      <c r="RBZ31" s="15"/>
      <c r="RCA31" s="15"/>
      <c r="RCB31" s="15"/>
      <c r="RCC31" s="15"/>
      <c r="RCD31" s="15"/>
      <c r="RCE31" s="15"/>
      <c r="RCF31" s="15"/>
      <c r="RCG31" s="15"/>
      <c r="RCH31" s="15"/>
      <c r="RCI31" s="15"/>
      <c r="RCJ31" s="15"/>
      <c r="RCK31" s="15"/>
      <c r="RCL31" s="15"/>
      <c r="RCM31" s="15"/>
      <c r="RCN31" s="15"/>
      <c r="RCO31" s="15"/>
      <c r="RCP31" s="15"/>
      <c r="RCQ31" s="15"/>
      <c r="RCR31" s="15"/>
      <c r="RCS31" s="15"/>
      <c r="RCT31" s="15"/>
      <c r="RCU31" s="15"/>
      <c r="RCV31" s="15"/>
      <c r="RCW31" s="15"/>
      <c r="RCX31" s="15"/>
      <c r="RCY31" s="15"/>
      <c r="RCZ31" s="15"/>
      <c r="RDA31" s="15"/>
      <c r="RDB31" s="15"/>
      <c r="RDC31" s="15"/>
      <c r="RDD31" s="15"/>
      <c r="RDE31" s="15"/>
      <c r="RDF31" s="15"/>
      <c r="RDG31" s="15"/>
      <c r="RDH31" s="15"/>
      <c r="RDI31" s="15"/>
      <c r="RDJ31" s="15"/>
      <c r="RDK31" s="15"/>
      <c r="RDL31" s="15"/>
      <c r="RDM31" s="15"/>
      <c r="RDN31" s="15"/>
      <c r="RDO31" s="15"/>
      <c r="RDP31" s="15"/>
      <c r="RDQ31" s="15"/>
      <c r="RDR31" s="15"/>
      <c r="RDS31" s="15"/>
      <c r="RDT31" s="15"/>
      <c r="RDU31" s="15"/>
      <c r="RDV31" s="15"/>
      <c r="RDW31" s="15"/>
      <c r="RDX31" s="15"/>
      <c r="RDY31" s="15"/>
      <c r="RDZ31" s="15"/>
      <c r="REA31" s="15"/>
      <c r="REB31" s="15"/>
      <c r="REC31" s="15"/>
      <c r="RED31" s="15"/>
      <c r="REE31" s="15"/>
      <c r="REF31" s="15"/>
      <c r="REG31" s="15"/>
      <c r="REH31" s="15"/>
      <c r="REI31" s="15"/>
      <c r="REJ31" s="15"/>
      <c r="REK31" s="15"/>
      <c r="REL31" s="15"/>
      <c r="REM31" s="15"/>
      <c r="REN31" s="15"/>
      <c r="REO31" s="15"/>
      <c r="REP31" s="15"/>
      <c r="REQ31" s="15"/>
      <c r="RER31" s="15"/>
      <c r="RES31" s="15"/>
      <c r="RET31" s="15"/>
      <c r="REU31" s="15"/>
      <c r="REV31" s="15"/>
      <c r="REW31" s="15"/>
      <c r="REX31" s="15"/>
      <c r="REY31" s="15"/>
      <c r="REZ31" s="15"/>
      <c r="RFA31" s="15"/>
      <c r="RFB31" s="15"/>
      <c r="RFC31" s="15"/>
      <c r="RFD31" s="15"/>
      <c r="RFE31" s="15"/>
      <c r="RFF31" s="15"/>
      <c r="RFG31" s="15"/>
      <c r="RFH31" s="15"/>
      <c r="RFI31" s="15"/>
      <c r="RFJ31" s="15"/>
      <c r="RFK31" s="15"/>
      <c r="RFL31" s="15"/>
      <c r="RFM31" s="15"/>
      <c r="RFN31" s="15"/>
      <c r="RFO31" s="15"/>
      <c r="RFP31" s="15"/>
      <c r="RFQ31" s="15"/>
      <c r="RFR31" s="15"/>
      <c r="RFS31" s="15"/>
      <c r="RFT31" s="15"/>
      <c r="RFU31" s="15"/>
      <c r="RFV31" s="15"/>
      <c r="RFW31" s="15"/>
      <c r="RFX31" s="15"/>
      <c r="RFY31" s="15"/>
      <c r="RFZ31" s="15"/>
      <c r="RGA31" s="15"/>
      <c r="RGB31" s="15"/>
      <c r="RGC31" s="15"/>
      <c r="RGD31" s="15"/>
      <c r="RGE31" s="15"/>
      <c r="RGF31" s="15"/>
      <c r="RGG31" s="15"/>
      <c r="RGH31" s="15"/>
      <c r="RGI31" s="15"/>
      <c r="RGJ31" s="15"/>
      <c r="RGK31" s="15"/>
      <c r="RGL31" s="15"/>
      <c r="RGM31" s="15"/>
      <c r="RGN31" s="15"/>
      <c r="RGO31" s="15"/>
      <c r="RGP31" s="15"/>
      <c r="RGQ31" s="15"/>
      <c r="RGR31" s="15"/>
      <c r="RGS31" s="15"/>
      <c r="RGT31" s="15"/>
      <c r="RGU31" s="15"/>
      <c r="RGV31" s="15"/>
      <c r="RGW31" s="15"/>
      <c r="RGX31" s="15"/>
      <c r="RGY31" s="15"/>
      <c r="RGZ31" s="15"/>
      <c r="RHA31" s="15"/>
      <c r="RHB31" s="15"/>
      <c r="RHC31" s="15"/>
      <c r="RHD31" s="15"/>
      <c r="RHE31" s="15"/>
      <c r="RHF31" s="15"/>
      <c r="RHG31" s="15"/>
      <c r="RHH31" s="15"/>
      <c r="RHI31" s="15"/>
      <c r="RHJ31" s="15"/>
      <c r="RHK31" s="15"/>
      <c r="RHL31" s="15"/>
      <c r="RHM31" s="15"/>
      <c r="RHN31" s="15"/>
      <c r="RHO31" s="15"/>
      <c r="RHP31" s="15"/>
      <c r="RHQ31" s="15"/>
      <c r="RHR31" s="15"/>
      <c r="RHS31" s="15"/>
      <c r="RHT31" s="15"/>
      <c r="RHU31" s="15"/>
      <c r="RHV31" s="15"/>
      <c r="RHW31" s="15"/>
      <c r="RHX31" s="15"/>
      <c r="RHY31" s="15"/>
      <c r="RHZ31" s="15"/>
      <c r="RIA31" s="15"/>
      <c r="RIB31" s="15"/>
      <c r="RIC31" s="15"/>
      <c r="RID31" s="15"/>
      <c r="RIE31" s="15"/>
      <c r="RIF31" s="15"/>
      <c r="RIG31" s="15"/>
      <c r="RIH31" s="15"/>
      <c r="RII31" s="15"/>
      <c r="RIJ31" s="15"/>
      <c r="RIK31" s="15"/>
      <c r="RIL31" s="15"/>
      <c r="RIM31" s="15"/>
      <c r="RIN31" s="15"/>
      <c r="RIO31" s="15"/>
      <c r="RIP31" s="15"/>
      <c r="RIQ31" s="15"/>
      <c r="RIR31" s="15"/>
      <c r="RIS31" s="15"/>
      <c r="RIT31" s="15"/>
      <c r="RIU31" s="15"/>
      <c r="RIV31" s="15"/>
      <c r="RIW31" s="15"/>
      <c r="RIX31" s="15"/>
      <c r="RIY31" s="15"/>
      <c r="RIZ31" s="15"/>
      <c r="RJA31" s="15"/>
      <c r="RJB31" s="15"/>
      <c r="RJC31" s="15"/>
      <c r="RJD31" s="15"/>
      <c r="RJE31" s="15"/>
      <c r="RJF31" s="15"/>
      <c r="RJG31" s="15"/>
      <c r="RJH31" s="15"/>
      <c r="RJI31" s="15"/>
      <c r="RJJ31" s="15"/>
      <c r="RJK31" s="15"/>
      <c r="RJL31" s="15"/>
      <c r="RJM31" s="15"/>
      <c r="RJN31" s="15"/>
      <c r="RJO31" s="15"/>
      <c r="RJP31" s="15"/>
      <c r="RJQ31" s="15"/>
      <c r="RJR31" s="15"/>
      <c r="RJS31" s="15"/>
      <c r="RJT31" s="15"/>
      <c r="RJU31" s="15"/>
      <c r="RJV31" s="15"/>
      <c r="RJW31" s="15"/>
      <c r="RJX31" s="15"/>
      <c r="RJY31" s="15"/>
      <c r="RJZ31" s="15"/>
      <c r="RKA31" s="15"/>
      <c r="RKB31" s="15"/>
      <c r="RKC31" s="15"/>
      <c r="RKD31" s="15"/>
      <c r="RKE31" s="15"/>
      <c r="RKF31" s="15"/>
      <c r="RKG31" s="15"/>
      <c r="RKH31" s="15"/>
      <c r="RKI31" s="15"/>
      <c r="RKJ31" s="15"/>
      <c r="RKK31" s="15"/>
      <c r="RKL31" s="15"/>
      <c r="RKM31" s="15"/>
      <c r="RKN31" s="15"/>
      <c r="RKO31" s="15"/>
      <c r="RKP31" s="15"/>
      <c r="RKQ31" s="15"/>
      <c r="RKR31" s="15"/>
      <c r="RKS31" s="15"/>
      <c r="RKT31" s="15"/>
      <c r="RKU31" s="15"/>
      <c r="RKV31" s="15"/>
      <c r="RKW31" s="15"/>
      <c r="RKX31" s="15"/>
      <c r="RKY31" s="15"/>
      <c r="RKZ31" s="15"/>
      <c r="RLA31" s="15"/>
      <c r="RLB31" s="15"/>
      <c r="RLC31" s="15"/>
      <c r="RLD31" s="15"/>
      <c r="RLE31" s="15"/>
      <c r="RLF31" s="15"/>
      <c r="RLG31" s="15"/>
      <c r="RLH31" s="15"/>
      <c r="RLI31" s="15"/>
      <c r="RLJ31" s="15"/>
      <c r="RLK31" s="15"/>
      <c r="RLL31" s="15"/>
      <c r="RLM31" s="15"/>
      <c r="RLN31" s="15"/>
      <c r="RLO31" s="15"/>
      <c r="RLP31" s="15"/>
      <c r="RLQ31" s="15"/>
      <c r="RLR31" s="15"/>
      <c r="RLS31" s="15"/>
      <c r="RLT31" s="15"/>
      <c r="RLU31" s="15"/>
      <c r="RLV31" s="15"/>
      <c r="RLW31" s="15"/>
      <c r="RLX31" s="15"/>
      <c r="RLY31" s="15"/>
      <c r="RLZ31" s="15"/>
      <c r="RMA31" s="15"/>
      <c r="RMB31" s="15"/>
      <c r="RMC31" s="15"/>
      <c r="RMD31" s="15"/>
      <c r="RME31" s="15"/>
      <c r="RMF31" s="15"/>
      <c r="RMG31" s="15"/>
      <c r="RMH31" s="15"/>
      <c r="RMI31" s="15"/>
      <c r="RMJ31" s="15"/>
      <c r="RMK31" s="15"/>
      <c r="RML31" s="15"/>
      <c r="RMM31" s="15"/>
      <c r="RMN31" s="15"/>
      <c r="RMO31" s="15"/>
      <c r="RMP31" s="15"/>
      <c r="RMQ31" s="15"/>
      <c r="RMR31" s="15"/>
      <c r="RMS31" s="15"/>
      <c r="RMT31" s="15"/>
      <c r="RMU31" s="15"/>
      <c r="RMV31" s="15"/>
      <c r="RMW31" s="15"/>
      <c r="RMX31" s="15"/>
      <c r="RMY31" s="15"/>
      <c r="RMZ31" s="15"/>
      <c r="RNA31" s="15"/>
      <c r="RNB31" s="15"/>
      <c r="RNC31" s="15"/>
      <c r="RND31" s="15"/>
      <c r="RNE31" s="15"/>
      <c r="RNF31" s="15"/>
      <c r="RNG31" s="15"/>
      <c r="RNH31" s="15"/>
      <c r="RNI31" s="15"/>
      <c r="RNJ31" s="15"/>
      <c r="RNK31" s="15"/>
      <c r="RNL31" s="15"/>
      <c r="RNM31" s="15"/>
      <c r="RNN31" s="15"/>
      <c r="RNO31" s="15"/>
      <c r="RNP31" s="15"/>
      <c r="RNQ31" s="15"/>
      <c r="RNR31" s="15"/>
      <c r="RNS31" s="15"/>
      <c r="RNT31" s="15"/>
      <c r="RNU31" s="15"/>
      <c r="RNV31" s="15"/>
      <c r="RNW31" s="15"/>
      <c r="RNX31" s="15"/>
      <c r="RNY31" s="15"/>
      <c r="RNZ31" s="15"/>
      <c r="ROA31" s="15"/>
      <c r="ROB31" s="15"/>
      <c r="ROC31" s="15"/>
      <c r="ROD31" s="15"/>
      <c r="ROE31" s="15"/>
      <c r="ROF31" s="15"/>
      <c r="ROG31" s="15"/>
      <c r="ROH31" s="15"/>
      <c r="ROI31" s="15"/>
      <c r="ROJ31" s="15"/>
      <c r="ROK31" s="15"/>
      <c r="ROL31" s="15"/>
      <c r="ROM31" s="15"/>
      <c r="RON31" s="15"/>
      <c r="ROO31" s="15"/>
      <c r="ROP31" s="15"/>
      <c r="ROQ31" s="15"/>
      <c r="ROR31" s="15"/>
      <c r="ROS31" s="15"/>
      <c r="ROT31" s="15"/>
      <c r="ROU31" s="15"/>
      <c r="ROV31" s="15"/>
      <c r="ROW31" s="15"/>
      <c r="ROX31" s="15"/>
      <c r="ROY31" s="15"/>
      <c r="ROZ31" s="15"/>
      <c r="RPA31" s="15"/>
      <c r="RPB31" s="15"/>
      <c r="RPC31" s="15"/>
      <c r="RPD31" s="15"/>
      <c r="RPE31" s="15"/>
      <c r="RPF31" s="15"/>
      <c r="RPG31" s="15"/>
      <c r="RPH31" s="15"/>
      <c r="RPI31" s="15"/>
      <c r="RPJ31" s="15"/>
      <c r="RPK31" s="15"/>
      <c r="RPL31" s="15"/>
      <c r="RPM31" s="15"/>
      <c r="RPN31" s="15"/>
      <c r="RPO31" s="15"/>
      <c r="RPP31" s="15"/>
      <c r="RPQ31" s="15"/>
      <c r="RPR31" s="15"/>
      <c r="RPS31" s="15"/>
      <c r="RPT31" s="15"/>
      <c r="RPU31" s="15"/>
      <c r="RPV31" s="15"/>
      <c r="RPW31" s="15"/>
      <c r="RPX31" s="15"/>
      <c r="RPY31" s="15"/>
      <c r="RPZ31" s="15"/>
      <c r="RQA31" s="15"/>
      <c r="RQB31" s="15"/>
      <c r="RQC31" s="15"/>
      <c r="RQD31" s="15"/>
      <c r="RQE31" s="15"/>
      <c r="RQF31" s="15"/>
      <c r="RQG31" s="15"/>
      <c r="RQH31" s="15"/>
      <c r="RQI31" s="15"/>
      <c r="RQJ31" s="15"/>
      <c r="RQK31" s="15"/>
      <c r="RQL31" s="15"/>
      <c r="RQM31" s="15"/>
      <c r="RQN31" s="15"/>
      <c r="RQO31" s="15"/>
      <c r="RQP31" s="15"/>
      <c r="RQQ31" s="15"/>
      <c r="RQR31" s="15"/>
      <c r="RQS31" s="15"/>
      <c r="RQT31" s="15"/>
      <c r="RQU31" s="15"/>
      <c r="RQV31" s="15"/>
      <c r="RQW31" s="15"/>
      <c r="RQX31" s="15"/>
      <c r="RQY31" s="15"/>
      <c r="RQZ31" s="15"/>
      <c r="RRA31" s="15"/>
      <c r="RRB31" s="15"/>
      <c r="RRC31" s="15"/>
      <c r="RRD31" s="15"/>
      <c r="RRE31" s="15"/>
      <c r="RRF31" s="15"/>
      <c r="RRG31" s="15"/>
      <c r="RRH31" s="15"/>
      <c r="RRI31" s="15"/>
      <c r="RRJ31" s="15"/>
      <c r="RRK31" s="15"/>
      <c r="RRL31" s="15"/>
      <c r="RRM31" s="15"/>
      <c r="RRN31" s="15"/>
      <c r="RRO31" s="15"/>
      <c r="RRP31" s="15"/>
      <c r="RRQ31" s="15"/>
      <c r="RRR31" s="15"/>
      <c r="RRS31" s="15"/>
      <c r="RRT31" s="15"/>
      <c r="RRU31" s="15"/>
      <c r="RRV31" s="15"/>
      <c r="RRW31" s="15"/>
      <c r="RRX31" s="15"/>
      <c r="RRY31" s="15"/>
      <c r="RRZ31" s="15"/>
      <c r="RSA31" s="15"/>
      <c r="RSB31" s="15"/>
      <c r="RSC31" s="15"/>
      <c r="RSD31" s="15"/>
      <c r="RSE31" s="15"/>
      <c r="RSF31" s="15"/>
      <c r="RSG31" s="15"/>
      <c r="RSH31" s="15"/>
      <c r="RSI31" s="15"/>
      <c r="RSJ31" s="15"/>
      <c r="RSK31" s="15"/>
      <c r="RSL31" s="15"/>
      <c r="RSM31" s="15"/>
      <c r="RSN31" s="15"/>
      <c r="RSO31" s="15"/>
      <c r="RSP31" s="15"/>
      <c r="RSQ31" s="15"/>
      <c r="RSR31" s="15"/>
      <c r="RSS31" s="15"/>
      <c r="RST31" s="15"/>
      <c r="RSU31" s="15"/>
      <c r="RSV31" s="15"/>
      <c r="RSW31" s="15"/>
      <c r="RSX31" s="15"/>
      <c r="RSY31" s="15"/>
      <c r="RSZ31" s="15"/>
      <c r="RTA31" s="15"/>
      <c r="RTB31" s="15"/>
      <c r="RTC31" s="15"/>
      <c r="RTD31" s="15"/>
      <c r="RTE31" s="15"/>
      <c r="RTF31" s="15"/>
      <c r="RTG31" s="15"/>
      <c r="RTH31" s="15"/>
      <c r="RTI31" s="15"/>
      <c r="RTJ31" s="15"/>
      <c r="RTK31" s="15"/>
      <c r="RTL31" s="15"/>
      <c r="RTM31" s="15"/>
      <c r="RTN31" s="15"/>
      <c r="RTO31" s="15"/>
      <c r="RTP31" s="15"/>
      <c r="RTQ31" s="15"/>
      <c 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r="RUB31" s="15"/>
      <c r="RUC31" s="15"/>
      <c r="RUD31" s="15"/>
      <c r="RUE31" s="15"/>
      <c r="RUF31" s="15"/>
      <c r="RUG31" s="15"/>
      <c r="RUH31" s="15"/>
      <c r="RUI31" s="15"/>
      <c r="RUJ31" s="15"/>
      <c r="RUK31" s="15"/>
      <c r="RUL31" s="15"/>
      <c r="RUM31" s="15"/>
      <c r="RUN31" s="15"/>
      <c r="RUO31" s="15"/>
      <c r="RUP31" s="15"/>
      <c r="RUQ31" s="15"/>
      <c r="RUR31" s="15"/>
      <c r="RUS31" s="15"/>
      <c r="RUT31" s="15"/>
      <c r="RUU31" s="15"/>
      <c r="RUV31" s="15"/>
      <c r="RUW31" s="15"/>
      <c r="RUX31" s="15"/>
      <c r="RUY31" s="15"/>
      <c r="RUZ31" s="15"/>
      <c r="RVA31" s="15"/>
      <c r="RVB31" s="15"/>
      <c r="RVC31" s="15"/>
      <c r="RVD31" s="15"/>
      <c r="RVE31" s="15"/>
      <c r="RVF31" s="15"/>
      <c r="RVG31" s="15"/>
      <c r="RVH31" s="15"/>
      <c r="RVI31" s="15"/>
      <c r="RVJ31" s="15"/>
      <c r="RVK31" s="15"/>
      <c r="RVL31" s="15"/>
      <c r="RVM31" s="15"/>
      <c r="RVN31" s="15"/>
      <c r="RVO31" s="15"/>
      <c r="RVP31" s="15"/>
      <c r="RVQ31" s="15"/>
      <c r="RVR31" s="15"/>
      <c r="RVS31" s="15"/>
      <c r="RVT31" s="15"/>
      <c r="RVU31" s="15"/>
      <c r="RVV31" s="15"/>
      <c r="RVW31" s="15"/>
      <c r="RVX31" s="15"/>
      <c r="RVY31" s="15"/>
      <c r="RVZ31" s="15"/>
      <c r="RWA31" s="15"/>
      <c r="RWB31" s="15"/>
      <c r="RWC31" s="15"/>
      <c r="RWD31" s="15"/>
      <c r="RWE31" s="15"/>
      <c r="RWF31" s="15"/>
      <c r="RWG31" s="15"/>
      <c r="RWH31" s="15"/>
      <c r="RWI31" s="15"/>
      <c r="RWJ31" s="15"/>
      <c r="RWK31" s="15"/>
      <c r="RWL31" s="15"/>
      <c r="RWM31" s="15"/>
      <c r="RWN31" s="15"/>
      <c r="RWO31" s="15"/>
      <c r="RWP31" s="15"/>
      <c r="RWQ31" s="15"/>
      <c r="RWR31" s="15"/>
      <c r="RWS31" s="15"/>
      <c r="RWT31" s="15"/>
      <c r="RWU31" s="15"/>
      <c r="RWV31" s="15"/>
      <c r="RWW31" s="15"/>
      <c r="RWX31" s="15"/>
      <c r="RWY31" s="15"/>
      <c r="RWZ31" s="15"/>
      <c r="RXA31" s="15"/>
      <c r="RXB31" s="15"/>
      <c r="RXC31" s="15"/>
      <c r="RXD31" s="15"/>
      <c r="RXE31" s="15"/>
      <c r="RXF31" s="15"/>
      <c r="RXG31" s="15"/>
      <c r="RXH31" s="15"/>
      <c r="RXI31" s="15"/>
      <c r="RXJ31" s="15"/>
      <c r="RXK31" s="15"/>
      <c r="RXL31" s="15"/>
      <c r="RXM31" s="15"/>
      <c r="RXN31" s="15"/>
      <c r="RXO31" s="15"/>
      <c r="RXP31" s="15"/>
      <c r="RXQ31" s="15"/>
      <c r="RXR31" s="15"/>
      <c r="RXS31" s="15"/>
      <c r="RXT31" s="15"/>
      <c r="RXU31" s="15"/>
      <c r="RXV31" s="15"/>
      <c r="RXW31" s="15"/>
      <c r="RXX31" s="15"/>
      <c r="RXY31" s="15"/>
      <c r="RXZ31" s="15"/>
      <c r="RYA31" s="15"/>
      <c r="RYB31" s="15"/>
      <c r="RYC31" s="15"/>
      <c r="RYD31" s="15"/>
      <c r="RYE31" s="15"/>
      <c r="RYF31" s="15"/>
      <c r="RYG31" s="15"/>
      <c r="RYH31" s="15"/>
      <c r="RYI31" s="15"/>
      <c r="RYJ31" s="15"/>
      <c r="RYK31" s="15"/>
      <c r="RYL31" s="15"/>
      <c r="RYM31" s="15"/>
      <c r="RYN31" s="15"/>
      <c r="RYO31" s="15"/>
      <c r="RYP31" s="15"/>
      <c r="RYQ31" s="15"/>
      <c r="RYR31" s="15"/>
      <c r="RYS31" s="15"/>
      <c r="RYT31" s="15"/>
      <c r="RYU31" s="15"/>
      <c r="RYV31" s="15"/>
      <c r="RYW31" s="15"/>
      <c r="RYX31" s="15"/>
      <c r="RYY31" s="15"/>
      <c r="RYZ31" s="15"/>
      <c r="RZA31" s="15"/>
      <c r="RZB31" s="15"/>
      <c r="RZC31" s="15"/>
      <c r="RZD31" s="15"/>
      <c r="RZE31" s="15"/>
      <c r="RZF31" s="15"/>
      <c r="RZG31" s="15"/>
      <c r="RZH31" s="15"/>
      <c r="RZI31" s="15"/>
      <c r="RZJ31" s="15"/>
      <c r="RZK31" s="15"/>
      <c r="RZL31" s="15"/>
      <c r="RZM31" s="15"/>
      <c r="RZN31" s="15"/>
      <c r="RZO31" s="15"/>
      <c r="RZP31" s="15"/>
      <c r="RZQ31" s="15"/>
      <c r="RZR31" s="15"/>
      <c r="RZS31" s="15"/>
      <c r="RZT31" s="15"/>
      <c r="RZU31" s="15"/>
      <c r="RZV31" s="15"/>
      <c r="RZW31" s="15"/>
      <c r="RZX31" s="15"/>
      <c r="RZY31" s="15"/>
      <c r="RZZ31" s="15"/>
      <c r="SAA31" s="15"/>
      <c r="SAB31" s="15"/>
      <c r="SAC31" s="15"/>
      <c r="SAD31" s="15"/>
      <c r="SAE31" s="15"/>
      <c r="SAF31" s="15"/>
      <c r="SAG31" s="15"/>
      <c r="SAH31" s="15"/>
      <c r="SAI31" s="15"/>
      <c r="SAJ31" s="15"/>
      <c r="SAK31" s="15"/>
      <c r="SAL31" s="15"/>
      <c r="SAM31" s="15"/>
      <c r="SAN31" s="15"/>
      <c r="SAO31" s="15"/>
      <c r="SAP31" s="15"/>
      <c r="SAQ31" s="15"/>
      <c r="SAR31" s="15"/>
      <c r="SAS31" s="15"/>
      <c r="SAT31" s="15"/>
      <c r="SAU31" s="15"/>
      <c r="SAV31" s="15"/>
      <c r="SAW31" s="15"/>
      <c r="SAX31" s="15"/>
      <c r="SAY31" s="15"/>
      <c r="SAZ31" s="15"/>
      <c r="SBA31" s="15"/>
      <c r="SBB31" s="15"/>
      <c r="SBC31" s="15"/>
      <c r="SBD31" s="15"/>
      <c r="SBE31" s="15"/>
      <c r="SBF31" s="15"/>
      <c r="SBG31" s="15"/>
      <c r="SBH31" s="15"/>
      <c r="SBI31" s="15"/>
      <c r="SBJ31" s="15"/>
      <c r="SBK31" s="15"/>
      <c r="SBL31" s="15"/>
      <c r="SBM31" s="15"/>
      <c r="SBN31" s="15"/>
      <c r="SBO31" s="15"/>
      <c r="SBP31" s="15"/>
      <c r="SBQ31" s="15"/>
      <c r="SBR31" s="15"/>
      <c r="SBS31" s="15"/>
      <c r="SBT31" s="15"/>
      <c r="SBU31" s="15"/>
      <c r="SBV31" s="15"/>
      <c r="SBW31" s="15"/>
      <c r="SBX31" s="15"/>
      <c r="SBY31" s="15"/>
      <c r="SBZ31" s="15"/>
      <c r="SCA31" s="15"/>
      <c r="SCB31" s="15"/>
      <c r="SCC31" s="15"/>
      <c r="SCD31" s="15"/>
      <c r="SCE31" s="15"/>
      <c r="SCF31" s="15"/>
      <c r="SCG31" s="15"/>
      <c r="SCH31" s="15"/>
      <c r="SCI31" s="15"/>
      <c r="SCJ31" s="15"/>
      <c r="SCK31" s="15"/>
      <c r="SCL31" s="15"/>
      <c r="SCM31" s="15"/>
      <c r="SCN31" s="15"/>
      <c r="SCO31" s="15"/>
      <c r="SCP31" s="15"/>
      <c r="SCQ31" s="15"/>
      <c r="SCR31" s="15"/>
      <c r="SCS31" s="15"/>
      <c r="SCT31" s="15"/>
      <c r="SCU31" s="15"/>
      <c r="SCV31" s="15"/>
      <c r="SCW31" s="15"/>
      <c r="SCX31" s="15"/>
      <c r="SCY31" s="15"/>
      <c r="SCZ31" s="15"/>
      <c r="SDA31" s="15"/>
      <c r="SDB31" s="15"/>
      <c r="SDC31" s="15"/>
      <c r="SDD31" s="15"/>
      <c r="SDE31" s="15"/>
      <c r="SDF31" s="15"/>
      <c r="SDG31" s="15"/>
      <c r="SDH31" s="15"/>
      <c r="SDI31" s="15"/>
      <c r="SDJ31" s="15"/>
      <c r="SDK31" s="15"/>
      <c r="SDL31" s="15"/>
      <c r="SDM31" s="15"/>
      <c r="SDN31" s="15"/>
      <c r="SDO31" s="15"/>
      <c r="SDP31" s="15"/>
      <c r="SDQ31" s="15"/>
      <c r="SDR31" s="15"/>
      <c r="SDS31" s="15"/>
      <c r="SDT31" s="15"/>
      <c r="SDU31" s="15"/>
      <c r="SDV31" s="15"/>
      <c r="SDW31" s="15"/>
      <c r="SDX31" s="15"/>
      <c r="SDY31" s="15"/>
      <c r="SDZ31" s="15"/>
      <c r="SEA31" s="15"/>
      <c r="SEB31" s="15"/>
      <c r="SEC31" s="15"/>
      <c r="SED31" s="15"/>
      <c r="SEE31" s="15"/>
      <c r="SEF31" s="15"/>
      <c r="SEG31" s="15"/>
      <c r="SEH31" s="15"/>
      <c r="SEI31" s="15"/>
      <c r="SEJ31" s="15"/>
      <c r="SEK31" s="15"/>
      <c r="SEL31" s="15"/>
      <c r="SEM31" s="15"/>
      <c r="SEN31" s="15"/>
      <c r="SEO31" s="15"/>
      <c r="SEP31" s="15"/>
      <c r="SEQ31" s="15"/>
      <c r="SER31" s="15"/>
      <c r="SES31" s="15"/>
      <c r="SET31" s="15"/>
      <c r="SEU31" s="15"/>
      <c r="SEV31" s="15"/>
      <c r="SEW31" s="15"/>
      <c r="SEX31" s="15"/>
      <c r="SEY31" s="15"/>
      <c r="SEZ31" s="15"/>
      <c r="SFA31" s="15"/>
      <c r="SFB31" s="15"/>
      <c r="SFC31" s="15"/>
      <c r="SFD31" s="15"/>
      <c r="SFE31" s="15"/>
      <c r="SFF31" s="15"/>
      <c r="SFG31" s="15"/>
      <c r="SFH31" s="15"/>
      <c r="SFI31" s="15"/>
      <c r="SFJ31" s="15"/>
      <c r="SFK31" s="15"/>
      <c r="SFL31" s="15"/>
      <c r="SFM31" s="15"/>
      <c r="SFN31" s="15"/>
      <c r="SFO31" s="15"/>
      <c r="SFP31" s="15"/>
      <c r="SFQ31" s="15"/>
      <c r="SFR31" s="15"/>
      <c r="SFS31" s="15"/>
      <c r="SFT31" s="15"/>
      <c r="SFU31" s="15"/>
      <c r="SFV31" s="15"/>
      <c r="SFW31" s="15"/>
      <c r="SFX31" s="15"/>
      <c r="SFY31" s="15"/>
      <c r="SFZ31" s="15"/>
      <c r="SGA31" s="15"/>
      <c r="SGB31" s="15"/>
      <c r="SGC31" s="15"/>
      <c r="SGD31" s="15"/>
      <c r="SGE31" s="15"/>
      <c r="SGF31" s="15"/>
      <c r="SGG31" s="15"/>
      <c r="SGH31" s="15"/>
      <c r="SGI31" s="15"/>
      <c r="SGJ31" s="15"/>
      <c r="SGK31" s="15"/>
      <c r="SGL31" s="15"/>
      <c r="SGM31" s="15"/>
      <c r="SGN31" s="15"/>
      <c r="SGO31" s="15"/>
      <c r="SGP31" s="15"/>
      <c r="SGQ31" s="15"/>
      <c r="SGR31" s="15"/>
      <c r="SGS31" s="15"/>
      <c r="SGT31" s="15"/>
      <c r="SGU31" s="15"/>
      <c r="SGV31" s="15"/>
      <c r="SGW31" s="15"/>
      <c r="SGX31" s="15"/>
      <c r="SGY31" s="15"/>
      <c r="SGZ31" s="15"/>
      <c r="SHA31" s="15"/>
      <c r="SHB31" s="15"/>
      <c r="SHC31" s="15"/>
      <c r="SHD31" s="15"/>
      <c r="SHE31" s="15"/>
      <c r="SHF31" s="15"/>
      <c r="SHG31" s="15"/>
      <c r="SHH31" s="15"/>
      <c r="SHI31" s="15"/>
      <c r="SHJ31" s="15"/>
      <c r="SHK31" s="15"/>
      <c r="SHL31" s="15"/>
      <c r="SHM31" s="15"/>
      <c r="SHN31" s="15"/>
      <c r="SHO31" s="15"/>
      <c r="SHP31" s="15"/>
      <c r="SHQ31" s="15"/>
      <c r="SHR31" s="15"/>
      <c r="SHS31" s="15"/>
      <c r="SHT31" s="15"/>
      <c r="SHU31" s="15"/>
      <c r="SHV31" s="15"/>
      <c r="SHW31" s="15"/>
      <c r="SHX31" s="15"/>
      <c r="SHY31" s="15"/>
      <c r="SHZ31" s="15"/>
      <c r="SIA31" s="15"/>
      <c r="SIB31" s="15"/>
      <c r="SIC31" s="15"/>
      <c r="SID31" s="15"/>
      <c r="SIE31" s="15"/>
      <c r="SIF31" s="15"/>
      <c r="SIG31" s="15"/>
      <c r="SIH31" s="15"/>
      <c r="SII31" s="15"/>
      <c r="SIJ31" s="15"/>
      <c r="SIK31" s="15"/>
      <c r="SIL31" s="15"/>
      <c r="SIM31" s="15"/>
      <c r="SIN31" s="15"/>
      <c r="SIO31" s="15"/>
      <c r="SIP31" s="15"/>
      <c r="SIQ31" s="15"/>
      <c r="SIR31" s="15"/>
      <c r="SIS31" s="15"/>
      <c r="SIT31" s="15"/>
      <c r="SIU31" s="15"/>
      <c r="SIV31" s="15"/>
      <c r="SIW31" s="15"/>
      <c r="SIX31" s="15"/>
      <c r="SIY31" s="15"/>
      <c r="SIZ31" s="15"/>
      <c r="SJA31" s="15"/>
      <c r="SJB31" s="15"/>
      <c r="SJC31" s="15"/>
      <c r="SJD31" s="15"/>
      <c r="SJE31" s="15"/>
      <c r="SJF31" s="15"/>
      <c r="SJG31" s="15"/>
      <c r="SJH31" s="15"/>
      <c r="SJI31" s="15"/>
      <c r="SJJ31" s="15"/>
      <c r="SJK31" s="15"/>
      <c r="SJL31" s="15"/>
      <c r="SJM31" s="15"/>
      <c r="SJN31" s="15"/>
      <c r="SJO31" s="15"/>
      <c r="SJP31" s="15"/>
      <c r="SJQ31" s="15"/>
      <c r="SJR31" s="15"/>
      <c r="SJS31" s="15"/>
      <c r="SJT31" s="15"/>
      <c r="SJU31" s="15"/>
      <c r="SJV31" s="15"/>
      <c r="SJW31" s="15"/>
      <c r="SJX31" s="15"/>
      <c r="SJY31" s="15"/>
      <c r="SJZ31" s="15"/>
      <c r="SKA31" s="15"/>
      <c r="SKB31" s="15"/>
      <c r="SKC31" s="15"/>
      <c r="SKD31" s="15"/>
      <c r="SKE31" s="15"/>
      <c r="SKF31" s="15"/>
      <c r="SKG31" s="15"/>
      <c r="SKH31" s="15"/>
      <c r="SKI31" s="15"/>
      <c r="SKJ31" s="15"/>
      <c r="SKK31" s="15"/>
      <c r="SKL31" s="15"/>
      <c r="SKM31" s="15"/>
      <c r="SKN31" s="15"/>
      <c r="SKO31" s="15"/>
      <c r="SKP31" s="15"/>
      <c r="SKQ31" s="15"/>
      <c r="SKR31" s="15"/>
      <c r="SKS31" s="15"/>
      <c r="SKT31" s="15"/>
      <c r="SKU31" s="15"/>
      <c r="SKV31" s="15"/>
      <c r="SKW31" s="15"/>
      <c r="SKX31" s="15"/>
      <c r="SKY31" s="15"/>
      <c r="SKZ31" s="15"/>
      <c r="SLA31" s="15"/>
      <c r="SLB31" s="15"/>
      <c r="SLC31" s="15"/>
      <c r="SLD31" s="15"/>
      <c r="SLE31" s="15"/>
      <c r="SLF31" s="15"/>
      <c r="SLG31" s="15"/>
      <c r="SLH31" s="15"/>
      <c r="SLI31" s="15"/>
      <c r="SLJ31" s="15"/>
      <c r="SLK31" s="15"/>
      <c r="SLL31" s="15"/>
      <c r="SLM31" s="15"/>
      <c r="SLN31" s="15"/>
      <c r="SLO31" s="15"/>
      <c r="SLP31" s="15"/>
      <c r="SLQ31" s="15"/>
      <c r="SLR31" s="15"/>
      <c r="SLS31" s="15"/>
      <c r="SLT31" s="15"/>
      <c r="SLU31" s="15"/>
      <c r="SLV31" s="15"/>
      <c r="SLW31" s="15"/>
      <c r="SLX31" s="15"/>
      <c r="SLY31" s="15"/>
      <c r="SLZ31" s="15"/>
      <c r="SMA31" s="15"/>
      <c r="SMB31" s="15"/>
      <c r="SMC31" s="15"/>
      <c r="SMD31" s="15"/>
      <c r="SME31" s="15"/>
      <c r="SMF31" s="15"/>
      <c r="SMG31" s="15"/>
      <c r="SMH31" s="15"/>
      <c r="SMI31" s="15"/>
      <c r="SMJ31" s="15"/>
      <c r="SMK31" s="15"/>
      <c r="SML31" s="15"/>
      <c r="SMM31" s="15"/>
      <c r="SMN31" s="15"/>
      <c r="SMO31" s="15"/>
      <c r="SMP31" s="15"/>
      <c r="SMQ31" s="15"/>
      <c r="SMR31" s="15"/>
      <c r="SMS31" s="15"/>
      <c r="SMT31" s="15"/>
      <c r="SMU31" s="15"/>
      <c r="SMV31" s="15"/>
      <c r="SMW31" s="15"/>
      <c r="SMX31" s="15"/>
      <c r="SMY31" s="15"/>
      <c r="SMZ31" s="15"/>
      <c r="SNA31" s="15"/>
      <c r="SNB31" s="15"/>
      <c r="SNC31" s="15"/>
      <c r="SND31" s="15"/>
      <c r="SNE31" s="15"/>
      <c r="SNF31" s="15"/>
      <c r="SNG31" s="15"/>
      <c r="SNH31" s="15"/>
      <c r="SNI31" s="15"/>
      <c r="SNJ31" s="15"/>
      <c r="SNK31" s="15"/>
      <c r="SNL31" s="15"/>
      <c r="SNM31" s="15"/>
      <c r="SNN31" s="15"/>
      <c r="SNO31" s="15"/>
      <c r="SNP31" s="15"/>
      <c r="SNQ31" s="15"/>
      <c r="SNR31" s="15"/>
      <c r="SNS31" s="15"/>
      <c r="SNT31" s="15"/>
      <c r="SNU31" s="15"/>
      <c r="SNV31" s="15"/>
      <c r="SNW31" s="15"/>
      <c r="SNX31" s="15"/>
      <c r="SNY31" s="15"/>
      <c r="SNZ31" s="15"/>
      <c r="SOA31" s="15"/>
      <c r="SOB31" s="15"/>
      <c r="SOC31" s="15"/>
      <c r="SOD31" s="15"/>
      <c r="SOE31" s="15"/>
      <c r="SOF31" s="15"/>
      <c r="SOG31" s="15"/>
      <c r="SOH31" s="15"/>
      <c r="SOI31" s="15"/>
      <c r="SOJ31" s="15"/>
      <c r="SOK31" s="15"/>
      <c r="SOL31" s="15"/>
      <c r="SOM31" s="15"/>
      <c r="SON31" s="15"/>
      <c r="SOO31" s="15"/>
      <c r="SOP31" s="15"/>
      <c r="SOQ31" s="15"/>
      <c r="SOR31" s="15"/>
      <c r="SOS31" s="15"/>
      <c r="SOT31" s="15"/>
      <c r="SOU31" s="15"/>
      <c r="SOV31" s="15"/>
      <c r="SOW31" s="15"/>
      <c r="SOX31" s="15"/>
      <c r="SOY31" s="15"/>
      <c r="SOZ31" s="15"/>
      <c r="SPA31" s="15"/>
      <c r="SPB31" s="15"/>
      <c r="SPC31" s="15"/>
      <c r="SPD31" s="15"/>
      <c r="SPE31" s="15"/>
      <c r="SPF31" s="15"/>
      <c r="SPG31" s="15"/>
      <c r="SPH31" s="15"/>
      <c r="SPI31" s="15"/>
      <c r="SPJ31" s="15"/>
      <c r="SPK31" s="15"/>
      <c r="SPL31" s="15"/>
      <c r="SPM31" s="15"/>
      <c r="SPN31" s="15"/>
      <c r="SPO31" s="15"/>
      <c r="SPP31" s="15"/>
      <c r="SPQ31" s="15"/>
      <c r="SPR31" s="15"/>
      <c r="SPS31" s="15"/>
      <c r="SPT31" s="15"/>
      <c r="SPU31" s="15"/>
      <c r="SPV31" s="15"/>
      <c r="SPW31" s="15"/>
      <c r="SPX31" s="15"/>
      <c r="SPY31" s="15"/>
      <c r="SPZ31" s="15"/>
      <c r="SQA31" s="15"/>
      <c r="SQB31" s="15"/>
      <c r="SQC31" s="15"/>
      <c r="SQD31" s="15"/>
      <c r="SQE31" s="15"/>
      <c r="SQF31" s="15"/>
      <c r="SQG31" s="15"/>
      <c r="SQH31" s="15"/>
      <c r="SQI31" s="15"/>
      <c r="SQJ31" s="15"/>
      <c r="SQK31" s="15"/>
      <c r="SQL31" s="15"/>
      <c r="SQM31" s="15"/>
      <c r="SQN31" s="15"/>
      <c r="SQO31" s="15"/>
      <c r="SQP31" s="15"/>
      <c r="SQQ31" s="15"/>
      <c r="SQR31" s="15"/>
      <c r="SQS31" s="15"/>
      <c r="SQT31" s="15"/>
      <c r="SQU31" s="15"/>
      <c r="SQV31" s="15"/>
      <c r="SQW31" s="15"/>
      <c r="SQX31" s="15"/>
      <c r="SQY31" s="15"/>
      <c r="SQZ31" s="15"/>
      <c r="SRA31" s="15"/>
      <c r="SRB31" s="15"/>
      <c r="SRC31" s="15"/>
      <c r="SRD31" s="15"/>
      <c r="SRE31" s="15"/>
      <c r="SRF31" s="15"/>
      <c r="SRG31" s="15"/>
      <c r="SRH31" s="15"/>
      <c r="SRI31" s="15"/>
      <c r="SRJ31" s="15"/>
      <c r="SRK31" s="15"/>
      <c r="SRL31" s="15"/>
      <c r="SRM31" s="15"/>
      <c r="SRN31" s="15"/>
      <c r="SRO31" s="15"/>
      <c r="SRP31" s="15"/>
      <c r="SRQ31" s="15"/>
      <c r="SRR31" s="15"/>
      <c r="SRS31" s="15"/>
      <c r="SRT31" s="15"/>
      <c r="SRU31" s="15"/>
      <c r="SRV31" s="15"/>
      <c r="SRW31" s="15"/>
      <c r="SRX31" s="15"/>
      <c r="SRY31" s="15"/>
      <c r="SRZ31" s="15"/>
      <c r="SSA31" s="15"/>
      <c r="SSB31" s="15"/>
      <c r="SSC31" s="15"/>
      <c r="SSD31" s="15"/>
      <c r="SSE31" s="15"/>
      <c r="SSF31" s="15"/>
      <c r="SSG31" s="15"/>
      <c r="SSH31" s="15"/>
      <c r="SSI31" s="15"/>
      <c r="SSJ31" s="15"/>
      <c r="SSK31" s="15"/>
      <c r="SSL31" s="15"/>
      <c r="SSM31" s="15"/>
      <c r="SSN31" s="15"/>
      <c r="SSO31" s="15"/>
      <c r="SSP31" s="15"/>
      <c r="SSQ31" s="15"/>
      <c r="SSR31" s="15"/>
      <c r="SSS31" s="15"/>
      <c r="SST31" s="15"/>
      <c r="SSU31" s="15"/>
      <c r="SSV31" s="15"/>
      <c r="SSW31" s="15"/>
      <c r="SSX31" s="15"/>
      <c r="SSY31" s="15"/>
      <c r="SSZ31" s="15"/>
      <c r="STA31" s="15"/>
      <c r="STB31" s="15"/>
      <c r="STC31" s="15"/>
      <c r="STD31" s="15"/>
      <c r="STE31" s="15"/>
      <c r="STF31" s="15"/>
      <c r="STG31" s="15"/>
      <c r="STH31" s="15"/>
      <c r="STI31" s="15"/>
      <c r="STJ31" s="15"/>
      <c r="STK31" s="15"/>
      <c r="STL31" s="15"/>
      <c r="STM31" s="15"/>
      <c r="STN31" s="15"/>
      <c r="STO31" s="15"/>
      <c r="STP31" s="15"/>
      <c r="STQ31" s="15"/>
      <c r="STR31" s="15"/>
      <c r="STS31" s="15"/>
      <c r="STT31" s="15"/>
      <c r="STU31" s="15"/>
      <c r="STV31" s="15"/>
      <c r="STW31" s="15"/>
      <c r="STX31" s="15"/>
      <c r="STY31" s="15"/>
      <c r="STZ31" s="15"/>
      <c r="SUA31" s="15"/>
      <c r="SUB31" s="15"/>
      <c r="SUC31" s="15"/>
      <c r="SUD31" s="15"/>
      <c r="SUE31" s="15"/>
      <c r="SUF31" s="15"/>
      <c r="SUG31" s="15"/>
      <c r="SUH31" s="15"/>
      <c r="SUI31" s="15"/>
      <c r="SUJ31" s="15"/>
      <c r="SUK31" s="15"/>
      <c r="SUL31" s="15"/>
      <c r="SUM31" s="15"/>
      <c r="SUN31" s="15"/>
      <c r="SUO31" s="15"/>
      <c r="SUP31" s="15"/>
      <c r="SUQ31" s="15"/>
      <c r="SUR31" s="15"/>
      <c r="SUS31" s="15"/>
      <c r="SUT31" s="15"/>
      <c r="SUU31" s="15"/>
      <c r="SUV31" s="15"/>
      <c r="SUW31" s="15"/>
      <c r="SUX31" s="15"/>
      <c r="SUY31" s="15"/>
      <c r="SUZ31" s="15"/>
      <c r="SVA31" s="15"/>
      <c r="SVB31" s="15"/>
      <c r="SVC31" s="15"/>
      <c r="SVD31" s="15"/>
      <c r="SVE31" s="15"/>
      <c r="SVF31" s="15"/>
      <c r="SVG31" s="15"/>
      <c r="SVH31" s="15"/>
      <c r="SVI31" s="15"/>
      <c r="SVJ31" s="15"/>
      <c r="SVK31" s="15"/>
      <c r="SVL31" s="15"/>
      <c r="SVM31" s="15"/>
      <c r="SVN31" s="15"/>
      <c r="SVO31" s="15"/>
      <c r="SVP31" s="15"/>
      <c r="SVQ31" s="15"/>
      <c r="SVR31" s="15"/>
      <c r="SVS31" s="15"/>
      <c r="SVT31" s="15"/>
      <c r="SVU31" s="15"/>
      <c r="SVV31" s="15"/>
      <c r="SVW31" s="15"/>
      <c r="SVX31" s="15"/>
      <c r="SVY31" s="15"/>
      <c r="SVZ31" s="15"/>
      <c r="SWA31" s="15"/>
      <c r="SWB31" s="15"/>
      <c r="SWC31" s="15"/>
      <c r="SWD31" s="15"/>
      <c r="SWE31" s="15"/>
      <c r="SWF31" s="15"/>
      <c r="SWG31" s="15"/>
      <c r="SWH31" s="15"/>
      <c r="SWI31" s="15"/>
      <c r="SWJ31" s="15"/>
      <c r="SWK31" s="15"/>
      <c r="SWL31" s="15"/>
      <c r="SWM31" s="15"/>
      <c r="SWN31" s="15"/>
      <c r="SWO31" s="15"/>
      <c r="SWP31" s="15"/>
      <c r="SWQ31" s="15"/>
      <c r="SWR31" s="15"/>
      <c r="SWS31" s="15"/>
      <c r="SWT31" s="15"/>
      <c r="SWU31" s="15"/>
      <c r="SWV31" s="15"/>
      <c r="SWW31" s="15"/>
      <c r="SWX31" s="15"/>
      <c r="SWY31" s="15"/>
      <c r="SWZ31" s="15"/>
      <c r="SXA31" s="15"/>
      <c r="SXB31" s="15"/>
      <c r="SXC31" s="15"/>
      <c r="SXD31" s="15"/>
      <c r="SXE31" s="15"/>
      <c r="SXF31" s="15"/>
      <c r="SXG31" s="15"/>
      <c r="SXH31" s="15"/>
      <c r="SXI31" s="15"/>
      <c r="SXJ31" s="15"/>
      <c r="SXK31" s="15"/>
      <c r="SXL31" s="15"/>
      <c r="SXM31" s="15"/>
      <c r="SXN31" s="15"/>
      <c r="SXO31" s="15"/>
      <c r="SXP31" s="15"/>
      <c r="SXQ31" s="15"/>
      <c r="SXR31" s="15"/>
      <c r="SXS31" s="15"/>
      <c r="SXT31" s="15"/>
      <c r="SXU31" s="15"/>
      <c r="SXV31" s="15"/>
      <c r="SXW31" s="15"/>
      <c r="SXX31" s="15"/>
      <c r="SXY31" s="15"/>
      <c r="SXZ31" s="15"/>
      <c r="SYA31" s="15"/>
      <c r="SYB31" s="15"/>
      <c r="SYC31" s="15"/>
      <c r="SYD31" s="15"/>
      <c r="SYE31" s="15"/>
      <c r="SYF31" s="15"/>
      <c r="SYG31" s="15"/>
      <c r="SYH31" s="15"/>
      <c r="SYI31" s="15"/>
      <c r="SYJ31" s="15"/>
      <c r="SYK31" s="15"/>
      <c r="SYL31" s="15"/>
      <c r="SYM31" s="15"/>
      <c r="SYN31" s="15"/>
      <c r="SYO31" s="15"/>
      <c r="SYP31" s="15"/>
      <c r="SYQ31" s="15"/>
      <c r="SYR31" s="15"/>
      <c r="SYS31" s="15"/>
      <c r="SYT31" s="15"/>
      <c r="SYU31" s="15"/>
      <c r="SYV31" s="15"/>
      <c r="SYW31" s="15"/>
      <c r="SYX31" s="15"/>
      <c r="SYY31" s="15"/>
      <c r="SYZ31" s="15"/>
      <c r="SZA31" s="15"/>
      <c r="SZB31" s="15"/>
      <c r="SZC31" s="15"/>
      <c r="SZD31" s="15"/>
      <c r="SZE31" s="15"/>
      <c r="SZF31" s="15"/>
      <c r="SZG31" s="15"/>
      <c r="SZH31" s="15"/>
      <c r="SZI31" s="15"/>
      <c r="SZJ31" s="15"/>
      <c r="SZK31" s="15"/>
      <c r="SZL31" s="15"/>
      <c r="SZM31" s="15"/>
      <c r="SZN31" s="15"/>
      <c r="SZO31" s="15"/>
      <c r="SZP31" s="15"/>
      <c r="SZQ31" s="15"/>
      <c r="SZR31" s="15"/>
      <c r="SZS31" s="15"/>
      <c r="SZT31" s="15"/>
      <c r="SZU31" s="15"/>
      <c r="SZV31" s="15"/>
      <c r="SZW31" s="15"/>
      <c r="SZX31" s="15"/>
      <c r="SZY31" s="15"/>
      <c r="SZZ31" s="15"/>
      <c r="TAA31" s="15"/>
      <c r="TAB31" s="15"/>
      <c r="TAC31" s="15"/>
      <c r="TAD31" s="15"/>
      <c r="TAE31" s="15"/>
      <c r="TAF31" s="15"/>
      <c r="TAG31" s="15"/>
      <c r="TAH31" s="15"/>
      <c r="TAI31" s="15"/>
      <c r="TAJ31" s="15"/>
      <c r="TAK31" s="15"/>
      <c r="TAL31" s="15"/>
      <c r="TAM31" s="15"/>
      <c r="TAN31" s="15"/>
      <c r="TAO31" s="15"/>
      <c r="TAP31" s="15"/>
      <c r="TAQ31" s="15"/>
      <c r="TAR31" s="15"/>
      <c r="TAS31" s="15"/>
      <c r="TAT31" s="15"/>
      <c r="TAU31" s="15"/>
      <c r="TAV31" s="15"/>
      <c r="TAW31" s="15"/>
      <c r="TAX31" s="15"/>
      <c r="TAY31" s="15"/>
      <c r="TAZ31" s="15"/>
      <c r="TBA31" s="15"/>
      <c r="TBB31" s="15"/>
      <c r="TBC31" s="15"/>
      <c r="TBD31" s="15"/>
      <c r="TBE31" s="15"/>
      <c r="TBF31" s="15"/>
      <c r="TBG31" s="15"/>
      <c r="TBH31" s="15"/>
      <c r="TBI31" s="15"/>
      <c r="TBJ31" s="15"/>
      <c r="TBK31" s="15"/>
      <c r="TBL31" s="15"/>
      <c r="TBM31" s="15"/>
      <c r="TBN31" s="15"/>
      <c r="TBO31" s="15"/>
      <c r="TBP31" s="15"/>
      <c r="TBQ31" s="15"/>
      <c r="TBR31" s="15"/>
      <c r="TBS31" s="15"/>
      <c r="TBT31" s="15"/>
      <c r="TBU31" s="15"/>
      <c r="TBV31" s="15"/>
      <c r="TBW31" s="15"/>
      <c r="TBX31" s="15"/>
      <c r="TBY31" s="15"/>
      <c r="TBZ31" s="15"/>
      <c r="TCA31" s="15"/>
      <c r="TCB31" s="15"/>
      <c r="TCC31" s="15"/>
      <c r="TCD31" s="15"/>
      <c r="TCE31" s="15"/>
      <c r="TCF31" s="15"/>
      <c r="TCG31" s="15"/>
      <c r="TCH31" s="15"/>
      <c r="TCI31" s="15"/>
      <c r="TCJ31" s="15"/>
      <c r="TCK31" s="15"/>
      <c r="TCL31" s="15"/>
      <c r="TCM31" s="15"/>
      <c r="TCN31" s="15"/>
      <c r="TCO31" s="15"/>
      <c r="TCP31" s="15"/>
      <c r="TCQ31" s="15"/>
      <c r="TCR31" s="15"/>
      <c r="TCS31" s="15"/>
      <c r="TCT31" s="15"/>
      <c r="TCU31" s="15"/>
      <c r="TCV31" s="15"/>
      <c r="TCW31" s="15"/>
      <c r="TCX31" s="15"/>
      <c r="TCY31" s="15"/>
      <c r="TCZ31" s="15"/>
      <c r="TDA31" s="15"/>
      <c r="TDB31" s="15"/>
      <c r="TDC31" s="15"/>
      <c r="TDD31" s="15"/>
      <c r="TDE31" s="15"/>
      <c r="TDF31" s="15"/>
      <c r="TDG31" s="15"/>
      <c r="TDH31" s="15"/>
      <c r="TDI31" s="15"/>
      <c r="TDJ31" s="15"/>
      <c r="TDK31" s="15"/>
      <c r="TDL31" s="15"/>
      <c r="TDM31" s="15"/>
      <c r="TDN31" s="15"/>
      <c r="TDO31" s="15"/>
      <c r="TDP31" s="15"/>
      <c r="TDQ31" s="15"/>
      <c r="TDR31" s="15"/>
      <c r="TDS31" s="15"/>
      <c r="TDT31" s="15"/>
      <c r="TDU31" s="15"/>
      <c r="TDV31" s="15"/>
      <c r="TDW31" s="15"/>
      <c r="TDX31" s="15"/>
      <c r="TDY31" s="15"/>
      <c r="TDZ31" s="15"/>
      <c r="TEA31" s="15"/>
      <c r="TEB31" s="15"/>
      <c r="TEC31" s="15"/>
      <c r="TED31" s="15"/>
      <c r="TEE31" s="15"/>
      <c r="TEF31" s="15"/>
      <c r="TEG31" s="15"/>
      <c r="TEH31" s="15"/>
      <c r="TEI31" s="15"/>
      <c r="TEJ31" s="15"/>
      <c r="TEK31" s="15"/>
      <c r="TEL31" s="15"/>
      <c r="TEM31" s="15"/>
      <c r="TEN31" s="15"/>
      <c r="TEO31" s="15"/>
      <c r="TEP31" s="15"/>
      <c r="TEQ31" s="15"/>
      <c r="TER31" s="15"/>
      <c r="TES31" s="15"/>
      <c r="TET31" s="15"/>
      <c r="TEU31" s="15"/>
      <c r="TEV31" s="15"/>
      <c r="TEW31" s="15"/>
      <c r="TEX31" s="15"/>
      <c r="TEY31" s="15"/>
      <c r="TEZ31" s="15"/>
      <c r="TFA31" s="15"/>
      <c r="TFB31" s="15"/>
      <c r="TFC31" s="15"/>
      <c r="TFD31" s="15"/>
      <c r="TFE31" s="15"/>
      <c r="TFF31" s="15"/>
      <c r="TFG31" s="15"/>
      <c r="TFH31" s="15"/>
      <c r="TFI31" s="15"/>
      <c r="TFJ31" s="15"/>
      <c r="TFK31" s="15"/>
      <c r="TFL31" s="15"/>
      <c r="TFM31" s="15"/>
      <c r="TFN31" s="15"/>
      <c r="TFO31" s="15"/>
      <c r="TFP31" s="15"/>
      <c r="TFQ31" s="15"/>
      <c r="TFR31" s="15"/>
      <c r="TFS31" s="15"/>
      <c r="TFT31" s="15"/>
      <c r="TFU31" s="15"/>
      <c r="TFV31" s="15"/>
      <c r="TFW31" s="15"/>
      <c r="TFX31" s="15"/>
      <c r="TFY31" s="15"/>
      <c r="TFZ31" s="15"/>
      <c r="TGA31" s="15"/>
      <c r="TGB31" s="15"/>
      <c r="TGC31" s="15"/>
      <c r="TGD31" s="15"/>
      <c r="TGE31" s="15"/>
      <c r="TGF31" s="15"/>
      <c r="TGG31" s="15"/>
      <c r="TGH31" s="15"/>
      <c r="TGI31" s="15"/>
      <c r="TGJ31" s="15"/>
      <c r="TGK31" s="15"/>
      <c r="TGL31" s="15"/>
      <c r="TGM31" s="15"/>
      <c r="TGN31" s="15"/>
      <c r="TGO31" s="15"/>
      <c r="TGP31" s="15"/>
      <c r="TGQ31" s="15"/>
      <c r="TGR31" s="15"/>
      <c r="TGS31" s="15"/>
      <c r="TGT31" s="15"/>
      <c r="TGU31" s="15"/>
      <c r="TGV31" s="15"/>
      <c r="TGW31" s="15"/>
      <c r="TGX31" s="15"/>
      <c r="TGY31" s="15"/>
      <c r="TGZ31" s="15"/>
      <c r="THA31" s="15"/>
      <c r="THB31" s="15"/>
      <c r="THC31" s="15"/>
      <c r="THD31" s="15"/>
      <c r="THE31" s="15"/>
      <c r="THF31" s="15"/>
      <c r="THG31" s="15"/>
      <c r="THH31" s="15"/>
      <c r="THI31" s="15"/>
      <c r="THJ31" s="15"/>
      <c r="THK31" s="15"/>
      <c r="THL31" s="15"/>
      <c r="THM31" s="15"/>
      <c r="THN31" s="15"/>
      <c r="THO31" s="15"/>
      <c r="THP31" s="15"/>
      <c r="THQ31" s="15"/>
      <c r="THR31" s="15"/>
      <c r="THS31" s="15"/>
      <c r="THT31" s="15"/>
      <c r="THU31" s="15"/>
      <c r="THV31" s="15"/>
      <c r="THW31" s="15"/>
      <c r="THX31" s="15"/>
      <c r="THY31" s="15"/>
      <c r="THZ31" s="15"/>
      <c r="TIA31" s="15"/>
      <c r="TIB31" s="15"/>
      <c r="TIC31" s="15"/>
      <c r="TID31" s="15"/>
      <c r="TIE31" s="15"/>
      <c r="TIF31" s="15"/>
      <c r="TIG31" s="15"/>
      <c r="TIH31" s="15"/>
      <c r="TII31" s="15"/>
      <c r="TIJ31" s="15"/>
      <c r="TIK31" s="15"/>
      <c r="TIL31" s="15"/>
      <c r="TIM31" s="15"/>
      <c r="TIN31" s="15"/>
      <c r="TIO31" s="15"/>
      <c r="TIP31" s="15"/>
      <c r="TIQ31" s="15"/>
      <c r="TIR31" s="15"/>
      <c r="TIS31" s="15"/>
      <c r="TIT31" s="15"/>
      <c r="TIU31" s="15"/>
      <c r="TIV31" s="15"/>
      <c r="TIW31" s="15"/>
      <c r="TIX31" s="15"/>
      <c r="TIY31" s="15"/>
      <c r="TIZ31" s="15"/>
      <c r="TJA31" s="15"/>
      <c r="TJB31" s="15"/>
      <c r="TJC31" s="15"/>
      <c r="TJD31" s="15"/>
      <c r="TJE31" s="15"/>
      <c r="TJF31" s="15"/>
      <c r="TJG31" s="15"/>
      <c r="TJH31" s="15"/>
      <c r="TJI31" s="15"/>
      <c r="TJJ31" s="15"/>
      <c r="TJK31" s="15"/>
      <c r="TJL31" s="15"/>
      <c r="TJM31" s="15"/>
      <c r="TJN31" s="15"/>
      <c r="TJO31" s="15"/>
      <c r="TJP31" s="15"/>
      <c r="TJQ31" s="15"/>
      <c r="TJR31" s="15"/>
      <c r="TJS31" s="15"/>
      <c r="TJT31" s="15"/>
      <c r="TJU31" s="15"/>
      <c r="TJV31" s="15"/>
      <c r="TJW31" s="15"/>
      <c r="TJX31" s="15"/>
      <c r="TJY31" s="15"/>
      <c r="TJZ31" s="15"/>
      <c r="TKA31" s="15"/>
      <c r="TKB31" s="15"/>
      <c r="TKC31" s="15"/>
      <c r="TKD31" s="15"/>
      <c r="TKE31" s="15"/>
      <c r="TKF31" s="15"/>
      <c r="TKG31" s="15"/>
      <c r="TKH31" s="15"/>
      <c r="TKI31" s="15"/>
      <c r="TKJ31" s="15"/>
      <c r="TKK31" s="15"/>
      <c r="TKL31" s="15"/>
      <c r="TKM31" s="15"/>
      <c r="TKN31" s="15"/>
      <c r="TKO31" s="15"/>
      <c r="TKP31" s="15"/>
      <c r="TKQ31" s="15"/>
      <c r="TKR31" s="15"/>
      <c r="TKS31" s="15"/>
      <c r="TKT31" s="15"/>
      <c r="TKU31" s="15"/>
      <c r="TKV31" s="15"/>
      <c r="TKW31" s="15"/>
      <c r="TKX31" s="15"/>
      <c r="TKY31" s="15"/>
      <c r="TKZ31" s="15"/>
      <c r="TLA31" s="15"/>
      <c r="TLB31" s="15"/>
      <c r="TLC31" s="15"/>
      <c r="TLD31" s="15"/>
      <c r="TLE31" s="15"/>
      <c r="TLF31" s="15"/>
      <c r="TLG31" s="15"/>
      <c r="TLH31" s="15"/>
      <c r="TLI31" s="15"/>
      <c r="TLJ31" s="15"/>
      <c r="TLK31" s="15"/>
      <c r="TLL31" s="15"/>
      <c r="TLM31" s="15"/>
      <c r="TLN31" s="15"/>
      <c r="TLO31" s="15"/>
      <c r="TLP31" s="15"/>
      <c r="TLQ31" s="15"/>
      <c r="TLR31" s="15"/>
      <c r="TLS31" s="15"/>
      <c r="TLT31" s="15"/>
      <c r="TLU31" s="15"/>
      <c r="TLV31" s="15"/>
      <c r="TLW31" s="15"/>
      <c r="TLX31" s="15"/>
      <c r="TLY31" s="15"/>
      <c r="TLZ31" s="15"/>
      <c r="TMA31" s="15"/>
      <c r="TMB31" s="15"/>
      <c r="TMC31" s="15"/>
      <c r="TMD31" s="15"/>
      <c r="TME31" s="15"/>
      <c r="TMF31" s="15"/>
      <c r="TMG31" s="15"/>
      <c r="TMH31" s="15"/>
      <c r="TMI31" s="15"/>
      <c r="TMJ31" s="15"/>
      <c r="TMK31" s="15"/>
      <c r="TML31" s="15"/>
      <c r="TMM31" s="15"/>
      <c r="TMN31" s="15"/>
      <c r="TMO31" s="15"/>
      <c r="TMP31" s="15"/>
      <c r="TMQ31" s="15"/>
      <c r="TMR31" s="15"/>
      <c r="TMS31" s="15"/>
      <c r="TMT31" s="15"/>
      <c r="TMU31" s="15"/>
      <c r="TMV31" s="15"/>
      <c r="TMW31" s="15"/>
      <c r="TMX31" s="15"/>
      <c r="TMY31" s="15"/>
      <c r="TMZ31" s="15"/>
      <c r="TNA31" s="15"/>
      <c r="TNB31" s="15"/>
      <c r="TNC31" s="15"/>
      <c r="TND31" s="15"/>
      <c r="TNE31" s="15"/>
      <c r="TNF31" s="15"/>
      <c r="TNG31" s="15"/>
      <c r="TNH31" s="15"/>
      <c r="TNI31" s="15"/>
      <c r="TNJ31" s="15"/>
      <c r="TNK31" s="15"/>
      <c r="TNL31" s="15"/>
      <c r="TNM31" s="15"/>
      <c r="TNN31" s="15"/>
      <c r="TNO31" s="15"/>
      <c r="TNP31" s="15"/>
      <c r="TNQ31" s="15"/>
      <c r="TNR31" s="15"/>
      <c r="TNS31" s="15"/>
      <c r="TNT31" s="15"/>
      <c r="TNU31" s="15"/>
      <c r="TNV31" s="15"/>
      <c r="TNW31" s="15"/>
      <c r="TNX31" s="15"/>
      <c r="TNY31" s="15"/>
      <c r="TNZ31" s="15"/>
      <c r="TOA31" s="15"/>
      <c r="TOB31" s="15"/>
      <c r="TOC31" s="15"/>
      <c r="TOD31" s="15"/>
      <c r="TOE31" s="15"/>
      <c r="TOF31" s="15"/>
      <c r="TOG31" s="15"/>
      <c r="TOH31" s="15"/>
      <c r="TOI31" s="15"/>
      <c r="TOJ31" s="15"/>
      <c r="TOK31" s="15"/>
      <c r="TOL31" s="15"/>
      <c r="TOM31" s="15"/>
      <c r="TON31" s="15"/>
      <c r="TOO31" s="15"/>
      <c r="TOP31" s="15"/>
      <c r="TOQ31" s="15"/>
      <c r="TOR31" s="15"/>
      <c r="TOS31" s="15"/>
      <c r="TOT31" s="15"/>
      <c r="TOU31" s="15"/>
      <c r="TOV31" s="15"/>
      <c r="TOW31" s="15"/>
      <c r="TOX31" s="15"/>
      <c r="TOY31" s="15"/>
      <c r="TOZ31" s="15"/>
      <c r="TPA31" s="15"/>
      <c r="TPB31" s="15"/>
      <c r="TPC31" s="15"/>
      <c r="TPD31" s="15"/>
      <c r="TPE31" s="15"/>
      <c r="TPF31" s="15"/>
      <c r="TPG31" s="15"/>
      <c r="TPH31" s="15"/>
      <c r="TPI31" s="15"/>
      <c r="TPJ31" s="15"/>
      <c r="TPK31" s="15"/>
      <c r="TPL31" s="15"/>
      <c r="TPM31" s="15"/>
      <c r="TPN31" s="15"/>
      <c r="TPO31" s="15"/>
      <c r="TPP31" s="15"/>
      <c r="TPQ31" s="15"/>
      <c r="TPR31" s="15"/>
      <c r="TPS31" s="15"/>
      <c r="TPT31" s="15"/>
      <c r="TPU31" s="15"/>
      <c r="TPV31" s="15"/>
      <c r="TPW31" s="15"/>
      <c r="TPX31" s="15"/>
      <c r="TPY31" s="15"/>
      <c r="TPZ31" s="15"/>
      <c r="TQA31" s="15"/>
      <c r="TQB31" s="15"/>
      <c r="TQC31" s="15"/>
      <c r="TQD31" s="15"/>
      <c r="TQE31" s="15"/>
      <c r="TQF31" s="15"/>
      <c r="TQG31" s="15"/>
      <c r="TQH31" s="15"/>
      <c r="TQI31" s="15"/>
      <c r="TQJ31" s="15"/>
      <c r="TQK31" s="15"/>
      <c r="TQL31" s="15"/>
      <c r="TQM31" s="15"/>
      <c r="TQN31" s="15"/>
      <c r="TQO31" s="15"/>
      <c r="TQP31" s="15"/>
      <c r="TQQ31" s="15"/>
      <c r="TQR31" s="15"/>
      <c r="TQS31" s="15"/>
      <c r="TQT31" s="15"/>
      <c r="TQU31" s="15"/>
      <c r="TQV31" s="15"/>
      <c r="TQW31" s="15"/>
      <c r="TQX31" s="15"/>
      <c r="TQY31" s="15"/>
      <c r="TQZ31" s="15"/>
      <c r="TRA31" s="15"/>
      <c r="TRB31" s="15"/>
      <c r="TRC31" s="15"/>
      <c r="TRD31" s="15"/>
      <c r="TRE31" s="15"/>
      <c r="TRF31" s="15"/>
      <c r="TRG31" s="15"/>
      <c r="TRH31" s="15"/>
      <c r="TRI31" s="15"/>
      <c r="TRJ31" s="15"/>
      <c r="TRK31" s="15"/>
      <c r="TRL31" s="15"/>
      <c r="TRM31" s="15"/>
      <c r="TRN31" s="15"/>
      <c r="TRO31" s="15"/>
      <c r="TRP31" s="15"/>
      <c r="TRQ31" s="15"/>
      <c r="TRR31" s="15"/>
      <c r="TRS31" s="15"/>
      <c r="TRT31" s="15"/>
      <c r="TRU31" s="15"/>
      <c r="TRV31" s="15"/>
      <c r="TRW31" s="15"/>
      <c r="TRX31" s="15"/>
      <c r="TRY31" s="15"/>
      <c r="TRZ31" s="15"/>
      <c r="TSA31" s="15"/>
      <c r="TSB31" s="15"/>
      <c r="TSC31" s="15"/>
      <c r="TSD31" s="15"/>
      <c r="TSE31" s="15"/>
      <c r="TSF31" s="15"/>
      <c r="TSG31" s="15"/>
      <c r="TSH31" s="15"/>
      <c r="TSI31" s="15"/>
      <c r="TSJ31" s="15"/>
      <c r="TSK31" s="15"/>
      <c r="TSL31" s="15"/>
      <c r="TSM31" s="15"/>
      <c r="TSN31" s="15"/>
      <c r="TSO31" s="15"/>
      <c r="TSP31" s="15"/>
      <c r="TSQ31" s="15"/>
      <c r="TSR31" s="15"/>
      <c r="TSS31" s="15"/>
      <c r="TST31" s="15"/>
      <c r="TSU31" s="15"/>
      <c r="TSV31" s="15"/>
      <c r="TSW31" s="15"/>
      <c r="TSX31" s="15"/>
      <c r="TSY31" s="15"/>
      <c r="TSZ31" s="15"/>
      <c r="TTA31" s="15"/>
      <c r="TTB31" s="15"/>
      <c r="TTC31" s="15"/>
      <c r="TTD31" s="15"/>
      <c r="TTE31" s="15"/>
      <c r="TTF31" s="15"/>
      <c r="TTG31" s="15"/>
      <c r="TTH31" s="15"/>
      <c r="TTI31" s="15"/>
      <c r="TTJ31" s="15"/>
      <c r="TTK31" s="15"/>
      <c r="TTL31" s="15"/>
      <c r="TTM31" s="15"/>
      <c r="TTN31" s="15"/>
      <c r="TTO31" s="15"/>
      <c r="TTP31" s="15"/>
      <c r="TTQ31" s="15"/>
      <c r="TTR31" s="15"/>
      <c r="TTS31" s="15"/>
      <c r="TTT31" s="15"/>
      <c r="TTU31" s="15"/>
      <c r="TTV31" s="15"/>
      <c r="TTW31" s="15"/>
      <c r="TTX31" s="15"/>
      <c r="TTY31" s="15"/>
      <c r="TTZ31" s="15"/>
      <c r="TUA31" s="15"/>
      <c r="TUB31" s="15"/>
      <c r="TUC31" s="15"/>
      <c r="TUD31" s="15"/>
      <c r="TUE31" s="15"/>
      <c r="TUF31" s="15"/>
      <c r="TUG31" s="15"/>
      <c r="TUH31" s="15"/>
      <c r="TUI31" s="15"/>
      <c r="TUJ31" s="15"/>
      <c r="TUK31" s="15"/>
      <c r="TUL31" s="15"/>
      <c r="TUM31" s="15"/>
      <c r="TUN31" s="15"/>
      <c r="TUO31" s="15"/>
      <c r="TUP31" s="15"/>
      <c r="TUQ31" s="15"/>
      <c r="TUR31" s="15"/>
      <c r="TUS31" s="15"/>
      <c r="TUT31" s="15"/>
      <c r="TUU31" s="15"/>
      <c r="TUV31" s="15"/>
      <c r="TUW31" s="15"/>
      <c r="TUX31" s="15"/>
      <c r="TUY31" s="15"/>
      <c r="TUZ31" s="15"/>
      <c r="TVA31" s="15"/>
      <c r="TVB31" s="15"/>
      <c r="TVC31" s="15"/>
      <c r="TVD31" s="15"/>
      <c r="TVE31" s="15"/>
      <c r="TVF31" s="15"/>
      <c r="TVG31" s="15"/>
      <c r="TVH31" s="15"/>
      <c r="TVI31" s="15"/>
      <c r="TVJ31" s="15"/>
      <c r="TVK31" s="15"/>
      <c r="TVL31" s="15"/>
      <c r="TVM31" s="15"/>
      <c r="TVN31" s="15"/>
      <c r="TVO31" s="15"/>
      <c r="TVP31" s="15"/>
      <c r="TVQ31" s="15"/>
      <c r="TVR31" s="15"/>
      <c r="TVS31" s="15"/>
      <c r="TVT31" s="15"/>
      <c r="TVU31" s="15"/>
      <c r="TVV31" s="15"/>
      <c r="TVW31" s="15"/>
      <c r="TVX31" s="15"/>
      <c r="TVY31" s="15"/>
      <c r="TVZ31" s="15"/>
      <c r="TWA31" s="15"/>
      <c r="TWB31" s="15"/>
      <c r="TWC31" s="15"/>
      <c r="TWD31" s="15"/>
      <c r="TWE31" s="15"/>
      <c r="TWF31" s="15"/>
      <c r="TWG31" s="15"/>
      <c r="TWH31" s="15"/>
      <c r="TWI31" s="15"/>
      <c r="TWJ31" s="15"/>
      <c r="TWK31" s="15"/>
      <c r="TWL31" s="15"/>
      <c r="TWM31" s="15"/>
      <c r="TWN31" s="15"/>
      <c r="TWO31" s="15"/>
      <c r="TWP31" s="15"/>
      <c r="TWQ31" s="15"/>
      <c r="TWR31" s="15"/>
      <c r="TWS31" s="15"/>
      <c r="TWT31" s="15"/>
      <c r="TWU31" s="15"/>
      <c r="TWV31" s="15"/>
      <c r="TWW31" s="15"/>
      <c r="TWX31" s="15"/>
      <c r="TWY31" s="15"/>
      <c r="TWZ31" s="15"/>
      <c r="TXA31" s="15"/>
      <c r="TXB31" s="15"/>
      <c r="TXC31" s="15"/>
      <c r="TXD31" s="15"/>
      <c r="TXE31" s="15"/>
      <c r="TXF31" s="15"/>
      <c r="TXG31" s="15"/>
      <c r="TXH31" s="15"/>
      <c r="TXI31" s="15"/>
      <c r="TXJ31" s="15"/>
      <c r="TXK31" s="15"/>
      <c r="TXL31" s="15"/>
      <c r="TXM31" s="15"/>
      <c r="TXN31" s="15"/>
      <c r="TXO31" s="15"/>
      <c r="TXP31" s="15"/>
      <c r="TXQ31" s="15"/>
      <c r="TXR31" s="15"/>
      <c r="TXS31" s="15"/>
      <c r="TXT31" s="15"/>
      <c r="TXU31" s="15"/>
      <c r="TXV31" s="15"/>
      <c r="TXW31" s="15"/>
      <c r="TXX31" s="15"/>
      <c r="TXY31" s="15"/>
      <c r="TXZ31" s="15"/>
      <c r="TYA31" s="15"/>
      <c r="TYB31" s="15"/>
      <c r="TYC31" s="15"/>
      <c r="TYD31" s="15"/>
      <c r="TYE31" s="15"/>
      <c r="TYF31" s="15"/>
      <c r="TYG31" s="15"/>
      <c r="TYH31" s="15"/>
      <c r="TYI31" s="15"/>
      <c r="TYJ31" s="15"/>
      <c r="TYK31" s="15"/>
      <c r="TYL31" s="15"/>
      <c r="TYM31" s="15"/>
      <c r="TYN31" s="15"/>
      <c r="TYO31" s="15"/>
      <c r="TYP31" s="15"/>
      <c r="TYQ31" s="15"/>
      <c r="TYR31" s="15"/>
      <c r="TYS31" s="15"/>
      <c r="TYT31" s="15"/>
      <c r="TYU31" s="15"/>
      <c r="TYV31" s="15"/>
      <c r="TYW31" s="15"/>
      <c r="TYX31" s="15"/>
      <c r="TYY31" s="15"/>
      <c r="TYZ31" s="15"/>
      <c r="TZA31" s="15"/>
      <c r="TZB31" s="15"/>
      <c r="TZC31" s="15"/>
      <c r="TZD31" s="15"/>
      <c r="TZE31" s="15"/>
      <c r="TZF31" s="15"/>
      <c r="TZG31" s="15"/>
      <c r="TZH31" s="15"/>
      <c r="TZI31" s="15"/>
      <c r="TZJ31" s="15"/>
      <c r="TZK31" s="15"/>
      <c r="TZL31" s="15"/>
      <c r="TZM31" s="15"/>
      <c r="TZN31" s="15"/>
      <c r="TZO31" s="15"/>
      <c r="TZP31" s="15"/>
      <c r="TZQ31" s="15"/>
      <c r="TZR31" s="15"/>
      <c r="TZS31" s="15"/>
      <c r="TZT31" s="15"/>
      <c r="TZU31" s="15"/>
      <c r="TZV31" s="15"/>
      <c r="TZW31" s="15"/>
      <c r="TZX31" s="15"/>
      <c r="TZY31" s="15"/>
      <c r="TZZ31" s="15"/>
      <c r="UAA31" s="15"/>
      <c r="UAB31" s="15"/>
      <c r="UAC31" s="15"/>
      <c r="UAD31" s="15"/>
      <c r="UAE31" s="15"/>
      <c r="UAF31" s="15"/>
      <c r="UAG31" s="15"/>
      <c r="UAH31" s="15"/>
      <c r="UAI31" s="15"/>
      <c r="UAJ31" s="15"/>
      <c r="UAK31" s="15"/>
      <c r="UAL31" s="15"/>
      <c r="UAM31" s="15"/>
      <c r="UAN31" s="15"/>
      <c r="UAO31" s="15"/>
      <c r="UAP31" s="15"/>
      <c r="UAQ31" s="15"/>
      <c r="UAR31" s="15"/>
      <c r="UAS31" s="15"/>
      <c r="UAT31" s="15"/>
      <c r="UAU31" s="15"/>
      <c r="UAV31" s="15"/>
      <c r="UAW31" s="15"/>
      <c r="UAX31" s="15"/>
      <c r="UAY31" s="15"/>
      <c r="UAZ31" s="15"/>
      <c r="UBA31" s="15"/>
      <c r="UBB31" s="15"/>
      <c r="UBC31" s="15"/>
      <c r="UBD31" s="15"/>
      <c r="UBE31" s="15"/>
      <c r="UBF31" s="15"/>
      <c r="UBG31" s="15"/>
      <c r="UBH31" s="15"/>
      <c r="UBI31" s="15"/>
      <c r="UBJ31" s="15"/>
      <c r="UBK31" s="15"/>
      <c r="UBL31" s="15"/>
      <c r="UBM31" s="15"/>
      <c r="UBN31" s="15"/>
      <c r="UBO31" s="15"/>
      <c r="UBP31" s="15"/>
      <c r="UBQ31" s="15"/>
      <c r="UBR31" s="15"/>
      <c r="UBS31" s="15"/>
      <c r="UBT31" s="15"/>
      <c r="UBU31" s="15"/>
      <c r="UBV31" s="15"/>
      <c r="UBW31" s="15"/>
      <c r="UBX31" s="15"/>
      <c r="UBY31" s="15"/>
      <c r="UBZ31" s="15"/>
      <c r="UCA31" s="15"/>
      <c r="UCB31" s="15"/>
      <c r="UCC31" s="15"/>
      <c r="UCD31" s="15"/>
      <c r="UCE31" s="15"/>
      <c r="UCF31" s="15"/>
      <c r="UCG31" s="15"/>
      <c r="UCH31" s="15"/>
      <c r="UCI31" s="15"/>
      <c r="UCJ31" s="15"/>
      <c r="UCK31" s="15"/>
      <c r="UCL31" s="15"/>
      <c r="UCM31" s="15"/>
      <c r="UCN31" s="15"/>
      <c r="UCO31" s="15"/>
      <c r="UCP31" s="15"/>
      <c r="UCQ31" s="15"/>
      <c r="UCR31" s="15"/>
      <c r="UCS31" s="15"/>
      <c r="UCT31" s="15"/>
      <c r="UCU31" s="15"/>
      <c r="UCV31" s="15"/>
      <c r="UCW31" s="15"/>
      <c r="UCX31" s="15"/>
      <c r="UCY31" s="15"/>
      <c r="UCZ31" s="15"/>
      <c r="UDA31" s="15"/>
      <c r="UDB31" s="15"/>
      <c r="UDC31" s="15"/>
      <c r="UDD31" s="15"/>
      <c r="UDE31" s="15"/>
      <c r="UDF31" s="15"/>
      <c r="UDG31" s="15"/>
      <c r="UDH31" s="15"/>
      <c r="UDI31" s="15"/>
      <c r="UDJ31" s="15"/>
      <c r="UDK31" s="15"/>
      <c r="UDL31" s="15"/>
      <c r="UDM31" s="15"/>
      <c r="UDN31" s="15"/>
      <c r="UDO31" s="15"/>
      <c r="UDP31" s="15"/>
      <c r="UDQ31" s="15"/>
      <c r="UDR31" s="15"/>
      <c r="UDS31" s="15"/>
      <c r="UDT31" s="15"/>
      <c r="UDU31" s="15"/>
      <c r="UDV31" s="15"/>
      <c r="UDW31" s="15"/>
      <c r="UDX31" s="15"/>
      <c r="UDY31" s="15"/>
      <c r="UDZ31" s="15"/>
      <c r="UEA31" s="15"/>
      <c r="UEB31" s="15"/>
      <c r="UEC31" s="15"/>
      <c r="UED31" s="15"/>
      <c r="UEE31" s="15"/>
      <c r="UEF31" s="15"/>
      <c r="UEG31" s="15"/>
      <c r="UEH31" s="15"/>
      <c r="UEI31" s="15"/>
      <c r="UEJ31" s="15"/>
      <c r="UEK31" s="15"/>
      <c r="UEL31" s="15"/>
      <c r="UEM31" s="15"/>
      <c r="UEN31" s="15"/>
      <c r="UEO31" s="15"/>
      <c r="UEP31" s="15"/>
      <c r="UEQ31" s="15"/>
      <c r="UER31" s="15"/>
      <c r="UES31" s="15"/>
      <c r="UET31" s="15"/>
      <c r="UEU31" s="15"/>
      <c r="UEV31" s="15"/>
      <c r="UEW31" s="15"/>
      <c r="UEX31" s="15"/>
      <c r="UEY31" s="15"/>
      <c r="UEZ31" s="15"/>
      <c r="UFA31" s="15"/>
      <c r="UFB31" s="15"/>
      <c r="UFC31" s="15"/>
      <c r="UFD31" s="15"/>
      <c r="UFE31" s="15"/>
      <c r="UFF31" s="15"/>
      <c r="UFG31" s="15"/>
      <c r="UFH31" s="15"/>
      <c r="UFI31" s="15"/>
      <c r="UFJ31" s="15"/>
      <c r="UFK31" s="15"/>
      <c r="UFL31" s="15"/>
      <c r="UFM31" s="15"/>
      <c r="UFN31" s="15"/>
      <c r="UFO31" s="15"/>
      <c r="UFP31" s="15"/>
      <c r="UFQ31" s="15"/>
      <c r="UFR31" s="15"/>
      <c r="UFS31" s="15"/>
      <c r="UFT31" s="15"/>
      <c r="UFU31" s="15"/>
      <c r="UFV31" s="15"/>
      <c r="UFW31" s="15"/>
      <c r="UFX31" s="15"/>
      <c r="UFY31" s="15"/>
      <c r="UFZ31" s="15"/>
      <c r="UGA31" s="15"/>
      <c r="UGB31" s="15"/>
      <c r="UGC31" s="15"/>
      <c r="UGD31" s="15"/>
      <c r="UGE31" s="15"/>
      <c r="UGF31" s="15"/>
      <c r="UGG31" s="15"/>
      <c r="UGH31" s="15"/>
      <c r="UGI31" s="15"/>
      <c r="UGJ31" s="15"/>
      <c r="UGK31" s="15"/>
      <c r="UGL31" s="15"/>
      <c r="UGM31" s="15"/>
      <c r="UGN31" s="15"/>
      <c r="UGO31" s="15"/>
      <c r="UGP31" s="15"/>
      <c r="UGQ31" s="15"/>
      <c r="UGR31" s="15"/>
      <c r="UGS31" s="15"/>
      <c r="UGT31" s="15"/>
      <c r="UGU31" s="15"/>
      <c r="UGV31" s="15"/>
      <c r="UGW31" s="15"/>
      <c r="UGX31" s="15"/>
      <c r="UGY31" s="15"/>
      <c r="UGZ31" s="15"/>
      <c r="UHA31" s="15"/>
      <c r="UHB31" s="15"/>
      <c r="UHC31" s="15"/>
      <c r="UHD31" s="15"/>
      <c r="UHE31" s="15"/>
      <c r="UHF31" s="15"/>
      <c r="UHG31" s="15"/>
      <c r="UHH31" s="15"/>
      <c r="UHI31" s="15"/>
      <c r="UHJ31" s="15"/>
      <c r="UHK31" s="15"/>
      <c r="UHL31" s="15"/>
      <c r="UHM31" s="15"/>
      <c r="UHN31" s="15"/>
      <c r="UHO31" s="15"/>
      <c r="UHP31" s="15"/>
      <c r="UHQ31" s="15"/>
      <c r="UHR31" s="15"/>
      <c r="UHS31" s="15"/>
      <c r="UHT31" s="15"/>
      <c r="UHU31" s="15"/>
      <c r="UHV31" s="15"/>
      <c r="UHW31" s="15"/>
      <c r="UHX31" s="15"/>
      <c r="UHY31" s="15"/>
      <c r="UHZ31" s="15"/>
      <c r="UIA31" s="15"/>
      <c r="UIB31" s="15"/>
      <c r="UIC31" s="15"/>
      <c r="UID31" s="15"/>
      <c r="UIE31" s="15"/>
      <c r="UIF31" s="15"/>
      <c r="UIG31" s="15"/>
      <c r="UIH31" s="15"/>
      <c r="UII31" s="15"/>
      <c r="UIJ31" s="15"/>
      <c r="UIK31" s="15"/>
      <c r="UIL31" s="15"/>
      <c r="UIM31" s="15"/>
      <c r="UIN31" s="15"/>
      <c r="UIO31" s="15"/>
      <c r="UIP31" s="15"/>
      <c r="UIQ31" s="15"/>
      <c r="UIR31" s="15"/>
      <c r="UIS31" s="15"/>
      <c r="UIT31" s="15"/>
      <c r="UIU31" s="15"/>
      <c r="UIV31" s="15"/>
      <c r="UIW31" s="15"/>
      <c r="UIX31" s="15"/>
      <c r="UIY31" s="15"/>
      <c r="UIZ31" s="15"/>
      <c r="UJA31" s="15"/>
      <c r="UJB31" s="15"/>
      <c r="UJC31" s="15"/>
      <c r="UJD31" s="15"/>
      <c r="UJE31" s="15"/>
      <c r="UJF31" s="15"/>
      <c r="UJG31" s="15"/>
      <c r="UJH31" s="15"/>
      <c r="UJI31" s="15"/>
      <c r="UJJ31" s="15"/>
      <c r="UJK31" s="15"/>
      <c r="UJL31" s="15"/>
      <c r="UJM31" s="15"/>
      <c r="UJN31" s="15"/>
      <c r="UJO31" s="15"/>
      <c r="UJP31" s="15"/>
      <c r="UJQ31" s="15"/>
      <c r="UJR31" s="15"/>
      <c r="UJS31" s="15"/>
      <c r="UJT31" s="15"/>
      <c r="UJU31" s="15"/>
      <c r="UJV31" s="15"/>
      <c r="UJW31" s="15"/>
      <c r="UJX31" s="15"/>
      <c r="UJY31" s="15"/>
      <c r="UJZ31" s="15"/>
      <c r="UKA31" s="15"/>
      <c r="UKB31" s="15"/>
      <c r="UKC31" s="15"/>
      <c r="UKD31" s="15"/>
      <c r="UKE31" s="15"/>
      <c r="UKF31" s="15"/>
      <c r="UKG31" s="15"/>
      <c r="UKH31" s="15"/>
      <c r="UKI31" s="15"/>
      <c r="UKJ31" s="15"/>
      <c r="UKK31" s="15"/>
      <c r="UKL31" s="15"/>
      <c r="UKM31" s="15"/>
      <c r="UKN31" s="15"/>
      <c r="UKO31" s="15"/>
      <c r="UKP31" s="15"/>
      <c r="UKQ31" s="15"/>
      <c r="UKR31" s="15"/>
      <c r="UKS31" s="15"/>
      <c r="UKT31" s="15"/>
      <c r="UKU31" s="15"/>
      <c r="UKV31" s="15"/>
      <c r="UKW31" s="15"/>
      <c r="UKX31" s="15"/>
      <c r="UKY31" s="15"/>
      <c r="UKZ31" s="15"/>
      <c r="ULA31" s="15"/>
      <c r="ULB31" s="15"/>
      <c r="ULC31" s="15"/>
      <c r="ULD31" s="15"/>
      <c r="ULE31" s="15"/>
      <c r="ULF31" s="15"/>
      <c r="ULG31" s="15"/>
      <c r="ULH31" s="15"/>
      <c r="ULI31" s="15"/>
      <c r="ULJ31" s="15"/>
      <c r="ULK31" s="15"/>
      <c r="ULL31" s="15"/>
      <c r="ULM31" s="15"/>
      <c r="ULN31" s="15"/>
      <c r="ULO31" s="15"/>
      <c r="ULP31" s="15"/>
      <c r="ULQ31" s="15"/>
      <c r="ULR31" s="15"/>
      <c r="ULS31" s="15"/>
      <c r="ULT31" s="15"/>
      <c r="ULU31" s="15"/>
      <c r="ULV31" s="15"/>
      <c r="ULW31" s="15"/>
      <c r="ULX31" s="15"/>
      <c r="ULY31" s="15"/>
      <c r="ULZ31" s="15"/>
      <c r="UMA31" s="15"/>
      <c r="UMB31" s="15"/>
      <c r="UMC31" s="15"/>
      <c r="UMD31" s="15"/>
      <c r="UME31" s="15"/>
      <c r="UMF31" s="15"/>
      <c r="UMG31" s="15"/>
      <c r="UMH31" s="15"/>
      <c r="UMI31" s="15"/>
      <c r="UMJ31" s="15"/>
      <c r="UMK31" s="15"/>
      <c r="UML31" s="15"/>
      <c r="UMM31" s="15"/>
      <c r="UMN31" s="15"/>
      <c r="UMO31" s="15"/>
      <c r="UMP31" s="15"/>
      <c r="UMQ31" s="15"/>
      <c r="UMR31" s="15"/>
      <c r="UMS31" s="15"/>
      <c r="UMT31" s="15"/>
      <c r="UMU31" s="15"/>
      <c r="UMV31" s="15"/>
      <c r="UMW31" s="15"/>
      <c r="UMX31" s="15"/>
      <c r="UMY31" s="15"/>
      <c r="UMZ31" s="15"/>
      <c r="UNA31" s="15"/>
      <c r="UNB31" s="15"/>
      <c r="UNC31" s="15"/>
      <c r="UND31" s="15"/>
      <c r="UNE31" s="15"/>
      <c r="UNF31" s="15"/>
      <c r="UNG31" s="15"/>
      <c r="UNH31" s="15"/>
      <c r="UNI31" s="15"/>
      <c r="UNJ31" s="15"/>
      <c r="UNK31" s="15"/>
      <c r="UNL31" s="15"/>
      <c r="UNM31" s="15"/>
      <c r="UNN31" s="15"/>
      <c r="UNO31" s="15"/>
      <c r="UNP31" s="15"/>
      <c r="UNQ31" s="15"/>
      <c r="UNR31" s="15"/>
      <c r="UNS31" s="15"/>
      <c r="UNT31" s="15"/>
      <c r="UNU31" s="15"/>
      <c r="UNV31" s="15"/>
      <c r="UNW31" s="15"/>
      <c r="UNX31" s="15"/>
      <c r="UNY31" s="15"/>
      <c r="UNZ31" s="15"/>
      <c r="UOA31" s="15"/>
      <c r="UOB31" s="15"/>
      <c r="UOC31" s="15"/>
      <c r="UOD31" s="15"/>
      <c r="UOE31" s="15"/>
      <c r="UOF31" s="15"/>
      <c r="UOG31" s="15"/>
      <c r="UOH31" s="15"/>
      <c r="UOI31" s="15"/>
      <c r="UOJ31" s="15"/>
      <c r="UOK31" s="15"/>
      <c r="UOL31" s="15"/>
      <c r="UOM31" s="15"/>
      <c r="UON31" s="15"/>
      <c r="UOO31" s="15"/>
      <c r="UOP31" s="15"/>
      <c r="UOQ31" s="15"/>
      <c r="UOR31" s="15"/>
      <c r="UOS31" s="15"/>
      <c r="UOT31" s="15"/>
      <c r="UOU31" s="15"/>
      <c r="UOV31" s="15"/>
      <c r="UOW31" s="15"/>
      <c r="UOX31" s="15"/>
      <c r="UOY31" s="15"/>
      <c r="UOZ31" s="15"/>
      <c r="UPA31" s="15"/>
      <c r="UPB31" s="15"/>
      <c r="UPC31" s="15"/>
      <c r="UPD31" s="15"/>
      <c r="UPE31" s="15"/>
      <c r="UPF31" s="15"/>
      <c r="UPG31" s="15"/>
      <c r="UPH31" s="15"/>
      <c r="UPI31" s="15"/>
      <c r="UPJ31" s="15"/>
      <c r="UPK31" s="15"/>
      <c r="UPL31" s="15"/>
      <c r="UPM31" s="15"/>
      <c r="UPN31" s="15"/>
      <c r="UPO31" s="15"/>
      <c r="UPP31" s="15"/>
      <c r="UPQ31" s="15"/>
      <c r="UPR31" s="15"/>
      <c r="UPS31" s="15"/>
      <c r="UPT31" s="15"/>
      <c r="UPU31" s="15"/>
      <c r="UPV31" s="15"/>
      <c r="UPW31" s="15"/>
      <c r="UPX31" s="15"/>
      <c r="UPY31" s="15"/>
      <c r="UPZ31" s="15"/>
      <c r="UQA31" s="15"/>
      <c r="UQB31" s="15"/>
      <c r="UQC31" s="15"/>
      <c r="UQD31" s="15"/>
      <c r="UQE31" s="15"/>
      <c r="UQF31" s="15"/>
      <c r="UQG31" s="15"/>
      <c r="UQH31" s="15"/>
      <c r="UQI31" s="15"/>
      <c r="UQJ31" s="15"/>
      <c r="UQK31" s="15"/>
      <c r="UQL31" s="15"/>
      <c r="UQM31" s="15"/>
      <c r="UQN31" s="15"/>
      <c r="UQO31" s="15"/>
      <c r="UQP31" s="15"/>
      <c r="UQQ31" s="15"/>
      <c r="UQR31" s="15"/>
      <c r="UQS31" s="15"/>
      <c r="UQT31" s="15"/>
      <c r="UQU31" s="15"/>
      <c r="UQV31" s="15"/>
      <c r="UQW31" s="15"/>
      <c r="UQX31" s="15"/>
      <c r="UQY31" s="15"/>
      <c r="UQZ31" s="15"/>
      <c r="URA31" s="15"/>
      <c r="URB31" s="15"/>
      <c r="URC31" s="15"/>
      <c r="URD31" s="15"/>
      <c r="URE31" s="15"/>
      <c r="URF31" s="15"/>
      <c r="URG31" s="15"/>
      <c r="URH31" s="15"/>
      <c r="URI31" s="15"/>
      <c r="URJ31" s="15"/>
      <c r="URK31" s="15"/>
      <c r="URL31" s="15"/>
      <c r="URM31" s="15"/>
      <c r="URN31" s="15"/>
      <c r="URO31" s="15"/>
      <c r="URP31" s="15"/>
      <c r="URQ31" s="15"/>
      <c r="URR31" s="15"/>
      <c r="URS31" s="15"/>
      <c r="URT31" s="15"/>
      <c r="URU31" s="15"/>
      <c r="URV31" s="15"/>
      <c r="URW31" s="15"/>
      <c r="URX31" s="15"/>
      <c r="URY31" s="15"/>
      <c r="URZ31" s="15"/>
      <c r="USA31" s="15"/>
      <c r="USB31" s="15"/>
      <c r="USC31" s="15"/>
      <c r="USD31" s="15"/>
      <c r="USE31" s="15"/>
      <c r="USF31" s="15"/>
      <c r="USG31" s="15"/>
      <c r="USH31" s="15"/>
      <c r="USI31" s="15"/>
      <c r="USJ31" s="15"/>
      <c r="USK31" s="15"/>
      <c r="USL31" s="15"/>
      <c r="USM31" s="15"/>
      <c r="USN31" s="15"/>
      <c r="USO31" s="15"/>
      <c r="USP31" s="15"/>
      <c r="USQ31" s="15"/>
      <c r="USR31" s="15"/>
      <c r="USS31" s="15"/>
      <c r="UST31" s="15"/>
      <c r="USU31" s="15"/>
      <c r="USV31" s="15"/>
      <c r="USW31" s="15"/>
      <c r="USX31" s="15"/>
      <c r="USY31" s="15"/>
      <c r="USZ31" s="15"/>
      <c r="UTA31" s="15"/>
      <c r="UTB31" s="15"/>
      <c r="UTC31" s="15"/>
      <c r="UTD31" s="15"/>
      <c r="UTE31" s="15"/>
      <c r="UTF31" s="15"/>
      <c r="UTG31" s="15"/>
      <c r="UTH31" s="15"/>
      <c r="UTI31" s="15"/>
      <c r="UTJ31" s="15"/>
      <c r="UTK31" s="15"/>
      <c r="UTL31" s="15"/>
      <c r="UTM31" s="15"/>
      <c r="UTN31" s="15"/>
      <c r="UTO31" s="15"/>
      <c r="UTP31" s="15"/>
      <c r="UTQ31" s="15"/>
      <c r="UTR31" s="15"/>
      <c r="UTS31" s="15"/>
      <c r="UTT31" s="15"/>
      <c r="UTU31" s="15"/>
      <c r="UTV31" s="15"/>
      <c r="UTW31" s="15"/>
      <c r="UTX31" s="15"/>
      <c r="UTY31" s="15"/>
      <c r="UTZ31" s="15"/>
      <c r="UUA31" s="15"/>
      <c r="UUB31" s="15"/>
      <c r="UUC31" s="15"/>
      <c r="UUD31" s="15"/>
      <c r="UUE31" s="15"/>
      <c r="UUF31" s="15"/>
      <c r="UUG31" s="15"/>
      <c r="UUH31" s="15"/>
      <c r="UUI31" s="15"/>
      <c r="UUJ31" s="15"/>
      <c r="UUK31" s="15"/>
      <c r="UUL31" s="15"/>
      <c r="UUM31" s="15"/>
      <c r="UUN31" s="15"/>
      <c r="UUO31" s="15"/>
      <c r="UUP31" s="15"/>
      <c r="UUQ31" s="15"/>
      <c r="UUR31" s="15"/>
      <c r="UUS31" s="15"/>
      <c r="UUT31" s="15"/>
      <c r="UUU31" s="15"/>
      <c r="UUV31" s="15"/>
      <c r="UUW31" s="15"/>
      <c r="UUX31" s="15"/>
      <c r="UUY31" s="15"/>
      <c r="UUZ31" s="15"/>
      <c r="UVA31" s="15"/>
      <c r="UVB31" s="15"/>
      <c r="UVC31" s="15"/>
      <c r="UVD31" s="15"/>
      <c r="UVE31" s="15"/>
      <c r="UVF31" s="15"/>
      <c r="UVG31" s="15"/>
      <c r="UVH31" s="15"/>
      <c r="UVI31" s="15"/>
      <c r="UVJ31" s="15"/>
      <c r="UVK31" s="15"/>
      <c r="UVL31" s="15"/>
      <c r="UVM31" s="15"/>
      <c r="UVN31" s="15"/>
      <c r="UVO31" s="15"/>
      <c r="UVP31" s="15"/>
      <c r="UVQ31" s="15"/>
      <c r="UVR31" s="15"/>
      <c r="UVS31" s="15"/>
      <c r="UVT31" s="15"/>
      <c r="UVU31" s="15"/>
      <c r="UVV31" s="15"/>
      <c r="UVW31" s="15"/>
      <c r="UVX31" s="15"/>
      <c r="UVY31" s="15"/>
      <c r="UVZ31" s="15"/>
      <c r="UWA31" s="15"/>
      <c r="UWB31" s="15"/>
      <c r="UWC31" s="15"/>
      <c r="UWD31" s="15"/>
      <c r="UWE31" s="15"/>
      <c r="UWF31" s="15"/>
      <c r="UWG31" s="15"/>
      <c r="UWH31" s="15"/>
      <c r="UWI31" s="15"/>
      <c r="UWJ31" s="15"/>
      <c r="UWK31" s="15"/>
      <c r="UWL31" s="15"/>
      <c r="UWM31" s="15"/>
      <c r="UWN31" s="15"/>
      <c r="UWO31" s="15"/>
      <c r="UWP31" s="15"/>
      <c r="UWQ31" s="15"/>
      <c r="UWR31" s="15"/>
      <c r="UWS31" s="15"/>
      <c r="UWT31" s="15"/>
      <c r="UWU31" s="15"/>
      <c r="UWV31" s="15"/>
      <c r="UWW31" s="15"/>
      <c r="UWX31" s="15"/>
      <c r="UWY31" s="15"/>
      <c r="UWZ31" s="15"/>
      <c r="UXA31" s="15"/>
      <c r="UXB31" s="15"/>
      <c r="UXC31" s="15"/>
      <c r="UXD31" s="15"/>
      <c r="UXE31" s="15"/>
      <c r="UXF31" s="15"/>
      <c r="UXG31" s="15"/>
      <c r="UXH31" s="15"/>
      <c r="UXI31" s="15"/>
      <c r="UXJ31" s="15"/>
      <c r="UXK31" s="15"/>
      <c r="UXL31" s="15"/>
      <c r="UXM31" s="15"/>
      <c r="UXN31" s="15"/>
      <c r="UXO31" s="15"/>
      <c r="UXP31" s="15"/>
      <c r="UXQ31" s="15"/>
      <c r="UXR31" s="15"/>
      <c r="UXS31" s="15"/>
      <c r="UXT31" s="15"/>
      <c r="UXU31" s="15"/>
      <c r="UXV31" s="15"/>
      <c r="UXW31" s="15"/>
      <c r="UXX31" s="15"/>
      <c r="UXY31" s="15"/>
      <c r="UXZ31" s="15"/>
      <c r="UYA31" s="15"/>
      <c r="UYB31" s="15"/>
      <c r="UYC31" s="15"/>
      <c r="UYD31" s="15"/>
      <c r="UYE31" s="15"/>
      <c r="UYF31" s="15"/>
      <c r="UYG31" s="15"/>
      <c r="UYH31" s="15"/>
      <c r="UYI31" s="15"/>
      <c r="UYJ31" s="15"/>
      <c r="UYK31" s="15"/>
      <c r="UYL31" s="15"/>
      <c r="UYM31" s="15"/>
      <c r="UYN31" s="15"/>
      <c r="UYO31" s="15"/>
      <c r="UYP31" s="15"/>
      <c r="UYQ31" s="15"/>
      <c r="UYR31" s="15"/>
      <c r="UYS31" s="15"/>
      <c r="UYT31" s="15"/>
      <c r="UYU31" s="15"/>
      <c r="UYV31" s="15"/>
      <c r="UYW31" s="15"/>
      <c r="UYX31" s="15"/>
      <c r="UYY31" s="15"/>
      <c r="UYZ31" s="15"/>
      <c r="UZA31" s="15"/>
      <c r="UZB31" s="15"/>
      <c r="UZC31" s="15"/>
      <c r="UZD31" s="15"/>
      <c r="UZE31" s="15"/>
      <c r="UZF31" s="15"/>
      <c r="UZG31" s="15"/>
      <c r="UZH31" s="15"/>
      <c r="UZI31" s="15"/>
      <c r="UZJ31" s="15"/>
      <c r="UZK31" s="15"/>
      <c r="UZL31" s="15"/>
      <c r="UZM31" s="15"/>
      <c r="UZN31" s="15"/>
      <c r="UZO31" s="15"/>
      <c r="UZP31" s="15"/>
      <c r="UZQ31" s="15"/>
      <c r="UZR31" s="15"/>
      <c r="UZS31" s="15"/>
      <c r="UZT31" s="15"/>
      <c r="UZU31" s="15"/>
      <c r="UZV31" s="15"/>
      <c r="UZW31" s="15"/>
      <c r="UZX31" s="15"/>
      <c r="UZY31" s="15"/>
      <c r="UZZ31" s="15"/>
      <c r="VAA31" s="15"/>
      <c r="VAB31" s="15"/>
      <c r="VAC31" s="15"/>
      <c r="VAD31" s="15"/>
      <c r="VAE31" s="15"/>
      <c r="VAF31" s="15"/>
      <c r="VAG31" s="15"/>
      <c r="VAH31" s="15"/>
      <c r="VAI31" s="15"/>
      <c r="VAJ31" s="15"/>
      <c r="VAK31" s="15"/>
      <c r="VAL31" s="15"/>
      <c r="VAM31" s="15"/>
      <c r="VAN31" s="15"/>
      <c r="VAO31" s="15"/>
      <c r="VAP31" s="15"/>
      <c r="VAQ31" s="15"/>
      <c r="VAR31" s="15"/>
      <c r="VAS31" s="15"/>
      <c r="VAT31" s="15"/>
      <c r="VAU31" s="15"/>
      <c r="VAV31" s="15"/>
      <c r="VAW31" s="15"/>
      <c r="VAX31" s="15"/>
      <c r="VAY31" s="15"/>
      <c r="VAZ31" s="15"/>
      <c r="VBA31" s="15"/>
      <c r="VBB31" s="15"/>
      <c r="VBC31" s="15"/>
      <c r="VBD31" s="15"/>
      <c r="VBE31" s="15"/>
      <c r="VBF31" s="15"/>
      <c r="VBG31" s="15"/>
      <c r="VBH31" s="15"/>
      <c r="VBI31" s="15"/>
      <c r="VBJ31" s="15"/>
      <c r="VBK31" s="15"/>
      <c r="VBL31" s="15"/>
      <c r="VBM31" s="15"/>
      <c r="VBN31" s="15"/>
      <c r="VBO31" s="15"/>
      <c r="VBP31" s="15"/>
      <c r="VBQ31" s="15"/>
      <c r="VBR31" s="15"/>
      <c r="VBS31" s="15"/>
      <c r="VBT31" s="15"/>
      <c r="VBU31" s="15"/>
      <c r="VBV31" s="15"/>
      <c r="VBW31" s="15"/>
      <c r="VBX31" s="15"/>
      <c r="VBY31" s="15"/>
      <c r="VBZ31" s="15"/>
      <c r="VCA31" s="15"/>
      <c r="VCB31" s="15"/>
      <c r="VCC31" s="15"/>
      <c r="VCD31" s="15"/>
      <c r="VCE31" s="15"/>
      <c r="VCF31" s="15"/>
      <c r="VCG31" s="15"/>
      <c r="VCH31" s="15"/>
      <c r="VCI31" s="15"/>
      <c r="VCJ31" s="15"/>
      <c r="VCK31" s="15"/>
      <c r="VCL31" s="15"/>
      <c r="VCM31" s="15"/>
      <c r="VCN31" s="15"/>
      <c r="VCO31" s="15"/>
      <c r="VCP31" s="15"/>
      <c r="VCQ31" s="15"/>
      <c r="VCR31" s="15"/>
      <c r="VCS31" s="15"/>
      <c r="VCT31" s="15"/>
      <c r="VCU31" s="15"/>
      <c r="VCV31" s="15"/>
      <c r="VCW31" s="15"/>
      <c r="VCX31" s="15"/>
      <c r="VCY31" s="15"/>
      <c r="VCZ31" s="15"/>
      <c r="VDA31" s="15"/>
      <c r="VDB31" s="15"/>
      <c r="VDC31" s="15"/>
      <c r="VDD31" s="15"/>
      <c r="VDE31" s="15"/>
      <c r="VDF31" s="15"/>
      <c r="VDG31" s="15"/>
      <c r="VDH31" s="15"/>
      <c r="VDI31" s="15"/>
      <c r="VDJ31" s="15"/>
      <c r="VDK31" s="15"/>
      <c r="VDL31" s="15"/>
      <c r="VDM31" s="15"/>
      <c r="VDN31" s="15"/>
      <c r="VDO31" s="15"/>
      <c r="VDP31" s="15"/>
      <c r="VDQ31" s="15"/>
      <c r="VDR31" s="15"/>
      <c r="VDS31" s="15"/>
      <c r="VDT31" s="15"/>
      <c r="VDU31" s="15"/>
      <c r="VDV31" s="15"/>
      <c r="VDW31" s="15"/>
      <c r="VDX31" s="15"/>
      <c r="VDY31" s="15"/>
      <c r="VDZ31" s="15"/>
      <c r="VEA31" s="15"/>
      <c r="VEB31" s="15"/>
      <c r="VEC31" s="15"/>
      <c r="VED31" s="15"/>
      <c r="VEE31" s="15"/>
      <c r="VEF31" s="15"/>
      <c r="VEG31" s="15"/>
      <c r="VEH31" s="15"/>
      <c r="VEI31" s="15"/>
      <c r="VEJ31" s="15"/>
      <c r="VEK31" s="15"/>
      <c r="VEL31" s="15"/>
      <c r="VEM31" s="15"/>
      <c r="VEN31" s="15"/>
      <c r="VEO31" s="15"/>
      <c r="VEP31" s="15"/>
      <c r="VEQ31" s="15"/>
      <c r="VER31" s="15"/>
      <c r="VES31" s="15"/>
      <c r="VET31" s="15"/>
      <c r="VEU31" s="15"/>
      <c r="VEV31" s="15"/>
      <c r="VEW31" s="15"/>
      <c r="VEX31" s="15"/>
      <c r="VEY31" s="15"/>
      <c r="VEZ31" s="15"/>
      <c r="VFA31" s="15"/>
      <c r="VFB31" s="15"/>
      <c r="VFC31" s="15"/>
      <c r="VFD31" s="15"/>
      <c r="VFE31" s="15"/>
      <c r="VFF31" s="15"/>
      <c r="VFG31" s="15"/>
      <c r="VFH31" s="15"/>
      <c r="VFI31" s="15"/>
      <c r="VFJ31" s="15"/>
      <c r="VFK31" s="15"/>
      <c r="VFL31" s="15"/>
      <c r="VFM31" s="15"/>
      <c r="VFN31" s="15"/>
      <c r="VFO31" s="15"/>
      <c r="VFP31" s="15"/>
      <c r="VFQ31" s="15"/>
      <c r="VFR31" s="15"/>
      <c r="VFS31" s="15"/>
      <c r="VFT31" s="15"/>
      <c r="VFU31" s="15"/>
      <c r="VFV31" s="15"/>
      <c r="VFW31" s="15"/>
      <c r="VFX31" s="15"/>
      <c r="VFY31" s="15"/>
      <c r="VFZ31" s="15"/>
      <c r="VGA31" s="15"/>
      <c r="VGB31" s="15"/>
      <c r="VGC31" s="15"/>
      <c r="VGD31" s="15"/>
      <c r="VGE31" s="15"/>
      <c r="VGF31" s="15"/>
      <c r="VGG31" s="15"/>
      <c r="VGH31" s="15"/>
      <c r="VGI31" s="15"/>
      <c r="VGJ31" s="15"/>
      <c r="VGK31" s="15"/>
      <c r="VGL31" s="15"/>
      <c r="VGM31" s="15"/>
      <c r="VGN31" s="15"/>
      <c r="VGO31" s="15"/>
      <c r="VGP31" s="15"/>
      <c r="VGQ31" s="15"/>
      <c r="VGR31" s="15"/>
      <c r="VGS31" s="15"/>
      <c r="VGT31" s="15"/>
      <c r="VGU31" s="15"/>
      <c r="VGV31" s="15"/>
      <c r="VGW31" s="15"/>
      <c r="VGX31" s="15"/>
      <c r="VGY31" s="15"/>
      <c r="VGZ31" s="15"/>
      <c r="VHA31" s="15"/>
      <c r="VHB31" s="15"/>
      <c r="VHC31" s="15"/>
      <c r="VHD31" s="15"/>
      <c r="VHE31" s="15"/>
      <c r="VHF31" s="15"/>
      <c r="VHG31" s="15"/>
      <c r="VHH31" s="15"/>
      <c r="VHI31" s="15"/>
      <c r="VHJ31" s="15"/>
      <c r="VHK31" s="15"/>
      <c r="VHL31" s="15"/>
      <c r="VHM31" s="15"/>
      <c r="VHN31" s="15"/>
      <c r="VHO31" s="15"/>
      <c r="VHP31" s="15"/>
      <c r="VHQ31" s="15"/>
      <c r="VHR31" s="15"/>
      <c r="VHS31" s="15"/>
      <c r="VHT31" s="15"/>
      <c r="VHU31" s="15"/>
      <c r="VHV31" s="15"/>
      <c r="VHW31" s="15"/>
      <c r="VHX31" s="15"/>
      <c r="VHY31" s="15"/>
      <c r="VHZ31" s="15"/>
      <c r="VIA31" s="15"/>
      <c r="VIB31" s="15"/>
      <c r="VIC31" s="15"/>
      <c r="VID31" s="15"/>
      <c r="VIE31" s="15"/>
      <c r="VIF31" s="15"/>
      <c r="VIG31" s="15"/>
      <c r="VIH31" s="15"/>
      <c r="VII31" s="15"/>
      <c r="VIJ31" s="15"/>
      <c r="VIK31" s="15"/>
      <c r="VIL31" s="15"/>
      <c r="VIM31" s="15"/>
      <c r="VIN31" s="15"/>
      <c r="VIO31" s="15"/>
      <c r="VIP31" s="15"/>
      <c r="VIQ31" s="15"/>
      <c r="VIR31" s="15"/>
      <c r="VIS31" s="15"/>
      <c r="VIT31" s="15"/>
      <c r="VIU31" s="15"/>
      <c r="VIV31" s="15"/>
      <c r="VIW31" s="15"/>
      <c r="VIX31" s="15"/>
      <c r="VIY31" s="15"/>
      <c r="VIZ31" s="15"/>
      <c r="VJA31" s="15"/>
      <c r="VJB31" s="15"/>
      <c r="VJC31" s="15"/>
      <c r="VJD31" s="15"/>
      <c r="VJE31" s="15"/>
      <c r="VJF31" s="15"/>
      <c r="VJG31" s="15"/>
      <c r="VJH31" s="15"/>
      <c r="VJI31" s="15"/>
      <c r="VJJ31" s="15"/>
      <c r="VJK31" s="15"/>
      <c r="VJL31" s="15"/>
      <c r="VJM31" s="15"/>
      <c r="VJN31" s="15"/>
      <c r="VJO31" s="15"/>
      <c r="VJP31" s="15"/>
      <c r="VJQ31" s="15"/>
      <c r="VJR31" s="15"/>
      <c r="VJS31" s="15"/>
      <c r="VJT31" s="15"/>
      <c r="VJU31" s="15"/>
      <c r="VJV31" s="15"/>
      <c r="VJW31" s="15"/>
      <c r="VJX31" s="15"/>
      <c r="VJY31" s="15"/>
      <c r="VJZ31" s="15"/>
      <c r="VKA31" s="15"/>
      <c r="VKB31" s="15"/>
      <c r="VKC31" s="15"/>
      <c r="VKD31" s="15"/>
      <c r="VKE31" s="15"/>
      <c r="VKF31" s="15"/>
      <c r="VKG31" s="15"/>
      <c r="VKH31" s="15"/>
      <c r="VKI31" s="15"/>
      <c r="VKJ31" s="15"/>
      <c r="VKK31" s="15"/>
      <c r="VKL31" s="15"/>
      <c r="VKM31" s="15"/>
      <c r="VKN31" s="15"/>
      <c r="VKO31" s="15"/>
      <c r="VKP31" s="15"/>
      <c r="VKQ31" s="15"/>
      <c r="VKR31" s="15"/>
      <c r="VKS31" s="15"/>
      <c r="VKT31" s="15"/>
      <c r="VKU31" s="15"/>
      <c r="VKV31" s="15"/>
      <c r="VKW31" s="15"/>
      <c r="VKX31" s="15"/>
      <c r="VKY31" s="15"/>
      <c r="VKZ31" s="15"/>
      <c r="VLA31" s="15"/>
      <c r="VLB31" s="15"/>
      <c r="VLC31" s="15"/>
      <c r="VLD31" s="15"/>
      <c r="VLE31" s="15"/>
      <c r="VLF31" s="15"/>
      <c r="VLG31" s="15"/>
      <c r="VLH31" s="15"/>
      <c r="VLI31" s="15"/>
      <c r="VLJ31" s="15"/>
      <c r="VLK31" s="15"/>
      <c r="VLL31" s="15"/>
      <c r="VLM31" s="15"/>
      <c r="VLN31" s="15"/>
      <c r="VLO31" s="15"/>
      <c r="VLP31" s="15"/>
      <c r="VLQ31" s="15"/>
      <c r="VLR31" s="15"/>
      <c r="VLS31" s="15"/>
      <c r="VLT31" s="15"/>
      <c r="VLU31" s="15"/>
      <c r="VLV31" s="15"/>
      <c r="VLW31" s="15"/>
      <c r="VLX31" s="15"/>
      <c r="VLY31" s="15"/>
      <c r="VLZ31" s="15"/>
      <c r="VMA31" s="15"/>
      <c r="VMB31" s="15"/>
      <c r="VMC31" s="15"/>
      <c r="VMD31" s="15"/>
      <c r="VME31" s="15"/>
      <c r="VMF31" s="15"/>
      <c r="VMG31" s="15"/>
      <c r="VMH31" s="15"/>
      <c r="VMI31" s="15"/>
      <c r="VMJ31" s="15"/>
      <c r="VMK31" s="15"/>
      <c r="VML31" s="15"/>
      <c r="VMM31" s="15"/>
      <c r="VMN31" s="15"/>
      <c r="VMO31" s="15"/>
      <c r="VMP31" s="15"/>
      <c r="VMQ31" s="15"/>
      <c r="VMR31" s="15"/>
      <c r="VMS31" s="15"/>
      <c r="VMT31" s="15"/>
      <c r="VMU31" s="15"/>
      <c r="VMV31" s="15"/>
      <c r="VMW31" s="15"/>
      <c r="VMX31" s="15"/>
      <c r="VMY31" s="15"/>
      <c r="VMZ31" s="15"/>
      <c r="VNA31" s="15"/>
      <c r="VNB31" s="15"/>
      <c r="VNC31" s="15"/>
      <c r="VND31" s="15"/>
      <c r="VNE31" s="15"/>
      <c r="VNF31" s="15"/>
      <c r="VNG31" s="15"/>
      <c r="VNH31" s="15"/>
      <c r="VNI31" s="15"/>
      <c r="VNJ31" s="15"/>
      <c r="VNK31" s="15"/>
      <c r="VNL31" s="15"/>
      <c r="VNM31" s="15"/>
      <c r="VNN31" s="15"/>
      <c r="VNO31" s="15"/>
      <c r="VNP31" s="15"/>
      <c r="VNQ31" s="15"/>
      <c r="VNR31" s="15"/>
      <c r="VNS31" s="15"/>
      <c r="VNT31" s="15"/>
      <c r="VNU31" s="15"/>
      <c r="VNV31" s="15"/>
      <c r="VNW31" s="15"/>
      <c r="VNX31" s="15"/>
      <c r="VNY31" s="15"/>
      <c r="VNZ31" s="15"/>
      <c r="VOA31" s="15"/>
      <c r="VOB31" s="15"/>
      <c r="VOC31" s="15"/>
      <c r="VOD31" s="15"/>
      <c r="VOE31" s="15"/>
      <c r="VOF31" s="15"/>
      <c r="VOG31" s="15"/>
      <c r="VOH31" s="15"/>
      <c r="VOI31" s="15"/>
      <c r="VOJ31" s="15"/>
      <c r="VOK31" s="15"/>
      <c r="VOL31" s="15"/>
      <c r="VOM31" s="15"/>
      <c r="VON31" s="15"/>
      <c r="VOO31" s="15"/>
      <c r="VOP31" s="15"/>
      <c r="VOQ31" s="15"/>
      <c r="VOR31" s="15"/>
      <c r="VOS31" s="15"/>
      <c r="VOT31" s="15"/>
      <c r="VOU31" s="15"/>
      <c r="VOV31" s="15"/>
      <c r="VOW31" s="15"/>
      <c r="VOX31" s="15"/>
      <c r="VOY31" s="15"/>
      <c r="VOZ31" s="15"/>
      <c r="VPA31" s="15"/>
      <c r="VPB31" s="15"/>
      <c r="VPC31" s="15"/>
      <c r="VPD31" s="15"/>
      <c r="VPE31" s="15"/>
      <c r="VPF31" s="15"/>
      <c r="VPG31" s="15"/>
      <c r="VPH31" s="15"/>
      <c r="VPI31" s="15"/>
      <c r="VPJ31" s="15"/>
      <c r="VPK31" s="15"/>
      <c r="VPL31" s="15"/>
      <c r="VPM31" s="15"/>
      <c r="VPN31" s="15"/>
      <c r="VPO31" s="15"/>
      <c r="VPP31" s="15"/>
      <c r="VPQ31" s="15"/>
      <c r="VPR31" s="15"/>
      <c r="VPS31" s="15"/>
      <c r="VPT31" s="15"/>
      <c r="VPU31" s="15"/>
      <c r="VPV31" s="15"/>
      <c r="VPW31" s="15"/>
      <c r="VPX31" s="15"/>
      <c r="VPY31" s="15"/>
      <c r="VPZ31" s="15"/>
      <c r="VQA31" s="15"/>
      <c r="VQB31" s="15"/>
      <c r="VQC31" s="15"/>
      <c r="VQD31" s="15"/>
      <c r="VQE31" s="15"/>
      <c r="VQF31" s="15"/>
      <c r="VQG31" s="15"/>
      <c r="VQH31" s="15"/>
      <c r="VQI31" s="15"/>
      <c r="VQJ31" s="15"/>
      <c r="VQK31" s="15"/>
      <c r="VQL31" s="15"/>
      <c r="VQM31" s="15"/>
      <c r="VQN31" s="15"/>
      <c r="VQO31" s="15"/>
      <c r="VQP31" s="15"/>
      <c r="VQQ31" s="15"/>
      <c r="VQR31" s="15"/>
      <c r="VQS31" s="15"/>
      <c r="VQT31" s="15"/>
      <c r="VQU31" s="15"/>
      <c r="VQV31" s="15"/>
      <c r="VQW31" s="15"/>
      <c r="VQX31" s="15"/>
      <c r="VQY31" s="15"/>
      <c r="VQZ31" s="15"/>
      <c r="VRA31" s="15"/>
      <c r="VRB31" s="15"/>
      <c r="VRC31" s="15"/>
      <c r="VRD31" s="15"/>
      <c r="VRE31" s="15"/>
      <c r="VRF31" s="15"/>
      <c r="VRG31" s="15"/>
      <c r="VRH31" s="15"/>
      <c r="VRI31" s="15"/>
      <c r="VRJ31" s="15"/>
      <c r="VRK31" s="15"/>
      <c r="VRL31" s="15"/>
      <c r="VRM31" s="15"/>
      <c r="VRN31" s="15"/>
      <c r="VRO31" s="15"/>
      <c r="VRP31" s="15"/>
      <c r="VRQ31" s="15"/>
      <c r="VRR31" s="15"/>
      <c r="VRS31" s="15"/>
      <c r="VRT31" s="15"/>
      <c r="VRU31" s="15"/>
      <c r="VRV31" s="15"/>
      <c r="VRW31" s="15"/>
      <c r="VRX31" s="15"/>
      <c r="VRY31" s="15"/>
      <c r="VRZ31" s="15"/>
      <c r="VSA31" s="15"/>
      <c r="VSB31" s="15"/>
      <c r="VSC31" s="15"/>
      <c r="VSD31" s="15"/>
      <c r="VSE31" s="15"/>
      <c r="VSF31" s="15"/>
      <c r="VSG31" s="15"/>
      <c r="VSH31" s="15"/>
      <c r="VSI31" s="15"/>
      <c r="VSJ31" s="15"/>
      <c r="VSK31" s="15"/>
      <c r="VSL31" s="15"/>
      <c r="VSM31" s="15"/>
      <c r="VSN31" s="15"/>
      <c r="VSO31" s="15"/>
      <c r="VSP31" s="15"/>
      <c r="VSQ31" s="15"/>
      <c r="VSR31" s="15"/>
      <c r="VSS31" s="15"/>
      <c r="VST31" s="15"/>
      <c r="VSU31" s="15"/>
      <c r="VSV31" s="15"/>
      <c r="VSW31" s="15"/>
      <c r="VSX31" s="15"/>
      <c r="VSY31" s="15"/>
      <c r="VSZ31" s="15"/>
      <c r="VTA31" s="15"/>
      <c r="VTB31" s="15"/>
      <c r="VTC31" s="15"/>
      <c r="VTD31" s="15"/>
      <c r="VTE31" s="15"/>
      <c r="VTF31" s="15"/>
      <c r="VTG31" s="15"/>
      <c r="VTH31" s="15"/>
      <c r="VTI31" s="15"/>
      <c r="VTJ31" s="15"/>
      <c r="VTK31" s="15"/>
      <c r="VTL31" s="15"/>
      <c r="VTM31" s="15"/>
      <c r="VTN31" s="15"/>
      <c r="VTO31" s="15"/>
      <c r="VTP31" s="15"/>
      <c r="VTQ31" s="15"/>
      <c r="VTR31" s="15"/>
      <c r="VTS31" s="15"/>
      <c r="VTT31" s="15"/>
      <c r="VTU31" s="15"/>
      <c r="VTV31" s="15"/>
      <c r="VTW31" s="15"/>
      <c r="VTX31" s="15"/>
      <c r="VTY31" s="15"/>
      <c r="VTZ31" s="15"/>
      <c r="VUA31" s="15"/>
      <c r="VUB31" s="15"/>
      <c r="VUC31" s="15"/>
      <c r="VUD31" s="15"/>
      <c r="VUE31" s="15"/>
      <c r="VUF31" s="15"/>
      <c r="VUG31" s="15"/>
      <c r="VUH31" s="15"/>
      <c r="VUI31" s="15"/>
      <c r="VUJ31" s="15"/>
      <c r="VUK31" s="15"/>
      <c r="VUL31" s="15"/>
      <c r="VUM31" s="15"/>
      <c r="VUN31" s="15"/>
      <c r="VUO31" s="15"/>
      <c r="VUP31" s="15"/>
      <c r="VUQ31" s="15"/>
      <c r="VUR31" s="15"/>
      <c r="VUS31" s="15"/>
      <c r="VUT31" s="15"/>
      <c r="VUU31" s="15"/>
      <c r="VUV31" s="15"/>
      <c r="VUW31" s="15"/>
      <c r="VUX31" s="15"/>
      <c r="VUY31" s="15"/>
      <c r="VUZ31" s="15"/>
      <c r="VVA31" s="15"/>
      <c r="VVB31" s="15"/>
      <c r="VVC31" s="15"/>
      <c r="VVD31" s="15"/>
      <c r="VVE31" s="15"/>
      <c r="VVF31" s="15"/>
      <c r="VVG31" s="15"/>
      <c r="VVH31" s="15"/>
      <c r="VVI31" s="15"/>
      <c r="VVJ31" s="15"/>
      <c r="VVK31" s="15"/>
      <c r="VVL31" s="15"/>
      <c r="VVM31" s="15"/>
      <c r="VVN31" s="15"/>
      <c r="VVO31" s="15"/>
      <c r="VVP31" s="15"/>
      <c r="VVQ31" s="15"/>
      <c r="VVR31" s="15"/>
      <c r="VVS31" s="15"/>
      <c r="VVT31" s="15"/>
      <c r="VVU31" s="15"/>
      <c r="VVV31" s="15"/>
      <c r="VVW31" s="15"/>
      <c r="VVX31" s="15"/>
      <c r="VVY31" s="15"/>
      <c r="VVZ31" s="15"/>
      <c r="VWA31" s="15"/>
      <c r="VWB31" s="15"/>
      <c r="VWC31" s="15"/>
      <c r="VWD31" s="15"/>
      <c r="VWE31" s="15"/>
      <c r="VWF31" s="15"/>
      <c r="VWG31" s="15"/>
      <c r="VWH31" s="15"/>
      <c r="VWI31" s="15"/>
      <c r="VWJ31" s="15"/>
      <c r="VWK31" s="15"/>
      <c r="VWL31" s="15"/>
      <c r="VWM31" s="15"/>
      <c r="VWN31" s="15"/>
      <c r="VWO31" s="15"/>
      <c r="VWP31" s="15"/>
      <c r="VWQ31" s="15"/>
      <c r="VWR31" s="15"/>
      <c r="VWS31" s="15"/>
      <c r="VWT31" s="15"/>
      <c r="VWU31" s="15"/>
      <c r="VWV31" s="15"/>
      <c r="VWW31" s="15"/>
      <c r="VWX31" s="15"/>
      <c r="VWY31" s="15"/>
      <c r="VWZ31" s="15"/>
      <c r="VXA31" s="15"/>
      <c r="VXB31" s="15"/>
      <c r="VXC31" s="15"/>
      <c r="VXD31" s="15"/>
      <c r="VXE31" s="15"/>
      <c r="VXF31" s="15"/>
      <c r="VXG31" s="15"/>
      <c r="VXH31" s="15"/>
      <c r="VXI31" s="15"/>
      <c r="VXJ31" s="15"/>
      <c r="VXK31" s="15"/>
      <c r="VXL31" s="15"/>
      <c r="VXM31" s="15"/>
      <c r="VXN31" s="15"/>
      <c r="VXO31" s="15"/>
      <c r="VXP31" s="15"/>
      <c r="VXQ31" s="15"/>
      <c r="VXR31" s="15"/>
      <c r="VXS31" s="15"/>
      <c r="VXT31" s="15"/>
      <c r="VXU31" s="15"/>
      <c r="VXV31" s="15"/>
      <c r="VXW31" s="15"/>
      <c r="VXX31" s="15"/>
      <c r="VXY31" s="15"/>
      <c r="VXZ31" s="15"/>
      <c r="VYA31" s="15"/>
      <c r="VYB31" s="15"/>
      <c r="VYC31" s="15"/>
      <c r="VYD31" s="15"/>
      <c r="VYE31" s="15"/>
      <c r="VYF31" s="15"/>
      <c r="VYG31" s="15"/>
      <c r="VYH31" s="15"/>
      <c r="VYI31" s="15"/>
      <c r="VYJ31" s="15"/>
      <c r="VYK31" s="15"/>
      <c r="VYL31" s="15"/>
      <c r="VYM31" s="15"/>
      <c r="VYN31" s="15"/>
      <c r="VYO31" s="15"/>
      <c r="VYP31" s="15"/>
      <c r="VYQ31" s="15"/>
      <c r="VYR31" s="15"/>
      <c r="VYS31" s="15"/>
      <c r="VYT31" s="15"/>
      <c r="VYU31" s="15"/>
      <c r="VYV31" s="15"/>
      <c r="VYW31" s="15"/>
      <c r="VYX31" s="15"/>
      <c r="VYY31" s="15"/>
      <c r="VYZ31" s="15"/>
      <c r="VZA31" s="15"/>
      <c r="VZB31" s="15"/>
      <c r="VZC31" s="15"/>
      <c r="VZD31" s="15"/>
      <c r="VZE31" s="15"/>
      <c r="VZF31" s="15"/>
      <c r="VZG31" s="15"/>
      <c r="VZH31" s="15"/>
      <c r="VZI31" s="15"/>
      <c r="VZJ31" s="15"/>
      <c r="VZK31" s="15"/>
      <c r="VZL31" s="15"/>
      <c r="VZM31" s="15"/>
      <c r="VZN31" s="15"/>
      <c r="VZO31" s="15"/>
      <c r="VZP31" s="15"/>
      <c r="VZQ31" s="15"/>
      <c r="VZR31" s="15"/>
      <c r="VZS31" s="15"/>
      <c r="VZT31" s="15"/>
      <c r="VZU31" s="15"/>
      <c r="VZV31" s="15"/>
      <c r="VZW31" s="15"/>
      <c r="VZX31" s="15"/>
      <c r="VZY31" s="15"/>
      <c r="VZZ31" s="15"/>
      <c r="WAA31" s="15"/>
      <c r="WAB31" s="15"/>
      <c r="WAC31" s="15"/>
      <c r="WAD31" s="15"/>
      <c r="WAE31" s="15"/>
      <c r="WAF31" s="15"/>
      <c r="WAG31" s="15"/>
      <c r="WAH31" s="15"/>
      <c r="WAI31" s="15"/>
      <c r="WAJ31" s="15"/>
      <c r="WAK31" s="15"/>
      <c r="WAL31" s="15"/>
      <c r="WAM31" s="15"/>
      <c r="WAN31" s="15"/>
      <c r="WAO31" s="15"/>
      <c r="WAP31" s="15"/>
      <c r="WAQ31" s="15"/>
      <c r="WAR31" s="15"/>
      <c r="WAS31" s="15"/>
      <c r="WAT31" s="15"/>
      <c r="WAU31" s="15"/>
      <c r="WAV31" s="15"/>
      <c r="WAW31" s="15"/>
      <c r="WAX31" s="15"/>
      <c r="WAY31" s="15"/>
      <c r="WAZ31" s="15"/>
      <c r="WBA31" s="15"/>
      <c r="WBB31" s="15"/>
      <c r="WBC31" s="15"/>
      <c r="WBD31" s="15"/>
      <c r="WBE31" s="15"/>
      <c r="WBF31" s="15"/>
      <c r="WBG31" s="15"/>
      <c r="WBH31" s="15"/>
      <c r="WBI31" s="15"/>
      <c r="WBJ31" s="15"/>
      <c r="WBK31" s="15"/>
      <c r="WBL31" s="15"/>
      <c r="WBM31" s="15"/>
      <c r="WBN31" s="15"/>
      <c r="WBO31" s="15"/>
      <c r="WBP31" s="15"/>
      <c r="WBQ31" s="15"/>
      <c r="WBR31" s="15"/>
      <c r="WBS31" s="15"/>
      <c r="WBT31" s="15"/>
      <c r="WBU31" s="15"/>
      <c r="WBV31" s="15"/>
      <c r="WBW31" s="15"/>
      <c r="WBX31" s="15"/>
      <c r="WBY31" s="15"/>
      <c r="WBZ31" s="15"/>
      <c r="WCA31" s="15"/>
      <c r="WCB31" s="15"/>
      <c r="WCC31" s="15"/>
      <c r="WCD31" s="15"/>
      <c r="WCE31" s="15"/>
      <c r="WCF31" s="15"/>
      <c r="WCG31" s="15"/>
      <c r="WCH31" s="15"/>
      <c r="WCI31" s="15"/>
      <c r="WCJ31" s="15"/>
      <c r="WCK31" s="15"/>
      <c r="WCL31" s="15"/>
      <c r="WCM31" s="15"/>
      <c r="WCN31" s="15"/>
      <c r="WCO31" s="15"/>
      <c r="WCP31" s="15"/>
      <c r="WCQ31" s="15"/>
      <c r="WCR31" s="15"/>
      <c r="WCS31" s="15"/>
      <c r="WCT31" s="15"/>
      <c r="WCU31" s="15"/>
      <c r="WCV31" s="15"/>
      <c r="WCW31" s="15"/>
      <c r="WCX31" s="15"/>
      <c r="WCY31" s="15"/>
      <c r="WCZ31" s="15"/>
      <c r="WDA31" s="15"/>
      <c r="WDB31" s="15"/>
      <c r="WDC31" s="15"/>
      <c r="WDD31" s="15"/>
      <c r="WDE31" s="15"/>
      <c r="WDF31" s="15"/>
      <c r="WDG31" s="15"/>
      <c r="WDH31" s="15"/>
      <c r="WDI31" s="15"/>
      <c r="WDJ31" s="15"/>
      <c r="WDK31" s="15"/>
      <c r="WDL31" s="15"/>
      <c r="WDM31" s="15"/>
      <c r="WDN31" s="15"/>
      <c r="WDO31" s="15"/>
      <c r="WDP31" s="15"/>
      <c r="WDQ31" s="15"/>
      <c r="WDR31" s="15"/>
      <c r="WDS31" s="15"/>
      <c r="WDT31" s="15"/>
      <c r="WDU31" s="15"/>
      <c r="WDV31" s="15"/>
      <c r="WDW31" s="15"/>
      <c r="WDX31" s="15"/>
      <c r="WDY31" s="15"/>
      <c r="WDZ31" s="15"/>
      <c r="WEA31" s="15"/>
      <c r="WEB31" s="15"/>
      <c r="WEC31" s="15"/>
      <c r="WED31" s="15"/>
      <c r="WEE31" s="15"/>
      <c r="WEF31" s="15"/>
      <c r="WEG31" s="15"/>
      <c r="WEH31" s="15"/>
      <c r="WEI31" s="15"/>
      <c r="WEJ31" s="15"/>
      <c r="WEK31" s="15"/>
      <c r="WEL31" s="15"/>
      <c r="WEM31" s="15"/>
      <c r="WEN31" s="15"/>
      <c r="WEO31" s="15"/>
      <c r="WEP31" s="15"/>
      <c r="WEQ31" s="15"/>
      <c r="WER31" s="15"/>
      <c r="WES31" s="15"/>
      <c r="WET31" s="15"/>
      <c r="WEU31" s="15"/>
      <c r="WEV31" s="15"/>
      <c r="WEW31" s="15"/>
      <c r="WEX31" s="15"/>
      <c r="WEY31" s="15"/>
      <c r="WEZ31" s="15"/>
      <c r="WFA31" s="15"/>
      <c r="WFB31" s="15"/>
      <c r="WFC31" s="15"/>
      <c r="WFD31" s="15"/>
      <c r="WFE31" s="15"/>
      <c r="WFF31" s="15"/>
      <c r="WFG31" s="15"/>
      <c r="WFH31" s="15"/>
      <c r="WFI31" s="15"/>
      <c r="WFJ31" s="15"/>
      <c r="WFK31" s="15"/>
      <c r="WFL31" s="15"/>
      <c r="WFM31" s="15"/>
      <c r="WFN31" s="15"/>
      <c r="WFO31" s="15"/>
      <c r="WFP31" s="15"/>
      <c r="WFQ31" s="15"/>
      <c r="WFR31" s="15"/>
      <c r="WFS31" s="15"/>
      <c r="WFT31" s="15"/>
      <c r="WFU31" s="15"/>
      <c r="WFV31" s="15"/>
      <c r="WFW31" s="15"/>
      <c r="WFX31" s="15"/>
      <c r="WFY31" s="15"/>
      <c r="WFZ31" s="15"/>
      <c r="WGA31" s="15"/>
      <c r="WGB31" s="15"/>
      <c r="WGC31" s="15"/>
      <c r="WGD31" s="15"/>
      <c r="WGE31" s="15"/>
      <c r="WGF31" s="15"/>
      <c r="WGG31" s="15"/>
      <c r="WGH31" s="15"/>
      <c r="WGI31" s="15"/>
      <c r="WGJ31" s="15"/>
      <c r="WGK31" s="15"/>
      <c r="WGL31" s="15"/>
      <c r="WGM31" s="15"/>
      <c r="WGN31" s="15"/>
      <c r="WGO31" s="15"/>
      <c r="WGP31" s="15"/>
      <c r="WGQ31" s="15"/>
      <c r="WGR31" s="15"/>
      <c r="WGS31" s="15"/>
      <c r="WGT31" s="15"/>
      <c r="WGU31" s="15"/>
      <c r="WGV31" s="15"/>
      <c r="WGW31" s="15"/>
      <c r="WGX31" s="15"/>
      <c r="WGY31" s="15"/>
      <c r="WGZ31" s="15"/>
      <c r="WHA31" s="15"/>
      <c r="WHB31" s="15"/>
      <c r="WHC31" s="15"/>
      <c r="WHD31" s="15"/>
      <c r="WHE31" s="15"/>
      <c r="WHF31" s="15"/>
      <c r="WHG31" s="15"/>
      <c r="WHH31" s="15"/>
      <c r="WHI31" s="15"/>
      <c r="WHJ31" s="15"/>
      <c r="WHK31" s="15"/>
      <c r="WHL31" s="15"/>
      <c r="WHM31" s="15"/>
      <c r="WHN31" s="15"/>
      <c r="WHO31" s="15"/>
      <c r="WHP31" s="15"/>
      <c r="WHQ31" s="15"/>
      <c r="WHR31" s="15"/>
      <c r="WHS31" s="15"/>
      <c r="WHT31" s="15"/>
      <c r="WHU31" s="15"/>
      <c r="WHV31" s="15"/>
      <c r="WHW31" s="15"/>
      <c r="WHX31" s="15"/>
      <c r="WHY31" s="15"/>
      <c r="WHZ31" s="15"/>
      <c r="WIA31" s="15"/>
      <c r="WIB31" s="15"/>
      <c r="WIC31" s="15"/>
      <c r="WID31" s="15"/>
      <c r="WIE31" s="15"/>
      <c r="WIF31" s="15"/>
      <c r="WIG31" s="15"/>
      <c r="WIH31" s="15"/>
      <c r="WII31" s="15"/>
      <c r="WIJ31" s="15"/>
      <c r="WIK31" s="15"/>
      <c r="WIL31" s="15"/>
      <c r="WIM31" s="15"/>
      <c r="WIN31" s="15"/>
      <c r="WIO31" s="15"/>
      <c r="WIP31" s="15"/>
      <c r="WIQ31" s="15"/>
      <c r="WIR31" s="15"/>
      <c r="WIS31" s="15"/>
      <c r="WIT31" s="15"/>
      <c r="WIU31" s="15"/>
      <c r="WIV31" s="15"/>
      <c r="WIW31" s="15"/>
      <c r="WIX31" s="15"/>
      <c r="WIY31" s="15"/>
      <c r="WIZ31" s="15"/>
      <c r="WJA31" s="15"/>
      <c r="WJB31" s="15"/>
      <c r="WJC31" s="15"/>
      <c r="WJD31" s="15"/>
      <c r="WJE31" s="15"/>
      <c r="WJF31" s="15"/>
      <c r="WJG31" s="15"/>
      <c r="WJH31" s="15"/>
      <c r="WJI31" s="15"/>
      <c r="WJJ31" s="15"/>
      <c r="WJK31" s="15"/>
      <c r="WJL31" s="15"/>
      <c r="WJM31" s="15"/>
      <c r="WJN31" s="15"/>
      <c r="WJO31" s="15"/>
      <c r="WJP31" s="15"/>
      <c r="WJQ31" s="15"/>
      <c r="WJR31" s="15"/>
      <c r="WJS31" s="15"/>
      <c r="WJT31" s="15"/>
      <c r="WJU31" s="15"/>
      <c r="WJV31" s="15"/>
      <c r="WJW31" s="15"/>
      <c r="WJX31" s="15"/>
      <c r="WJY31" s="15"/>
      <c r="WJZ31" s="15"/>
      <c r="WKA31" s="15"/>
      <c r="WKB31" s="15"/>
      <c r="WKC31" s="15"/>
      <c r="WKD31" s="15"/>
      <c r="WKE31" s="15"/>
      <c r="WKF31" s="15"/>
      <c r="WKG31" s="15"/>
      <c r="WKH31" s="15"/>
      <c r="WKI31" s="15"/>
      <c r="WKJ31" s="15"/>
      <c r="WKK31" s="15"/>
      <c r="WKL31" s="15"/>
      <c r="WKM31" s="15"/>
      <c r="WKN31" s="15"/>
      <c r="WKO31" s="15"/>
      <c r="WKP31" s="15"/>
      <c r="WKQ31" s="15"/>
      <c r="WKR31" s="15"/>
      <c r="WKS31" s="15"/>
      <c r="WKT31" s="15"/>
      <c r="WKU31" s="15"/>
      <c r="WKV31" s="15"/>
      <c r="WKW31" s="15"/>
      <c r="WKX31" s="15"/>
      <c r="WKY31" s="15"/>
      <c r="WKZ31" s="15"/>
      <c r="WLA31" s="15"/>
      <c r="WLB31" s="15"/>
      <c r="WLC31" s="15"/>
      <c r="WLD31" s="15"/>
      <c r="WLE31" s="15"/>
      <c r="WLF31" s="15"/>
      <c r="WLG31" s="15"/>
      <c r="WLH31" s="15"/>
      <c r="WLI31" s="15"/>
      <c r="WLJ31" s="15"/>
      <c r="WLK31" s="15"/>
      <c r="WLL31" s="15"/>
      <c r="WLM31" s="15"/>
      <c r="WLN31" s="15"/>
      <c r="WLO31" s="15"/>
      <c r="WLP31" s="15"/>
      <c r="WLQ31" s="15"/>
      <c r="WLR31" s="15"/>
      <c r="WLS31" s="15"/>
      <c r="WLT31" s="15"/>
      <c r="WLU31" s="15"/>
      <c r="WLV31" s="15"/>
      <c r="WLW31" s="15"/>
      <c r="WLX31" s="15"/>
      <c r="WLY31" s="15"/>
      <c r="WLZ31" s="15"/>
      <c r="WMA31" s="15"/>
      <c r="WMB31" s="15"/>
      <c r="WMC31" s="15"/>
      <c r="WMD31" s="15"/>
      <c r="WME31" s="15"/>
      <c r="WMF31" s="15"/>
      <c r="WMG31" s="15"/>
      <c r="WMH31" s="15"/>
      <c r="WMI31" s="15"/>
      <c r="WMJ31" s="15"/>
      <c r="WMK31" s="15"/>
      <c r="WML31" s="15"/>
      <c r="WMM31" s="15"/>
      <c r="WMN31" s="15"/>
      <c r="WMO31" s="15"/>
      <c r="WMP31" s="15"/>
      <c r="WMQ31" s="15"/>
      <c r="WMR31" s="15"/>
      <c r="WMS31" s="15"/>
      <c r="WMT31" s="15"/>
      <c r="WMU31" s="15"/>
      <c r="WMV31" s="15"/>
      <c r="WMW31" s="15"/>
      <c r="WMX31" s="15"/>
      <c r="WMY31" s="15"/>
      <c r="WMZ31" s="15"/>
      <c r="WNA31" s="15"/>
      <c r="WNB31" s="15"/>
      <c r="WNC31" s="15"/>
      <c r="WND31" s="15"/>
      <c r="WNE31" s="15"/>
      <c r="WNF31" s="15"/>
      <c r="WNG31" s="15"/>
      <c r="WNH31" s="15"/>
      <c r="WNI31" s="15"/>
      <c r="WNJ31" s="15"/>
      <c r="WNK31" s="15"/>
      <c r="WNL31" s="15"/>
      <c r="WNM31" s="15"/>
      <c r="WNN31" s="15"/>
      <c r="WNO31" s="15"/>
      <c r="WNP31" s="15"/>
      <c r="WNQ31" s="15"/>
      <c r="WNR31" s="15"/>
      <c r="WNS31" s="15"/>
      <c r="WNT31" s="15"/>
      <c r="WNU31" s="15"/>
      <c r="WNV31" s="15"/>
      <c r="WNW31" s="15"/>
      <c r="WNX31" s="15"/>
      <c r="WNY31" s="15"/>
      <c r="WNZ31" s="15"/>
      <c r="WOA31" s="15"/>
      <c r="WOB31" s="15"/>
      <c r="WOC31" s="15"/>
      <c r="WOD31" s="15"/>
      <c r="WOE31" s="15"/>
      <c r="WOF31" s="15"/>
      <c r="WOG31" s="15"/>
      <c r="WOH31" s="15"/>
      <c r="WOI31" s="15"/>
      <c r="WOJ31" s="15"/>
      <c r="WOK31" s="15"/>
      <c r="WOL31" s="15"/>
      <c r="WOM31" s="15"/>
      <c r="WON31" s="15"/>
      <c r="WOO31" s="15"/>
      <c r="WOP31" s="15"/>
      <c r="WOQ31" s="15"/>
      <c r="WOR31" s="15"/>
      <c r="WOS31" s="15"/>
      <c r="WOT31" s="15"/>
      <c r="WOU31" s="15"/>
      <c r="WOV31" s="15"/>
      <c r="WOW31" s="15"/>
      <c r="WOX31" s="15"/>
      <c r="WOY31" s="15"/>
      <c r="WOZ31" s="15"/>
      <c r="WPA31" s="15"/>
      <c r="WPB31" s="15"/>
      <c r="WPC31" s="15"/>
      <c r="WPD31" s="15"/>
      <c r="WPE31" s="15"/>
      <c r="WPF31" s="15"/>
      <c r="WPG31" s="15"/>
      <c r="WPH31" s="15"/>
      <c r="WPI31" s="15"/>
      <c r="WPJ31" s="15"/>
      <c r="WPK31" s="15"/>
      <c r="WPL31" s="15"/>
      <c r="WPM31" s="15"/>
      <c r="WPN31" s="15"/>
      <c r="WPO31" s="15"/>
      <c r="WPP31" s="15"/>
      <c r="WPQ31" s="15"/>
      <c r="WPR31" s="15"/>
      <c r="WPS31" s="15"/>
      <c r="WPT31" s="15"/>
      <c r="WPU31" s="15"/>
      <c r="WPV31" s="15"/>
      <c r="WPW31" s="15"/>
      <c r="WPX31" s="15"/>
      <c r="WPY31" s="15"/>
      <c r="WPZ31" s="15"/>
      <c r="WQA31" s="15"/>
      <c r="WQB31" s="15"/>
      <c r="WQC31" s="15"/>
      <c r="WQD31" s="15"/>
      <c r="WQE31" s="15"/>
      <c r="WQF31" s="15"/>
      <c r="WQG31" s="15"/>
      <c r="WQH31" s="15"/>
      <c r="WQI31" s="15"/>
      <c r="WQJ31" s="15"/>
      <c r="WQK31" s="15"/>
      <c r="WQL31" s="15"/>
      <c r="WQM31" s="15"/>
      <c r="WQN31" s="15"/>
      <c r="WQO31" s="15"/>
      <c r="WQP31" s="15"/>
      <c r="WQQ31" s="15"/>
      <c r="WQR31" s="15"/>
      <c r="WQS31" s="15"/>
      <c r="WQT31" s="15"/>
      <c r="WQU31" s="15"/>
      <c r="WQV31" s="15"/>
      <c r="WQW31" s="15"/>
      <c r="WQX31" s="15"/>
      <c r="WQY31" s="15"/>
      <c r="WQZ31" s="15"/>
      <c r="WRA31" s="15"/>
      <c r="WRB31" s="15"/>
      <c r="WRC31" s="15"/>
      <c r="WRD31" s="15"/>
      <c r="WRE31" s="15"/>
      <c r="WRF31" s="15"/>
      <c r="WRG31" s="15"/>
      <c r="WRH31" s="15"/>
      <c r="WRI31" s="15"/>
      <c r="WRJ31" s="15"/>
      <c r="WRK31" s="15"/>
      <c r="WRL31" s="15"/>
      <c r="WRM31" s="15"/>
      <c r="WRN31" s="15"/>
      <c r="WRO31" s="15"/>
      <c r="WRP31" s="15"/>
      <c r="WRQ31" s="15"/>
      <c r="WRR31" s="15"/>
      <c r="WRS31" s="15"/>
      <c r="WRT31" s="15"/>
      <c r="WRU31" s="15"/>
      <c r="WRV31" s="15"/>
      <c r="WRW31" s="15"/>
      <c r="WRX31" s="15"/>
      <c r="WRY31" s="15"/>
      <c r="WRZ31" s="15"/>
      <c r="WSA31" s="15"/>
      <c r="WSB31" s="15"/>
      <c r="WSC31" s="15"/>
      <c r="WSD31" s="15"/>
      <c r="WSE31" s="15"/>
      <c r="WSF31" s="15"/>
      <c r="WSG31" s="15"/>
      <c r="WSH31" s="15"/>
      <c r="WSI31" s="15"/>
      <c r="WSJ31" s="15"/>
      <c r="WSK31" s="15"/>
      <c r="WSL31" s="15"/>
      <c r="WSM31" s="15"/>
      <c r="WSN31" s="15"/>
      <c r="WSO31" s="15"/>
      <c r="WSP31" s="15"/>
      <c r="WSQ31" s="15"/>
      <c r="WSR31" s="15"/>
      <c r="WSS31" s="15"/>
      <c r="WST31" s="15"/>
      <c r="WSU31" s="15"/>
      <c r="WSV31" s="15"/>
      <c r="WSW31" s="15"/>
      <c r="WSX31" s="15"/>
      <c r="WSY31" s="15"/>
      <c r="WSZ31" s="15"/>
      <c r="WTA31" s="15"/>
      <c r="WTB31" s="15"/>
      <c r="WTC31" s="15"/>
      <c r="WTD31" s="15"/>
      <c r="WTE31" s="15"/>
      <c r="WTF31" s="15"/>
      <c r="WTG31" s="15"/>
      <c r="WTH31" s="15"/>
      <c r="WTI31" s="15"/>
      <c r="WTJ31" s="15"/>
      <c r="WTK31" s="15"/>
      <c r="WTL31" s="15"/>
      <c r="WTM31" s="15"/>
      <c r="WTN31" s="15"/>
      <c r="WTO31" s="15"/>
      <c r="WTP31" s="15"/>
      <c r="WTQ31" s="15"/>
      <c r="WTR31" s="15"/>
      <c r="WTS31" s="15"/>
      <c r="WTT31" s="15"/>
      <c r="WTU31" s="15"/>
      <c r="WTV31" s="15"/>
      <c r="WTW31" s="15"/>
      <c r="WTX31" s="15"/>
      <c r="WTY31" s="15"/>
      <c r="WTZ31" s="15"/>
      <c r="WUA31" s="15"/>
      <c r="WUB31" s="15"/>
      <c r="WUC31" s="15"/>
      <c r="WUD31" s="15"/>
      <c r="WUE31" s="15"/>
      <c r="WUF31" s="15"/>
      <c r="WUG31" s="15"/>
      <c r="WUH31" s="15"/>
      <c r="WUI31" s="15"/>
      <c r="WUJ31" s="15"/>
      <c r="WUK31" s="15"/>
      <c r="WUL31" s="15"/>
      <c r="WUM31" s="15"/>
      <c r="WUN31" s="15"/>
      <c r="WUO31" s="15"/>
      <c r="WUP31" s="15"/>
      <c r="WUQ31" s="15"/>
      <c r="WUR31" s="15"/>
      <c r="WUS31" s="15"/>
      <c r="WUT31" s="15"/>
      <c r="WUU31" s="15"/>
      <c r="WUV31" s="15"/>
      <c r="WUW31" s="15"/>
      <c r="WUX31" s="15"/>
      <c r="WUY31" s="15"/>
      <c r="WUZ31" s="15"/>
      <c r="WVA31" s="15"/>
      <c r="WVB31" s="15"/>
      <c r="WVC31" s="15"/>
      <c r="WVD31" s="15"/>
      <c r="WVE31" s="15"/>
      <c r="WVF31" s="15"/>
      <c r="WVG31" s="15"/>
      <c r="WVH31" s="15"/>
      <c r="WVI31" s="15"/>
      <c r="WVJ31" s="15"/>
      <c r="WVK31" s="15"/>
      <c r="WVL31" s="15"/>
      <c r="WVM31" s="15"/>
      <c r="WVN31" s="15"/>
      <c r="WVO31" s="15"/>
      <c r="WVP31" s="15"/>
      <c r="WVQ31" s="15"/>
      <c r="WVR31" s="15"/>
      <c r="WVS31" s="15"/>
      <c r="WVT31" s="15"/>
      <c r="WVU31" s="15"/>
      <c r="WVV31" s="15"/>
      <c r="WVW31" s="15"/>
      <c r="WVX31" s="15"/>
      <c r="WVY31" s="15"/>
      <c r="WVZ31" s="15"/>
      <c r="WWA31" s="15"/>
      <c r="WWB31" s="15"/>
      <c r="WWC31" s="15"/>
      <c r="WWD31" s="15"/>
      <c r="WWE31" s="15"/>
      <c r="WWF31" s="15"/>
      <c r="WWG31" s="15"/>
      <c r="WWH31" s="15"/>
      <c r="WWI31" s="15"/>
      <c r="WWJ31" s="15"/>
      <c r="WWK31" s="15"/>
      <c r="WWL31" s="15"/>
      <c r="WWM31" s="15"/>
      <c r="WWN31" s="15"/>
      <c r="WWO31" s="15"/>
      <c r="WWP31" s="15"/>
      <c r="WWQ31" s="15"/>
      <c r="WWR31" s="15"/>
      <c r="WWS31" s="15"/>
      <c r="WWT31" s="15"/>
      <c r="WWU31" s="15"/>
      <c r="WWV31" s="15"/>
      <c r="WWW31" s="15"/>
      <c r="WWX31" s="15"/>
      <c r="WWY31" s="15"/>
      <c r="WWZ31" s="15"/>
      <c r="WXA31" s="15"/>
      <c r="WXB31" s="15"/>
      <c r="WXC31" s="15"/>
      <c r="WXD31" s="15"/>
      <c r="WXE31" s="15"/>
      <c r="WXF31" s="15"/>
      <c r="WXG31" s="15"/>
      <c r="WXH31" s="15"/>
      <c r="WXI31" s="15"/>
      <c r="WXJ31" s="15"/>
      <c r="WXK31" s="15"/>
      <c r="WXL31" s="15"/>
      <c r="WXM31" s="15"/>
      <c r="WXN31" s="15"/>
      <c r="WXO31" s="15"/>
      <c r="WXP31" s="15"/>
      <c r="WXQ31" s="15"/>
      <c r="WXR31" s="15"/>
      <c r="WXS31" s="15"/>
      <c r="WXT31" s="15"/>
      <c r="WXU31" s="15"/>
      <c r="WXV31" s="15"/>
      <c r="WXW31" s="15"/>
      <c r="WXX31" s="15"/>
      <c r="WXY31" s="15"/>
      <c r="WXZ31" s="15"/>
      <c r="WYA31" s="15"/>
      <c r="WYB31" s="15"/>
      <c r="WYC31" s="15"/>
      <c r="WYD31" s="15"/>
      <c r="WYE31" s="15"/>
      <c r="WYF31" s="15"/>
      <c r="WYG31" s="15"/>
      <c r="WYH31" s="15"/>
      <c r="WYI31" s="15"/>
      <c r="WYJ31" s="15"/>
      <c r="WYK31" s="15"/>
      <c r="WYL31" s="15"/>
      <c r="WYM31" s="15"/>
      <c r="WYN31" s="15"/>
      <c r="WYO31" s="15"/>
      <c r="WYP31" s="15"/>
      <c r="WYQ31" s="15"/>
      <c r="WYR31" s="15"/>
      <c r="WYS31" s="15"/>
      <c r="WYT31" s="15"/>
      <c r="WYU31" s="15"/>
      <c r="WYV31" s="15"/>
      <c r="WYW31" s="15"/>
      <c r="WYX31" s="15"/>
      <c r="WYY31" s="15"/>
      <c r="WYZ31" s="15"/>
      <c r="WZA31" s="15"/>
      <c r="WZB31" s="15"/>
      <c r="WZC31" s="15"/>
      <c r="WZD31" s="15"/>
      <c r="WZE31" s="15"/>
      <c r="WZF31" s="15"/>
      <c r="WZG31" s="15"/>
      <c r="WZH31" s="15"/>
      <c r="WZI31" s="15"/>
      <c r="WZJ31" s="15"/>
      <c r="WZK31" s="15"/>
      <c r="WZL31" s="15"/>
      <c r="WZM31" s="15"/>
      <c r="WZN31" s="15"/>
      <c r="WZO31" s="15"/>
      <c r="WZP31" s="15"/>
      <c r="WZQ31" s="15"/>
      <c r="WZR31" s="15"/>
      <c r="WZS31" s="15"/>
      <c r="WZT31" s="15"/>
      <c r="WZU31" s="15"/>
      <c r="WZV31" s="15"/>
      <c r="WZW31" s="15"/>
      <c r="WZX31" s="15"/>
      <c r="WZY31" s="15"/>
      <c r="WZZ31" s="15"/>
      <c r="XAA31" s="15"/>
      <c r="XAB31" s="15"/>
      <c r="XAC31" s="15"/>
      <c r="XAD31" s="15"/>
      <c r="XAE31" s="15"/>
      <c r="XAF31" s="15"/>
      <c r="XAG31" s="15"/>
      <c r="XAH31" s="15"/>
      <c r="XAI31" s="15"/>
      <c r="XAJ31" s="15"/>
      <c r="XAK31" s="15"/>
      <c r="XAL31" s="15"/>
      <c r="XAM31" s="15"/>
      <c r="XAN31" s="15"/>
      <c r="XAO31" s="15"/>
      <c r="XAP31" s="15"/>
      <c r="XAQ31" s="15"/>
      <c r="XAR31" s="15"/>
      <c r="XAS31" s="15"/>
      <c r="XAT31" s="15"/>
      <c r="XAU31" s="15"/>
      <c r="XAV31" s="15"/>
      <c r="XAW31" s="15"/>
      <c r="XAX31" s="15"/>
      <c r="XAY31" s="15"/>
      <c r="XAZ31" s="15"/>
      <c r="XBA31" s="15"/>
      <c r="XBB31" s="15"/>
      <c r="XBC31" s="15"/>
      <c r="XBD31" s="15"/>
      <c r="XBE31" s="15"/>
      <c r="XBF31" s="15"/>
      <c r="XBG31" s="15"/>
      <c r="XBH31" s="15"/>
      <c r="XBI31" s="15"/>
      <c r="XBJ31" s="15"/>
      <c r="XBK31" s="15"/>
      <c r="XBL31" s="15"/>
      <c r="XBM31" s="15"/>
      <c r="XBN31" s="15"/>
      <c r="XBO31" s="15"/>
      <c r="XBP31" s="15"/>
      <c r="XBQ31" s="15"/>
      <c r="XBR31" s="15"/>
      <c r="XBS31" s="15"/>
      <c r="XBT31" s="15"/>
      <c r="XBU31" s="15"/>
      <c r="XBV31" s="15"/>
      <c r="XBW31" s="15"/>
      <c r="XBX31" s="15"/>
      <c r="XBY31" s="15"/>
      <c r="XBZ31" s="15"/>
      <c r="XCA31" s="15"/>
      <c r="XCB31" s="15"/>
      <c r="XCC31" s="15"/>
      <c r="XCD31" s="15"/>
      <c r="XCE31" s="15"/>
      <c r="XCF31" s="15"/>
      <c r="XCG31" s="15"/>
      <c r="XCH31" s="15"/>
      <c r="XCI31" s="15"/>
      <c r="XCJ31" s="15"/>
      <c r="XCK31" s="15"/>
      <c r="XCL31" s="15"/>
      <c r="XCM31" s="15"/>
      <c r="XCN31" s="15"/>
      <c r="XCO31" s="15"/>
      <c r="XCP31" s="15"/>
      <c r="XCQ31" s="15"/>
      <c r="XCR31" s="15"/>
      <c r="XCS31" s="15"/>
      <c r="XCT31" s="15"/>
      <c r="XCU31" s="15"/>
      <c r="XCV31" s="15"/>
      <c r="XCW31" s="15"/>
      <c r="XCX31" s="15"/>
      <c r="XCY31" s="15"/>
      <c r="XCZ31" s="15"/>
      <c r="XDA31" s="15"/>
      <c r="XDB31" s="15"/>
      <c r="XDC31" s="15"/>
      <c r="XDD31" s="15"/>
      <c r="XDE31" s="15"/>
      <c r="XDF31" s="15"/>
      <c r="XDG31" s="15"/>
      <c r="XDH31" s="15"/>
      <c r="XDI31" s="15"/>
      <c r="XDJ31" s="15"/>
      <c r="XDK31" s="15"/>
      <c r="XDL31" s="15"/>
      <c r="XDM31" s="15"/>
      <c r="XDN31" s="15"/>
      <c r="XDO31" s="15"/>
      <c r="XDP31" s="15"/>
      <c r="XDQ31" s="15"/>
      <c r="XDR31" s="15"/>
      <c r="XDS31" s="15"/>
      <c r="XDT31" s="15"/>
      <c r="XDU31" s="15"/>
      <c r="XDV31" s="15"/>
      <c r="XDW31" s="15"/>
      <c r="XDX31" s="15"/>
      <c r="XDY31" s="15"/>
      <c r="XDZ31" s="15"/>
      <c r="XEA31" s="15"/>
      <c r="XEB31" s="15"/>
      <c r="XEC31" s="15"/>
      <c r="XED31" s="15"/>
      <c r="XEE31" s="15"/>
      <c r="XEF31" s="15"/>
      <c r="XEG31" s="15"/>
      <c r="XEH31" s="15"/>
      <c r="XEI31" s="15"/>
      <c r="XEJ31" s="15"/>
      <c r="XEK31" s="15"/>
      <c r="XEL31" s="15"/>
      <c r="XEM31" s="15"/>
      <c r="XEN31" s="15"/>
      <c r="XEO31" s="15"/>
      <c r="XEP31" s="15"/>
      <c r="XEQ31" s="15"/>
      <c r="XER31" s="15"/>
      <c r="XES31" s="15"/>
      <c r="XET31" s="15"/>
      <c r="XEU31" s="15"/>
      <c r="XEV31" s="15"/>
      <c r="XEW31" s="15"/>
      <c r="XEX31" s="15"/>
      <c r="XEY31" s="15"/>
      <c r="XEZ31" s="15"/>
    </row>
    <row r="32" spans="2:16380" outlineLevel="1" x14ac:dyDescent="0.25">
      <c r="B32" s="10" t="s">
        <v>88</v>
      </c>
      <c r="C32" s="17">
        <v>0.154</v>
      </c>
      <c r="D32" s="17">
        <v>0.152</v>
      </c>
      <c r="E32" s="17">
        <v>0.13500000000000001</v>
      </c>
      <c r="F32" s="17">
        <f>0.566-SUM(C32:E32)</f>
        <v>0.12499999999999994</v>
      </c>
      <c r="G32" s="17">
        <v>0.13800000000000001</v>
      </c>
      <c r="H32" s="17">
        <v>0.22</v>
      </c>
      <c r="I32" s="17">
        <v>0.251</v>
      </c>
      <c r="J32" s="17">
        <f>0.903-SUM(G32:I32)</f>
        <v>0.29400000000000004</v>
      </c>
      <c r="K32" s="17">
        <v>0.29599999999999999</v>
      </c>
      <c r="L32" s="17">
        <v>0.253</v>
      </c>
      <c r="M32" s="17">
        <v>0.26100000000000001</v>
      </c>
      <c r="N32" s="17">
        <f>1.091-SUM(K32:M32)</f>
        <v>0.28100000000000003</v>
      </c>
      <c r="O32" s="17">
        <v>0.32900000000000001</v>
      </c>
      <c r="P32" s="17">
        <v>0.34599999999999997</v>
      </c>
      <c r="Q32" s="17">
        <v>0.44900000000000001</v>
      </c>
      <c r="R32" s="17">
        <f>1.694-SUM(O32:Q32)</f>
        <v>0.56999999999999984</v>
      </c>
      <c r="S32" s="17">
        <v>0.56699999999999995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</row>
    <row r="33" spans="1:57" s="15" customFormat="1" outlineLevel="1" x14ac:dyDescent="0.25">
      <c r="A33" s="10"/>
      <c r="B33" s="10" t="s">
        <v>87</v>
      </c>
      <c r="C33" s="17">
        <v>0.32700000000000001</v>
      </c>
      <c r="D33" s="17">
        <v>0.40899999999999997</v>
      </c>
      <c r="E33" s="17">
        <v>0.23400000000000001</v>
      </c>
      <c r="F33" s="17">
        <f>1.162-SUM(C33:E33)</f>
        <v>0.19199999999999995</v>
      </c>
      <c r="G33" s="17">
        <v>0.158</v>
      </c>
      <c r="H33" s="17">
        <v>0.14000000000000001</v>
      </c>
      <c r="I33" s="17">
        <v>7.2999999999999995E-2</v>
      </c>
      <c r="J33" s="17">
        <f>0.455-SUM(G33:I33)</f>
        <v>8.3999999999999964E-2</v>
      </c>
      <c r="K33" s="17">
        <v>7.6999999999999999E-2</v>
      </c>
      <c r="L33" s="17">
        <v>6.6000000000000003E-2</v>
      </c>
      <c r="M33" s="17">
        <v>7.2999999999999995E-2</v>
      </c>
      <c r="N33" s="17">
        <f>0.306-SUM(K33:M33)</f>
        <v>8.9999999999999969E-2</v>
      </c>
      <c r="O33" s="17">
        <v>7.8E-2</v>
      </c>
      <c r="P33" s="17">
        <v>8.7999999999999995E-2</v>
      </c>
      <c r="Q33" s="17">
        <v>9.7000000000000003E-2</v>
      </c>
      <c r="R33" s="17">
        <f>0.389-SUM(O33:Q33)</f>
        <v>0.126</v>
      </c>
      <c r="S33" s="17">
        <v>0.111</v>
      </c>
    </row>
    <row r="34" spans="1:57" s="15" customFormat="1" outlineLevel="1" x14ac:dyDescent="0.25">
      <c r="A34" s="10"/>
      <c r="B34" s="8" t="s">
        <v>76</v>
      </c>
      <c r="C34" s="21">
        <f t="shared" ref="C34:J34" si="22">SUM(C29:C33)</f>
        <v>5.6609999999999996</v>
      </c>
      <c r="D34" s="21">
        <f t="shared" si="22"/>
        <v>6.5069999999999997</v>
      </c>
      <c r="E34" s="21">
        <f t="shared" si="22"/>
        <v>7.1029999999999998</v>
      </c>
      <c r="F34" s="21">
        <f t="shared" si="22"/>
        <v>7.6430000000000007</v>
      </c>
      <c r="G34" s="21">
        <f t="shared" si="22"/>
        <v>8.2880000000000003</v>
      </c>
      <c r="H34" s="21">
        <f t="shared" si="22"/>
        <v>6.7039999999999988</v>
      </c>
      <c r="I34" s="21">
        <f t="shared" si="22"/>
        <v>5.9310000000000009</v>
      </c>
      <c r="J34" s="21">
        <f t="shared" si="22"/>
        <v>6.0510000000000019</v>
      </c>
      <c r="K34" s="21">
        <f>SUM(K29:K33)</f>
        <v>7.1920000000000011</v>
      </c>
      <c r="L34" s="21">
        <f t="shared" ref="L34:AP34" si="23">SUM(L29:L33)</f>
        <v>13.507000000000001</v>
      </c>
      <c r="M34" s="21">
        <f t="shared" si="23"/>
        <v>18.119999999999997</v>
      </c>
      <c r="N34" s="21">
        <f t="shared" si="23"/>
        <v>22.102999999999998</v>
      </c>
      <c r="O34" s="21">
        <f t="shared" si="23"/>
        <v>26.043999999999997</v>
      </c>
      <c r="P34" s="21">
        <f t="shared" si="23"/>
        <v>30.04</v>
      </c>
      <c r="Q34" s="21">
        <f t="shared" si="23"/>
        <v>35.081999999999994</v>
      </c>
      <c r="R34" s="21">
        <f t="shared" si="23"/>
        <v>39.33100000000001</v>
      </c>
      <c r="S34" s="21">
        <f t="shared" si="23"/>
        <v>44.061999999999998</v>
      </c>
      <c r="T34" s="21">
        <f t="shared" si="23"/>
        <v>0</v>
      </c>
      <c r="U34" s="21">
        <f t="shared" si="23"/>
        <v>0</v>
      </c>
      <c r="V34" s="21">
        <f t="shared" si="23"/>
        <v>0</v>
      </c>
      <c r="W34" s="21">
        <f t="shared" si="23"/>
        <v>0</v>
      </c>
      <c r="X34" s="21">
        <f t="shared" si="23"/>
        <v>0</v>
      </c>
      <c r="Y34" s="21">
        <f t="shared" si="23"/>
        <v>0</v>
      </c>
      <c r="Z34" s="21">
        <f t="shared" si="23"/>
        <v>0</v>
      </c>
      <c r="AA34" s="21">
        <f t="shared" si="23"/>
        <v>0</v>
      </c>
      <c r="AB34" s="21">
        <f t="shared" si="23"/>
        <v>0</v>
      </c>
      <c r="AC34" s="21">
        <f t="shared" si="23"/>
        <v>0</v>
      </c>
      <c r="AD34" s="21">
        <f t="shared" si="23"/>
        <v>0</v>
      </c>
      <c r="AE34" s="21">
        <f t="shared" si="23"/>
        <v>0</v>
      </c>
      <c r="AF34" s="21">
        <f t="shared" si="23"/>
        <v>0</v>
      </c>
      <c r="AG34" s="21">
        <f t="shared" si="23"/>
        <v>0</v>
      </c>
      <c r="AH34" s="21">
        <f t="shared" si="23"/>
        <v>0</v>
      </c>
      <c r="AI34" s="21">
        <f t="shared" si="23"/>
        <v>0</v>
      </c>
      <c r="AJ34" s="21">
        <f t="shared" si="23"/>
        <v>0</v>
      </c>
      <c r="AK34" s="21">
        <f t="shared" si="23"/>
        <v>0</v>
      </c>
      <c r="AL34" s="21">
        <f t="shared" si="23"/>
        <v>0</v>
      </c>
      <c r="AM34" s="21">
        <f t="shared" si="23"/>
        <v>0</v>
      </c>
      <c r="AN34" s="21">
        <f t="shared" si="23"/>
        <v>0</v>
      </c>
      <c r="AO34" s="21">
        <f t="shared" si="23"/>
        <v>0</v>
      </c>
      <c r="AP34" s="21">
        <f t="shared" si="23"/>
        <v>0</v>
      </c>
      <c r="BC34" s="21">
        <v>0</v>
      </c>
      <c r="BD34" s="21">
        <f>S34-BC34</f>
        <v>44.061999999999998</v>
      </c>
      <c r="BE34" s="41" t="e">
        <f>BD34/BC34</f>
        <v>#DIV/0!</v>
      </c>
    </row>
    <row r="35" spans="1:57" x14ac:dyDescent="0.25">
      <c r="B35" s="2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BC35" s="18"/>
      <c r="BD35" s="18"/>
    </row>
    <row r="36" spans="1:57" x14ac:dyDescent="0.25">
      <c r="B36" s="10" t="s">
        <v>16</v>
      </c>
      <c r="C36" s="17">
        <v>2.032</v>
      </c>
      <c r="D36" s="17">
        <v>2.2919999999999998</v>
      </c>
      <c r="E36" s="17">
        <v>2.472</v>
      </c>
      <c r="F36" s="17">
        <f>9.439-SUM(C36:E36)</f>
        <v>2.6430000000000007</v>
      </c>
      <c r="G36" s="17">
        <v>2.8570000000000002</v>
      </c>
      <c r="H36" s="17">
        <v>3.7890000000000001</v>
      </c>
      <c r="I36" s="17">
        <v>2.754</v>
      </c>
      <c r="J36" s="17">
        <f>11.618-SUM(G36:I36)</f>
        <v>2.218</v>
      </c>
      <c r="K36" s="17">
        <v>2.544</v>
      </c>
      <c r="L36" s="17">
        <v>4.0449999999999999</v>
      </c>
      <c r="M36" s="17">
        <v>4.72</v>
      </c>
      <c r="N36" s="17">
        <f>16.621-SUM(K36:M36)</f>
        <v>5.3119999999999976</v>
      </c>
      <c r="O36" s="17">
        <v>5.6379999999999999</v>
      </c>
      <c r="P36" s="17">
        <v>7.4660000000000002</v>
      </c>
      <c r="Q36" s="17">
        <v>8.9260000000000002</v>
      </c>
      <c r="R36" s="17">
        <f>32.639-SUM(O36:Q36)</f>
        <v>10.609000000000002</v>
      </c>
      <c r="S36" s="17">
        <v>17.393999999999998</v>
      </c>
      <c r="T36" s="10">
        <f t="shared" ref="S36:AP36" si="24">T14-T39</f>
        <v>19.901369851572781</v>
      </c>
      <c r="U36" s="10">
        <f t="shared" si="24"/>
        <v>22.664900717171257</v>
      </c>
      <c r="V36" s="10">
        <f t="shared" si="24"/>
        <v>24.968158914711076</v>
      </c>
      <c r="W36" s="10">
        <f t="shared" si="24"/>
        <v>26.218290983160088</v>
      </c>
      <c r="X36" s="10">
        <f t="shared" si="24"/>
        <v>30.153697299827513</v>
      </c>
      <c r="Y36" s="10">
        <f t="shared" si="24"/>
        <v>33.308555663042974</v>
      </c>
      <c r="Z36" s="10">
        <f t="shared" si="24"/>
        <v>35.717678646736388</v>
      </c>
      <c r="AA36" s="10">
        <f t="shared" si="24"/>
        <v>35.721243840383991</v>
      </c>
      <c r="AB36" s="10">
        <f t="shared" si="24"/>
        <v>41.664514419965037</v>
      </c>
      <c r="AC36" s="10">
        <f t="shared" si="24"/>
        <v>46.012062056817655</v>
      </c>
      <c r="AD36" s="10">
        <f t="shared" si="24"/>
        <v>49.49990018046725</v>
      </c>
      <c r="AE36" s="10">
        <f t="shared" si="24"/>
        <v>47.513801634489454</v>
      </c>
      <c r="AF36" s="10">
        <f t="shared" si="24"/>
        <v>55.691843818827707</v>
      </c>
      <c r="AG36" s="10">
        <f t="shared" si="24"/>
        <v>61.491201939665956</v>
      </c>
      <c r="AH36" s="10">
        <f t="shared" si="24"/>
        <v>66.315808235959068</v>
      </c>
      <c r="AI36" s="10">
        <f t="shared" si="24"/>
        <v>63.60838453383893</v>
      </c>
      <c r="AJ36" s="10">
        <f t="shared" si="24"/>
        <v>74.532831577161616</v>
      </c>
      <c r="AK36" s="10">
        <f t="shared" si="24"/>
        <v>82.280072100568276</v>
      </c>
      <c r="AL36" s="10">
        <f t="shared" si="24"/>
        <v>88.929356082275177</v>
      </c>
      <c r="AM36" s="10">
        <f t="shared" si="24"/>
        <v>85.698392949495513</v>
      </c>
      <c r="AN36" s="10">
        <f t="shared" si="24"/>
        <v>99.935607171999607</v>
      </c>
      <c r="AO36" s="10">
        <f t="shared" si="24"/>
        <v>110.30839429188734</v>
      </c>
      <c r="AP36" s="10">
        <f t="shared" si="24"/>
        <v>119.42779642298845</v>
      </c>
      <c r="AR36" s="10">
        <f>SUM(C36:F36)</f>
        <v>9.4390000000000001</v>
      </c>
      <c r="AS36" s="10">
        <f>SUM(G36:J36)</f>
        <v>11.618</v>
      </c>
      <c r="AT36" s="10">
        <f>SUM(K36:N36)</f>
        <v>16.620999999999999</v>
      </c>
      <c r="AU36" s="10">
        <f>SUM(O36:R36)</f>
        <v>32.639000000000003</v>
      </c>
      <c r="AV36" s="10">
        <f>SUM(S36:V36)</f>
        <v>84.928429483455119</v>
      </c>
      <c r="AW36" s="10">
        <f>SUM(W36:Z36)</f>
        <v>125.39822259276697</v>
      </c>
      <c r="AX36" s="10">
        <f>SUM(AA36:AD36)</f>
        <v>172.89772049763394</v>
      </c>
      <c r="AY36" s="10">
        <f>SUM(AE36:AH36)</f>
        <v>231.01265562894218</v>
      </c>
      <c r="AZ36" s="10">
        <f>SUM(AI36:AL36)</f>
        <v>309.35064429384397</v>
      </c>
      <c r="BA36" s="10">
        <f>SUM(AM36:AP36)</f>
        <v>415.37019083637085</v>
      </c>
      <c r="BC36" s="10">
        <v>12.791998800000002</v>
      </c>
      <c r="BD36" s="10">
        <f t="shared" ref="BD36:BD37" si="25">S36-BC36</f>
        <v>4.6020011999999966</v>
      </c>
      <c r="BE36" s="41">
        <f t="shared" ref="BE36:BE37" si="26">BD36/BC36</f>
        <v>0.35975622511784444</v>
      </c>
    </row>
    <row r="37" spans="1:57" x14ac:dyDescent="0.25">
      <c r="B37" s="20" t="s">
        <v>4</v>
      </c>
      <c r="C37" s="6"/>
      <c r="D37" s="6"/>
      <c r="E37" s="6"/>
      <c r="F37" s="6"/>
      <c r="G37" s="6">
        <f t="shared" ref="G37:W37" si="27">G36/C36-1</f>
        <v>0.40600393700787407</v>
      </c>
      <c r="H37" s="6">
        <f t="shared" si="27"/>
        <v>0.65314136125654465</v>
      </c>
      <c r="I37" s="6">
        <f t="shared" si="27"/>
        <v>0.11407766990291268</v>
      </c>
      <c r="J37" s="6">
        <f t="shared" si="27"/>
        <v>-0.16080211880438922</v>
      </c>
      <c r="K37" s="6">
        <f t="shared" si="27"/>
        <v>-0.10955547777388874</v>
      </c>
      <c r="L37" s="6">
        <f t="shared" si="27"/>
        <v>6.7564001055687495E-2</v>
      </c>
      <c r="M37" s="6">
        <f t="shared" si="27"/>
        <v>0.71387073347857655</v>
      </c>
      <c r="N37" s="6">
        <f t="shared" si="27"/>
        <v>1.3949504057709636</v>
      </c>
      <c r="O37" s="6">
        <f t="shared" si="27"/>
        <v>1.216194968553459</v>
      </c>
      <c r="P37" s="6">
        <f t="shared" si="27"/>
        <v>0.84573547589616815</v>
      </c>
      <c r="Q37" s="6">
        <f t="shared" si="27"/>
        <v>0.89110169491525437</v>
      </c>
      <c r="R37" s="6">
        <f t="shared" si="27"/>
        <v>0.99717620481927827</v>
      </c>
      <c r="S37" s="6">
        <f t="shared" si="27"/>
        <v>2.0851365732529263</v>
      </c>
      <c r="T37" s="6">
        <f t="shared" si="27"/>
        <v>1.6656000336957915</v>
      </c>
      <c r="U37" s="6">
        <f t="shared" si="27"/>
        <v>1.5392001699721325</v>
      </c>
      <c r="V37" s="6">
        <f t="shared" si="27"/>
        <v>1.3534884451608136</v>
      </c>
      <c r="W37" s="6">
        <f t="shared" si="27"/>
        <v>0.50731809722663512</v>
      </c>
      <c r="X37" s="6">
        <f t="shared" ref="X37:AP37" si="28">X36/T36-1</f>
        <v>0.5151568723519051</v>
      </c>
      <c r="Y37" s="6">
        <f t="shared" si="28"/>
        <v>0.46960959938412294</v>
      </c>
      <c r="Z37" s="6">
        <f t="shared" si="28"/>
        <v>0.43052912987075564</v>
      </c>
      <c r="AA37" s="6">
        <f t="shared" si="28"/>
        <v>0.36245508386979197</v>
      </c>
      <c r="AB37" s="6">
        <f t="shared" si="28"/>
        <v>0.38173816649022907</v>
      </c>
      <c r="AC37" s="6">
        <f t="shared" si="28"/>
        <v>0.3813886895092744</v>
      </c>
      <c r="AD37" s="6">
        <f t="shared" si="28"/>
        <v>0.38586554490405489</v>
      </c>
      <c r="AE37" s="6">
        <f t="shared" si="28"/>
        <v>0.33012730034819238</v>
      </c>
      <c r="AF37" s="6">
        <f t="shared" si="28"/>
        <v>0.33667329606848773</v>
      </c>
      <c r="AG37" s="6">
        <f t="shared" si="28"/>
        <v>0.33641482669770384</v>
      </c>
      <c r="AH37" s="6">
        <f t="shared" si="28"/>
        <v>0.33971599930877039</v>
      </c>
      <c r="AI37" s="6">
        <f t="shared" si="28"/>
        <v>0.3387349011380032</v>
      </c>
      <c r="AJ37" s="6">
        <f t="shared" si="28"/>
        <v>0.33830784665032665</v>
      </c>
      <c r="AK37" s="6">
        <f t="shared" si="28"/>
        <v>0.33807877395696351</v>
      </c>
      <c r="AL37" s="6">
        <f t="shared" si="28"/>
        <v>0.34099784723809101</v>
      </c>
      <c r="AM37" s="6">
        <f t="shared" si="28"/>
        <v>0.34728139344436504</v>
      </c>
      <c r="AN37" s="6">
        <f t="shared" si="28"/>
        <v>0.340826653936249</v>
      </c>
      <c r="AO37" s="6">
        <f t="shared" si="28"/>
        <v>0.34064532851965601</v>
      </c>
      <c r="AP37" s="6">
        <f t="shared" si="28"/>
        <v>0.34295132321094157</v>
      </c>
      <c r="AS37" s="6">
        <f t="shared" ref="AS37:BA37" si="29">AS36/AR36-1</f>
        <v>0.23085072571246967</v>
      </c>
      <c r="AT37" s="6">
        <f t="shared" si="29"/>
        <v>0.43062489240833179</v>
      </c>
      <c r="AU37" s="6">
        <f t="shared" si="29"/>
        <v>0.96372059442873503</v>
      </c>
      <c r="AV37" s="6">
        <f t="shared" si="29"/>
        <v>1.6020536622891361</v>
      </c>
      <c r="AW37" s="6">
        <f t="shared" si="29"/>
        <v>0.47651644279134775</v>
      </c>
      <c r="AX37" s="6">
        <f t="shared" si="29"/>
        <v>0.37878924376083423</v>
      </c>
      <c r="AY37" s="6">
        <f t="shared" si="29"/>
        <v>0.33612320025991038</v>
      </c>
      <c r="AZ37" s="6">
        <f t="shared" si="29"/>
        <v>0.33910691365208168</v>
      </c>
      <c r="BA37" s="6">
        <f t="shared" si="29"/>
        <v>0.34271642389670198</v>
      </c>
      <c r="BC37" s="18">
        <v>1.2688894643490602</v>
      </c>
      <c r="BD37" s="18">
        <f t="shared" si="25"/>
        <v>0.81624710890386609</v>
      </c>
      <c r="BE37" s="41">
        <f t="shared" si="26"/>
        <v>0.6432767643181595</v>
      </c>
    </row>
    <row r="39" spans="1:57" x14ac:dyDescent="0.25">
      <c r="B39" s="8" t="s">
        <v>6</v>
      </c>
      <c r="C39" s="8">
        <f t="shared" ref="C39:S39" si="30">C14-C36</f>
        <v>3.6289999999999996</v>
      </c>
      <c r="D39" s="8">
        <f t="shared" si="30"/>
        <v>4.2149999999999999</v>
      </c>
      <c r="E39" s="8">
        <f t="shared" si="30"/>
        <v>4.6310000000000002</v>
      </c>
      <c r="F39" s="8">
        <f t="shared" si="30"/>
        <v>4.9999999999999982</v>
      </c>
      <c r="G39" s="8">
        <f t="shared" si="30"/>
        <v>5.431</v>
      </c>
      <c r="H39" s="8">
        <f t="shared" si="30"/>
        <v>2.9150000000000005</v>
      </c>
      <c r="I39" s="8">
        <f t="shared" si="30"/>
        <v>3.177</v>
      </c>
      <c r="J39" s="8">
        <f t="shared" si="30"/>
        <v>3.8330000000000002</v>
      </c>
      <c r="K39" s="8">
        <f t="shared" si="30"/>
        <v>4.6479999999999997</v>
      </c>
      <c r="L39" s="8">
        <f t="shared" si="30"/>
        <v>9.4619999999999997</v>
      </c>
      <c r="M39" s="8">
        <f t="shared" si="30"/>
        <v>13.400000000000002</v>
      </c>
      <c r="N39" s="8">
        <f t="shared" si="30"/>
        <v>16.791000000000004</v>
      </c>
      <c r="O39" s="8">
        <f t="shared" si="30"/>
        <v>20.405999999999999</v>
      </c>
      <c r="P39" s="8">
        <f t="shared" si="30"/>
        <v>22.574000000000002</v>
      </c>
      <c r="Q39" s="8">
        <f t="shared" si="30"/>
        <v>26.155999999999999</v>
      </c>
      <c r="R39" s="8">
        <f t="shared" si="30"/>
        <v>28.721999999999987</v>
      </c>
      <c r="S39" s="8">
        <f t="shared" si="30"/>
        <v>26.667999999999999</v>
      </c>
      <c r="T39" s="8">
        <f t="shared" ref="T39:AP39" si="31">T$14*T40</f>
        <v>30.512230148427221</v>
      </c>
      <c r="U39" s="8">
        <f t="shared" si="31"/>
        <v>34.749199282828748</v>
      </c>
      <c r="V39" s="8">
        <f t="shared" si="31"/>
        <v>38.280491085288901</v>
      </c>
      <c r="W39" s="8">
        <f t="shared" si="31"/>
        <v>40.197159016839905</v>
      </c>
      <c r="X39" s="8">
        <f t="shared" si="31"/>
        <v>46.230815200172486</v>
      </c>
      <c r="Y39" s="8">
        <f t="shared" si="31"/>
        <v>51.06775683695701</v>
      </c>
      <c r="Z39" s="8">
        <f t="shared" si="31"/>
        <v>54.761357603263562</v>
      </c>
      <c r="AA39" s="8">
        <f t="shared" si="31"/>
        <v>54.766823659615994</v>
      </c>
      <c r="AB39" s="8">
        <f t="shared" si="31"/>
        <v>63.878881830034949</v>
      </c>
      <c r="AC39" s="8">
        <f t="shared" si="31"/>
        <v>70.544421693182329</v>
      </c>
      <c r="AD39" s="8">
        <f t="shared" si="31"/>
        <v>75.891878694532664</v>
      </c>
      <c r="AE39" s="8">
        <f t="shared" si="31"/>
        <v>72.846847303010534</v>
      </c>
      <c r="AF39" s="8">
        <f t="shared" si="31"/>
        <v>85.385195524922253</v>
      </c>
      <c r="AG39" s="8">
        <f t="shared" si="31"/>
        <v>94.276611091584016</v>
      </c>
      <c r="AH39" s="8">
        <f t="shared" si="31"/>
        <v>101.6735641046658</v>
      </c>
      <c r="AI39" s="8">
        <f t="shared" si="31"/>
        <v>97.522616922411018</v>
      </c>
      <c r="AJ39" s="8">
        <f t="shared" si="31"/>
        <v>114.27167715877583</v>
      </c>
      <c r="AK39" s="8">
        <f t="shared" si="31"/>
        <v>126.14953218224417</v>
      </c>
      <c r="AL39" s="8">
        <f t="shared" si="31"/>
        <v>136.34403058538089</v>
      </c>
      <c r="AM39" s="8">
        <f t="shared" si="31"/>
        <v>131.3904072195669</v>
      </c>
      <c r="AN39" s="8">
        <f t="shared" si="31"/>
        <v>153.21851052448469</v>
      </c>
      <c r="AO39" s="8">
        <f t="shared" si="31"/>
        <v>169.12178101506566</v>
      </c>
      <c r="AP39" s="8">
        <f t="shared" si="31"/>
        <v>183.10339628655035</v>
      </c>
      <c r="AR39" s="8">
        <f t="shared" ref="AR39:BA39" si="32">AR14-AR36</f>
        <v>17.475000000000001</v>
      </c>
      <c r="AS39" s="8">
        <f t="shared" si="32"/>
        <v>15.356</v>
      </c>
      <c r="AT39" s="8">
        <f t="shared" si="32"/>
        <v>44.301000000000002</v>
      </c>
      <c r="AU39" s="8">
        <f t="shared" si="32"/>
        <v>97.857999999999976</v>
      </c>
      <c r="AV39" s="8">
        <f t="shared" si="32"/>
        <v>130.20992051654486</v>
      </c>
      <c r="AW39" s="8">
        <f t="shared" si="32"/>
        <v>192.25708865723294</v>
      </c>
      <c r="AX39" s="8">
        <f t="shared" si="32"/>
        <v>265.08200587736593</v>
      </c>
      <c r="AY39" s="8">
        <f t="shared" si="32"/>
        <v>354.18221802418259</v>
      </c>
      <c r="AZ39" s="8">
        <f t="shared" si="32"/>
        <v>474.28785684881188</v>
      </c>
      <c r="BA39" s="8">
        <f t="shared" si="32"/>
        <v>636.8340950456676</v>
      </c>
      <c r="BC39" s="8">
        <v>30.718201200000003</v>
      </c>
      <c r="BD39" s="8">
        <f t="shared" ref="BD39:BD45" si="33">S39-BC39</f>
        <v>-4.0502012000000036</v>
      </c>
      <c r="BE39" s="41">
        <f t="shared" ref="BE39:BE45" si="34">BD39/BC39</f>
        <v>-0.13185020742685946</v>
      </c>
    </row>
    <row r="40" spans="1:57" x14ac:dyDescent="0.25">
      <c r="B40" s="20" t="s">
        <v>7</v>
      </c>
      <c r="C40" s="29">
        <f t="shared" ref="C40:S40" si="35">C39/C$14</f>
        <v>0.6410528175234057</v>
      </c>
      <c r="D40" s="29">
        <f t="shared" si="35"/>
        <v>0.64776394651913327</v>
      </c>
      <c r="E40" s="29">
        <f t="shared" si="35"/>
        <v>0.65197803744896532</v>
      </c>
      <c r="F40" s="29">
        <f t="shared" si="35"/>
        <v>0.65419337956299872</v>
      </c>
      <c r="G40" s="29">
        <f t="shared" si="35"/>
        <v>0.65528474903474898</v>
      </c>
      <c r="H40" s="29">
        <f t="shared" si="35"/>
        <v>0.43481503579952269</v>
      </c>
      <c r="I40" s="29">
        <f t="shared" si="35"/>
        <v>0.53566009104704093</v>
      </c>
      <c r="J40" s="29">
        <f t="shared" si="35"/>
        <v>0.63344901669145592</v>
      </c>
      <c r="K40" s="29">
        <f t="shared" si="35"/>
        <v>0.64627363737486088</v>
      </c>
      <c r="L40" s="29">
        <f t="shared" si="35"/>
        <v>0.7005256533649219</v>
      </c>
      <c r="M40" s="29">
        <f t="shared" si="35"/>
        <v>0.73951434878587208</v>
      </c>
      <c r="N40" s="29">
        <f t="shared" si="35"/>
        <v>0.7596706329457541</v>
      </c>
      <c r="O40" s="29">
        <f t="shared" si="35"/>
        <v>0.78352019659038541</v>
      </c>
      <c r="P40" s="29">
        <f t="shared" si="35"/>
        <v>0.75146471371504664</v>
      </c>
      <c r="Q40" s="29">
        <f t="shared" si="35"/>
        <v>0.74556752750698363</v>
      </c>
      <c r="R40" s="29">
        <f t="shared" si="35"/>
        <v>0.73026365970862661</v>
      </c>
      <c r="S40" s="29">
        <f t="shared" si="35"/>
        <v>0.60523807362353055</v>
      </c>
      <c r="T40" s="31">
        <f>S40</f>
        <v>0.60523807362353055</v>
      </c>
      <c r="U40" s="31">
        <f t="shared" ref="U40:AP42" si="36">T40</f>
        <v>0.60523807362353055</v>
      </c>
      <c r="V40" s="31">
        <f t="shared" si="36"/>
        <v>0.60523807362353055</v>
      </c>
      <c r="W40" s="31">
        <f t="shared" si="36"/>
        <v>0.60523807362353055</v>
      </c>
      <c r="X40" s="31">
        <f t="shared" si="36"/>
        <v>0.60523807362353055</v>
      </c>
      <c r="Y40" s="31">
        <f t="shared" si="36"/>
        <v>0.60523807362353055</v>
      </c>
      <c r="Z40" s="31">
        <f t="shared" si="36"/>
        <v>0.60523807362353055</v>
      </c>
      <c r="AA40" s="31">
        <f t="shared" si="36"/>
        <v>0.60523807362353055</v>
      </c>
      <c r="AB40" s="31">
        <f t="shared" si="36"/>
        <v>0.60523807362353055</v>
      </c>
      <c r="AC40" s="31">
        <f t="shared" si="36"/>
        <v>0.60523807362353055</v>
      </c>
      <c r="AD40" s="31">
        <f t="shared" si="36"/>
        <v>0.60523807362353055</v>
      </c>
      <c r="AE40" s="31">
        <f t="shared" si="36"/>
        <v>0.60523807362353055</v>
      </c>
      <c r="AF40" s="31">
        <f t="shared" si="36"/>
        <v>0.60523807362353055</v>
      </c>
      <c r="AG40" s="31">
        <f t="shared" si="36"/>
        <v>0.60523807362353055</v>
      </c>
      <c r="AH40" s="31">
        <f t="shared" si="36"/>
        <v>0.60523807362353055</v>
      </c>
      <c r="AI40" s="31">
        <f t="shared" si="36"/>
        <v>0.60523807362353055</v>
      </c>
      <c r="AJ40" s="31">
        <f t="shared" si="36"/>
        <v>0.60523807362353055</v>
      </c>
      <c r="AK40" s="31">
        <f t="shared" si="36"/>
        <v>0.60523807362353055</v>
      </c>
      <c r="AL40" s="31">
        <f t="shared" si="36"/>
        <v>0.60523807362353055</v>
      </c>
      <c r="AM40" s="31">
        <f t="shared" si="36"/>
        <v>0.60523807362353055</v>
      </c>
      <c r="AN40" s="31">
        <f t="shared" si="36"/>
        <v>0.60523807362353055</v>
      </c>
      <c r="AO40" s="31">
        <f t="shared" si="36"/>
        <v>0.60523807362353055</v>
      </c>
      <c r="AP40" s="31">
        <f t="shared" si="36"/>
        <v>0.60523807362353055</v>
      </c>
      <c r="AR40" s="29">
        <f t="shared" ref="AR40:BA40" si="37">AR39/AR$14</f>
        <v>0.64929033216913135</v>
      </c>
      <c r="AS40" s="29">
        <f t="shared" si="37"/>
        <v>0.56928894490991322</v>
      </c>
      <c r="AT40" s="29">
        <f t="shared" si="37"/>
        <v>0.72717573290436954</v>
      </c>
      <c r="AU40" s="29">
        <f t="shared" si="37"/>
        <v>0.74988697058169906</v>
      </c>
      <c r="AV40" s="29">
        <f t="shared" si="37"/>
        <v>0.60523807362353044</v>
      </c>
      <c r="AW40" s="29">
        <f t="shared" si="37"/>
        <v>0.60523807362353055</v>
      </c>
      <c r="AX40" s="29">
        <f t="shared" si="37"/>
        <v>0.60523807362353055</v>
      </c>
      <c r="AY40" s="29">
        <f t="shared" si="37"/>
        <v>0.60523807362353055</v>
      </c>
      <c r="AZ40" s="29">
        <f t="shared" si="37"/>
        <v>0.60523807362353055</v>
      </c>
      <c r="BA40" s="29">
        <f t="shared" si="37"/>
        <v>0.60523807362353055</v>
      </c>
      <c r="BC40" s="31">
        <v>0.70599999999999996</v>
      </c>
      <c r="BD40" s="31">
        <f t="shared" si="33"/>
        <v>-0.10076192637646941</v>
      </c>
      <c r="BE40" s="41">
        <f t="shared" si="34"/>
        <v>-0.14272227532077822</v>
      </c>
    </row>
    <row r="41" spans="1:57" x14ac:dyDescent="0.25">
      <c r="B41" s="22" t="s">
        <v>90</v>
      </c>
      <c r="C41" s="17"/>
      <c r="D41" s="17"/>
      <c r="E41" s="17"/>
      <c r="F41" s="17"/>
      <c r="G41" s="17"/>
      <c r="H41" s="17"/>
      <c r="I41" s="17"/>
      <c r="J41" s="17">
        <v>-0.12</v>
      </c>
      <c r="K41" s="17">
        <v>-0.11899999999999999</v>
      </c>
      <c r="L41" s="17">
        <v>-0.11899999999999999</v>
      </c>
      <c r="M41" s="17">
        <v>-0.11899999999999999</v>
      </c>
      <c r="N41" s="17">
        <v>-0.11899999999999999</v>
      </c>
      <c r="O41" s="17">
        <v>-0.11899999999999999</v>
      </c>
      <c r="P41" s="17">
        <v>-0.11799999999999999</v>
      </c>
      <c r="Q41" s="17">
        <v>-0.11600000000000001</v>
      </c>
      <c r="R41" s="17">
        <v>-0.11799999999999999</v>
      </c>
      <c r="S41" s="14">
        <f>R41</f>
        <v>-0.11799999999999999</v>
      </c>
      <c r="T41" s="14">
        <f>S41</f>
        <v>-0.11799999999999999</v>
      </c>
      <c r="U41" s="14">
        <f t="shared" si="36"/>
        <v>-0.11799999999999999</v>
      </c>
      <c r="V41" s="14">
        <f t="shared" si="36"/>
        <v>-0.11799999999999999</v>
      </c>
      <c r="W41" s="14">
        <f t="shared" si="36"/>
        <v>-0.11799999999999999</v>
      </c>
      <c r="X41" s="14">
        <f t="shared" si="36"/>
        <v>-0.11799999999999999</v>
      </c>
      <c r="Y41" s="14">
        <f t="shared" si="36"/>
        <v>-0.11799999999999999</v>
      </c>
      <c r="Z41" s="14">
        <f t="shared" si="36"/>
        <v>-0.11799999999999999</v>
      </c>
      <c r="AA41" s="14">
        <f t="shared" si="36"/>
        <v>-0.11799999999999999</v>
      </c>
      <c r="AB41" s="14">
        <f t="shared" si="36"/>
        <v>-0.11799999999999999</v>
      </c>
      <c r="AC41" s="14">
        <f t="shared" si="36"/>
        <v>-0.11799999999999999</v>
      </c>
      <c r="AD41" s="14">
        <f t="shared" si="36"/>
        <v>-0.11799999999999999</v>
      </c>
      <c r="AE41" s="14">
        <f t="shared" si="36"/>
        <v>-0.11799999999999999</v>
      </c>
      <c r="AF41" s="14">
        <f t="shared" si="36"/>
        <v>-0.11799999999999999</v>
      </c>
      <c r="AG41" s="14">
        <f t="shared" si="36"/>
        <v>-0.11799999999999999</v>
      </c>
      <c r="AH41" s="14">
        <f t="shared" si="36"/>
        <v>-0.11799999999999999</v>
      </c>
      <c r="AI41" s="14">
        <f t="shared" si="36"/>
        <v>-0.11799999999999999</v>
      </c>
      <c r="AJ41" s="14">
        <f t="shared" si="36"/>
        <v>-0.11799999999999999</v>
      </c>
      <c r="AK41" s="14">
        <f t="shared" si="36"/>
        <v>-0.11799999999999999</v>
      </c>
      <c r="AL41" s="14">
        <f t="shared" si="36"/>
        <v>-0.11799999999999999</v>
      </c>
      <c r="AM41" s="14">
        <f t="shared" si="36"/>
        <v>-0.11799999999999999</v>
      </c>
      <c r="AN41" s="14">
        <f t="shared" si="36"/>
        <v>-0.11799999999999999</v>
      </c>
      <c r="AO41" s="14">
        <f t="shared" si="36"/>
        <v>-0.11799999999999999</v>
      </c>
      <c r="AP41" s="14">
        <f t="shared" si="36"/>
        <v>-0.11799999999999999</v>
      </c>
      <c r="AR41" s="10">
        <f>SUM(C41:F41)</f>
        <v>0</v>
      </c>
      <c r="AS41" s="10">
        <f>SUM(G41:J41)</f>
        <v>-0.12</v>
      </c>
      <c r="AT41" s="10">
        <f>SUM(K41:N41)</f>
        <v>-0.47599999999999998</v>
      </c>
      <c r="AU41" s="10">
        <f>SUM(O41:R41)</f>
        <v>-0.47099999999999997</v>
      </c>
      <c r="AV41" s="10">
        <f>SUM(S41:V41)</f>
        <v>-0.47199999999999998</v>
      </c>
      <c r="AW41" s="10">
        <f>SUM(W41:Z41)</f>
        <v>-0.47199999999999998</v>
      </c>
      <c r="AX41" s="10">
        <f>SUM(AA41:AD41)</f>
        <v>-0.47199999999999998</v>
      </c>
      <c r="AY41" s="10">
        <f>SUM(AE41:AH41)</f>
        <v>-0.47199999999999998</v>
      </c>
      <c r="AZ41" s="10">
        <f>SUM(AI41:AL41)</f>
        <v>-0.47199999999999998</v>
      </c>
      <c r="BA41" s="10">
        <f>SUM(AM41:AP41)</f>
        <v>-0.47199999999999998</v>
      </c>
      <c r="BC41" s="14">
        <v>-0.11799999999999999</v>
      </c>
      <c r="BD41" s="14">
        <f t="shared" si="33"/>
        <v>0</v>
      </c>
      <c r="BE41" s="41">
        <f t="shared" si="34"/>
        <v>0</v>
      </c>
    </row>
    <row r="42" spans="1:57" x14ac:dyDescent="0.25">
      <c r="B42" s="22" t="s">
        <v>91</v>
      </c>
      <c r="C42" s="17"/>
      <c r="D42" s="17"/>
      <c r="E42" s="17"/>
      <c r="F42" s="17"/>
      <c r="G42" s="17"/>
      <c r="H42" s="17"/>
      <c r="I42" s="17"/>
      <c r="J42" s="17">
        <v>-0.03</v>
      </c>
      <c r="K42" s="17">
        <v>-2.7E-2</v>
      </c>
      <c r="L42" s="17">
        <v>-3.1E-2</v>
      </c>
      <c r="M42" s="17">
        <v>-3.7999999999999999E-2</v>
      </c>
      <c r="N42" s="17">
        <v>-4.4999999999999998E-2</v>
      </c>
      <c r="O42" s="17">
        <v>-3.5999999999999997E-2</v>
      </c>
      <c r="P42" s="17">
        <v>-0.04</v>
      </c>
      <c r="Q42" s="17">
        <v>-0.05</v>
      </c>
      <c r="R42" s="17">
        <v>-5.2999999999999999E-2</v>
      </c>
      <c r="S42" s="14">
        <f>R42</f>
        <v>-5.2999999999999999E-2</v>
      </c>
      <c r="T42" s="14">
        <f t="shared" ref="T42:AG42" si="38">S42</f>
        <v>-5.2999999999999999E-2</v>
      </c>
      <c r="U42" s="14">
        <f t="shared" si="38"/>
        <v>-5.2999999999999999E-2</v>
      </c>
      <c r="V42" s="14">
        <f t="shared" si="38"/>
        <v>-5.2999999999999999E-2</v>
      </c>
      <c r="W42" s="14">
        <f t="shared" si="38"/>
        <v>-5.2999999999999999E-2</v>
      </c>
      <c r="X42" s="14">
        <f t="shared" si="38"/>
        <v>-5.2999999999999999E-2</v>
      </c>
      <c r="Y42" s="14">
        <f t="shared" si="38"/>
        <v>-5.2999999999999999E-2</v>
      </c>
      <c r="Z42" s="14">
        <f t="shared" si="38"/>
        <v>-5.2999999999999999E-2</v>
      </c>
      <c r="AA42" s="14">
        <f t="shared" si="38"/>
        <v>-5.2999999999999999E-2</v>
      </c>
      <c r="AB42" s="14">
        <f t="shared" si="38"/>
        <v>-5.2999999999999999E-2</v>
      </c>
      <c r="AC42" s="14">
        <f t="shared" si="38"/>
        <v>-5.2999999999999999E-2</v>
      </c>
      <c r="AD42" s="14">
        <f t="shared" si="38"/>
        <v>-5.2999999999999999E-2</v>
      </c>
      <c r="AE42" s="14">
        <f t="shared" si="38"/>
        <v>-5.2999999999999999E-2</v>
      </c>
      <c r="AF42" s="14">
        <f t="shared" si="38"/>
        <v>-5.2999999999999999E-2</v>
      </c>
      <c r="AG42" s="14">
        <f t="shared" si="38"/>
        <v>-5.2999999999999999E-2</v>
      </c>
      <c r="AH42" s="14">
        <f t="shared" si="36"/>
        <v>-5.2999999999999999E-2</v>
      </c>
      <c r="AI42" s="14">
        <f t="shared" si="36"/>
        <v>-5.2999999999999999E-2</v>
      </c>
      <c r="AJ42" s="14">
        <f t="shared" si="36"/>
        <v>-5.2999999999999999E-2</v>
      </c>
      <c r="AK42" s="14">
        <f t="shared" si="36"/>
        <v>-5.2999999999999999E-2</v>
      </c>
      <c r="AL42" s="14">
        <f t="shared" si="36"/>
        <v>-5.2999999999999999E-2</v>
      </c>
      <c r="AM42" s="14">
        <f t="shared" si="36"/>
        <v>-5.2999999999999999E-2</v>
      </c>
      <c r="AN42" s="14">
        <f t="shared" si="36"/>
        <v>-5.2999999999999999E-2</v>
      </c>
      <c r="AO42" s="14">
        <f t="shared" si="36"/>
        <v>-5.2999999999999999E-2</v>
      </c>
      <c r="AP42" s="14">
        <f t="shared" si="36"/>
        <v>-5.2999999999999999E-2</v>
      </c>
      <c r="AR42" s="10">
        <f>SUM(C42:F42)</f>
        <v>0</v>
      </c>
      <c r="AS42" s="10">
        <f>SUM(G42:J42)</f>
        <v>-0.03</v>
      </c>
      <c r="AT42" s="10">
        <f>SUM(K42:N42)</f>
        <v>-0.14100000000000001</v>
      </c>
      <c r="AU42" s="10">
        <f>SUM(O42:R42)</f>
        <v>-0.17899999999999999</v>
      </c>
      <c r="AV42" s="10">
        <f>SUM(S42:V42)</f>
        <v>-0.21199999999999999</v>
      </c>
      <c r="AW42" s="10">
        <f>SUM(W42:Z42)</f>
        <v>-0.21199999999999999</v>
      </c>
      <c r="AX42" s="10">
        <f>SUM(AA42:AD42)</f>
        <v>-0.21199999999999999</v>
      </c>
      <c r="AY42" s="10">
        <f>SUM(AE42:AH42)</f>
        <v>-0.21199999999999999</v>
      </c>
      <c r="AZ42" s="10">
        <f>SUM(AI42:AL42)</f>
        <v>-0.21199999999999999</v>
      </c>
      <c r="BA42" s="10">
        <f>SUM(AM42:AP42)</f>
        <v>-0.21199999999999999</v>
      </c>
      <c r="BC42" s="14">
        <v>-5.2999999999999999E-2</v>
      </c>
      <c r="BD42" s="14">
        <f t="shared" si="33"/>
        <v>0</v>
      </c>
      <c r="BE42" s="41">
        <f t="shared" si="34"/>
        <v>0</v>
      </c>
    </row>
    <row r="43" spans="1:57" x14ac:dyDescent="0.25">
      <c r="B43" s="22" t="s">
        <v>53</v>
      </c>
      <c r="C43" s="17"/>
      <c r="D43" s="17"/>
      <c r="E43" s="17"/>
      <c r="F43" s="17"/>
      <c r="G43" s="17"/>
      <c r="H43" s="17"/>
      <c r="I43" s="17"/>
      <c r="J43" s="17">
        <v>-1.6E-2</v>
      </c>
      <c r="K43" s="17">
        <v>-8.0000000000000002E-3</v>
      </c>
      <c r="L43" s="17">
        <v>-2E-3</v>
      </c>
      <c r="M43" s="17">
        <v>-2.5999999999999999E-2</v>
      </c>
      <c r="N43" s="17">
        <v>-4.0000000000000001E-3</v>
      </c>
      <c r="O43" s="17">
        <v>1E-3</v>
      </c>
      <c r="P43" s="17">
        <v>3.0000000000000001E-3</v>
      </c>
      <c r="Q43" s="17">
        <v>0</v>
      </c>
      <c r="R43" s="17">
        <v>0</v>
      </c>
      <c r="S43" s="14">
        <f>R43</f>
        <v>0</v>
      </c>
      <c r="T43" s="14">
        <f t="shared" ref="T43:AP43" si="39">S43</f>
        <v>0</v>
      </c>
      <c r="U43" s="14">
        <f t="shared" si="39"/>
        <v>0</v>
      </c>
      <c r="V43" s="14">
        <f t="shared" si="39"/>
        <v>0</v>
      </c>
      <c r="W43" s="14">
        <f t="shared" si="39"/>
        <v>0</v>
      </c>
      <c r="X43" s="14">
        <f t="shared" si="39"/>
        <v>0</v>
      </c>
      <c r="Y43" s="14">
        <f t="shared" si="39"/>
        <v>0</v>
      </c>
      <c r="Z43" s="14">
        <f t="shared" si="39"/>
        <v>0</v>
      </c>
      <c r="AA43" s="14">
        <f t="shared" si="39"/>
        <v>0</v>
      </c>
      <c r="AB43" s="14">
        <f t="shared" si="39"/>
        <v>0</v>
      </c>
      <c r="AC43" s="14">
        <f t="shared" si="39"/>
        <v>0</v>
      </c>
      <c r="AD43" s="14">
        <f t="shared" si="39"/>
        <v>0</v>
      </c>
      <c r="AE43" s="14">
        <f t="shared" si="39"/>
        <v>0</v>
      </c>
      <c r="AF43" s="14">
        <f t="shared" si="39"/>
        <v>0</v>
      </c>
      <c r="AG43" s="14">
        <f t="shared" si="39"/>
        <v>0</v>
      </c>
      <c r="AH43" s="14">
        <f t="shared" si="39"/>
        <v>0</v>
      </c>
      <c r="AI43" s="14">
        <f t="shared" si="39"/>
        <v>0</v>
      </c>
      <c r="AJ43" s="14">
        <f t="shared" si="39"/>
        <v>0</v>
      </c>
      <c r="AK43" s="14">
        <f t="shared" si="39"/>
        <v>0</v>
      </c>
      <c r="AL43" s="14">
        <f t="shared" si="39"/>
        <v>0</v>
      </c>
      <c r="AM43" s="14">
        <f t="shared" si="39"/>
        <v>0</v>
      </c>
      <c r="AN43" s="14">
        <f t="shared" si="39"/>
        <v>0</v>
      </c>
      <c r="AO43" s="14">
        <f t="shared" si="39"/>
        <v>0</v>
      </c>
      <c r="AP43" s="14">
        <f t="shared" si="39"/>
        <v>0</v>
      </c>
      <c r="AR43" s="10">
        <f>SUM(C43:F43)</f>
        <v>0</v>
      </c>
      <c r="AS43" s="10">
        <f>SUM(G43:J43)</f>
        <v>-1.6E-2</v>
      </c>
      <c r="AT43" s="10">
        <f>SUM(K43:N43)</f>
        <v>-3.9999999999999994E-2</v>
      </c>
      <c r="AU43" s="10">
        <f>SUM(O43:R43)</f>
        <v>4.0000000000000001E-3</v>
      </c>
      <c r="AV43" s="10">
        <f>SUM(S43:V43)</f>
        <v>0</v>
      </c>
      <c r="AW43" s="10">
        <f>SUM(W43:Z43)</f>
        <v>0</v>
      </c>
      <c r="AX43" s="10">
        <f>SUM(AA43:AD43)</f>
        <v>0</v>
      </c>
      <c r="AY43" s="10">
        <f>SUM(AE43:AH43)</f>
        <v>0</v>
      </c>
      <c r="AZ43" s="10">
        <f>SUM(AI43:AL43)</f>
        <v>0</v>
      </c>
      <c r="BA43" s="10">
        <f>SUM(AM43:AP43)</f>
        <v>0</v>
      </c>
      <c r="BC43" s="14">
        <v>0</v>
      </c>
      <c r="BD43" s="14">
        <f t="shared" si="33"/>
        <v>0</v>
      </c>
      <c r="BE43" s="41" t="e">
        <f t="shared" si="34"/>
        <v>#DIV/0!</v>
      </c>
    </row>
    <row r="44" spans="1:57" x14ac:dyDescent="0.25">
      <c r="B44" s="8" t="s">
        <v>94</v>
      </c>
      <c r="C44" s="8">
        <f>C39-SUM(C41:C43)</f>
        <v>3.6289999999999996</v>
      </c>
      <c r="D44" s="8">
        <f t="shared" ref="D44:Q44" si="40">D39-SUM(D41:D43)</f>
        <v>4.2149999999999999</v>
      </c>
      <c r="E44" s="8">
        <f t="shared" si="40"/>
        <v>4.6310000000000002</v>
      </c>
      <c r="F44" s="8">
        <f t="shared" si="40"/>
        <v>4.9999999999999982</v>
      </c>
      <c r="G44" s="8">
        <f t="shared" si="40"/>
        <v>5.431</v>
      </c>
      <c r="H44" s="8">
        <f t="shared" si="40"/>
        <v>2.9150000000000005</v>
      </c>
      <c r="I44" s="8">
        <f t="shared" si="40"/>
        <v>3.177</v>
      </c>
      <c r="J44" s="8">
        <f t="shared" si="40"/>
        <v>3.9990000000000001</v>
      </c>
      <c r="K44" s="8">
        <f t="shared" si="40"/>
        <v>4.8019999999999996</v>
      </c>
      <c r="L44" s="8">
        <f t="shared" si="40"/>
        <v>9.613999999999999</v>
      </c>
      <c r="M44" s="8">
        <f t="shared" si="40"/>
        <v>13.583000000000002</v>
      </c>
      <c r="N44" s="8">
        <f t="shared" si="40"/>
        <v>16.959000000000003</v>
      </c>
      <c r="O44" s="8">
        <f t="shared" si="40"/>
        <v>20.56</v>
      </c>
      <c r="P44" s="8">
        <f t="shared" si="40"/>
        <v>22.729000000000003</v>
      </c>
      <c r="Q44" s="8">
        <f t="shared" si="40"/>
        <v>26.321999999999999</v>
      </c>
      <c r="R44" s="8">
        <f t="shared" ref="R44:AP44" si="41">R39-SUM(R41:R43)</f>
        <v>28.892999999999986</v>
      </c>
      <c r="S44" s="8">
        <f t="shared" si="41"/>
        <v>26.838999999999999</v>
      </c>
      <c r="T44" s="8">
        <f t="shared" si="41"/>
        <v>30.683230148427221</v>
      </c>
      <c r="U44" s="8">
        <f t="shared" si="41"/>
        <v>34.920199282828747</v>
      </c>
      <c r="V44" s="8">
        <f t="shared" si="41"/>
        <v>38.4514910852889</v>
      </c>
      <c r="W44" s="8">
        <f t="shared" si="41"/>
        <v>40.368159016839904</v>
      </c>
      <c r="X44" s="8">
        <f t="shared" si="41"/>
        <v>46.401815200172486</v>
      </c>
      <c r="Y44" s="8">
        <f t="shared" si="41"/>
        <v>51.238756836957009</v>
      </c>
      <c r="Z44" s="8">
        <f t="shared" si="41"/>
        <v>54.932357603263561</v>
      </c>
      <c r="AA44" s="8">
        <f t="shared" si="41"/>
        <v>54.937823659615994</v>
      </c>
      <c r="AB44" s="8">
        <f t="shared" si="41"/>
        <v>64.049881830034948</v>
      </c>
      <c r="AC44" s="8">
        <f t="shared" si="41"/>
        <v>70.715421693182336</v>
      </c>
      <c r="AD44" s="8">
        <f t="shared" si="41"/>
        <v>76.062878694532671</v>
      </c>
      <c r="AE44" s="8">
        <f t="shared" si="41"/>
        <v>73.017847303010541</v>
      </c>
      <c r="AF44" s="8">
        <f t="shared" si="41"/>
        <v>85.556195524922259</v>
      </c>
      <c r="AG44" s="8">
        <f t="shared" si="41"/>
        <v>94.447611091584022</v>
      </c>
      <c r="AH44" s="8">
        <f t="shared" si="41"/>
        <v>101.84456410466581</v>
      </c>
      <c r="AI44" s="8">
        <f t="shared" si="41"/>
        <v>97.693616922411024</v>
      </c>
      <c r="AJ44" s="8">
        <f t="shared" si="41"/>
        <v>114.44267715877584</v>
      </c>
      <c r="AK44" s="8">
        <f t="shared" si="41"/>
        <v>126.32053218224418</v>
      </c>
      <c r="AL44" s="8">
        <f t="shared" si="41"/>
        <v>136.51503058538088</v>
      </c>
      <c r="AM44" s="8">
        <f t="shared" si="41"/>
        <v>131.56140721956689</v>
      </c>
      <c r="AN44" s="8">
        <f t="shared" si="41"/>
        <v>153.38951052448468</v>
      </c>
      <c r="AO44" s="8">
        <f t="shared" si="41"/>
        <v>169.29278101506566</v>
      </c>
      <c r="AP44" s="8">
        <f t="shared" si="41"/>
        <v>183.27439628655034</v>
      </c>
      <c r="AR44" s="8">
        <f t="shared" ref="AR44:BA44" si="42">AR39-SUM(AR41:AR43)</f>
        <v>17.475000000000001</v>
      </c>
      <c r="AS44" s="8">
        <f t="shared" si="42"/>
        <v>15.522</v>
      </c>
      <c r="AT44" s="8">
        <f t="shared" si="42"/>
        <v>44.957999999999998</v>
      </c>
      <c r="AU44" s="8">
        <f t="shared" si="42"/>
        <v>98.503999999999976</v>
      </c>
      <c r="AV44" s="8">
        <f t="shared" si="42"/>
        <v>130.89392051654485</v>
      </c>
      <c r="AW44" s="8">
        <f t="shared" si="42"/>
        <v>192.94108865723294</v>
      </c>
      <c r="AX44" s="8">
        <f t="shared" si="42"/>
        <v>265.76600587736596</v>
      </c>
      <c r="AY44" s="8">
        <f t="shared" si="42"/>
        <v>354.86621802418261</v>
      </c>
      <c r="AZ44" s="8">
        <f t="shared" si="42"/>
        <v>474.97185684881191</v>
      </c>
      <c r="BA44" s="8">
        <f t="shared" si="42"/>
        <v>637.51809504566756</v>
      </c>
      <c r="BC44" s="8">
        <v>30.889201200000002</v>
      </c>
      <c r="BD44" s="8">
        <f t="shared" si="33"/>
        <v>-4.0502012000000036</v>
      </c>
      <c r="BE44" s="41">
        <f t="shared" si="34"/>
        <v>-0.1311202958527786</v>
      </c>
    </row>
    <row r="45" spans="1:57" x14ac:dyDescent="0.25">
      <c r="B45" s="20" t="s">
        <v>7</v>
      </c>
      <c r="C45" s="29">
        <f t="shared" ref="C45:BA45" si="43">C44/C$14</f>
        <v>0.6410528175234057</v>
      </c>
      <c r="D45" s="29">
        <f t="shared" si="43"/>
        <v>0.64776394651913327</v>
      </c>
      <c r="E45" s="29">
        <f t="shared" si="43"/>
        <v>0.65197803744896532</v>
      </c>
      <c r="F45" s="29">
        <f t="shared" si="43"/>
        <v>0.65419337956299872</v>
      </c>
      <c r="G45" s="29">
        <f t="shared" si="43"/>
        <v>0.65528474903474898</v>
      </c>
      <c r="H45" s="29">
        <f t="shared" si="43"/>
        <v>0.43481503579952269</v>
      </c>
      <c r="I45" s="29">
        <f t="shared" si="43"/>
        <v>0.53566009104704093</v>
      </c>
      <c r="J45" s="29">
        <f t="shared" si="43"/>
        <v>0.6608824987605354</v>
      </c>
      <c r="K45" s="29">
        <f t="shared" si="43"/>
        <v>0.6676863181312569</v>
      </c>
      <c r="L45" s="29">
        <f t="shared" si="43"/>
        <v>0.7117790775153624</v>
      </c>
      <c r="M45" s="29">
        <f t="shared" si="43"/>
        <v>0.74961368653421645</v>
      </c>
      <c r="N45" s="29">
        <f t="shared" si="43"/>
        <v>0.76727141112066244</v>
      </c>
      <c r="O45" s="29">
        <f t="shared" si="43"/>
        <v>0.78943326677929648</v>
      </c>
      <c r="P45" s="29">
        <f t="shared" si="43"/>
        <v>0.75662450066577902</v>
      </c>
      <c r="Q45" s="29">
        <f t="shared" si="43"/>
        <v>0.75029929878570201</v>
      </c>
      <c r="R45" s="29">
        <f t="shared" si="43"/>
        <v>0.73461137525107412</v>
      </c>
      <c r="S45" s="29">
        <f t="shared" si="43"/>
        <v>0.60911896872588622</v>
      </c>
      <c r="T45" s="29">
        <f t="shared" si="43"/>
        <v>0.60863001548048978</v>
      </c>
      <c r="U45" s="29">
        <f t="shared" si="43"/>
        <v>0.60821643608153297</v>
      </c>
      <c r="V45" s="29">
        <f t="shared" si="43"/>
        <v>0.60794168864140052</v>
      </c>
      <c r="W45" s="29">
        <f t="shared" si="43"/>
        <v>0.60781277574479897</v>
      </c>
      <c r="X45" s="29">
        <f t="shared" si="43"/>
        <v>0.60747674733372792</v>
      </c>
      <c r="Y45" s="29">
        <f t="shared" si="43"/>
        <v>0.60726470876476168</v>
      </c>
      <c r="Z45" s="29">
        <f t="shared" si="43"/>
        <v>0.60712801417868323</v>
      </c>
      <c r="AA45" s="29">
        <f t="shared" si="43"/>
        <v>0.60712782555131928</v>
      </c>
      <c r="AB45" s="29">
        <f t="shared" si="43"/>
        <v>0.60685826025837175</v>
      </c>
      <c r="AC45" s="29">
        <f t="shared" si="43"/>
        <v>0.60670517347502206</v>
      </c>
      <c r="AD45" s="29">
        <f t="shared" si="43"/>
        <v>0.60660179939195169</v>
      </c>
      <c r="AE45" s="29">
        <f t="shared" si="43"/>
        <v>0.60665880375010872</v>
      </c>
      <c r="AF45" s="29">
        <f t="shared" si="43"/>
        <v>0.60645017731379403</v>
      </c>
      <c r="AG45" s="29">
        <f t="shared" si="43"/>
        <v>0.60633586139285423</v>
      </c>
      <c r="AH45" s="29">
        <f t="shared" si="43"/>
        <v>0.60625599515997919</v>
      </c>
      <c r="AI45" s="29">
        <f t="shared" si="43"/>
        <v>0.60629932191501124</v>
      </c>
      <c r="AJ45" s="29">
        <f t="shared" si="43"/>
        <v>0.60614377233350769</v>
      </c>
      <c r="AK45" s="29">
        <f t="shared" si="43"/>
        <v>0.60605849450658311</v>
      </c>
      <c r="AL45" s="29">
        <f t="shared" si="43"/>
        <v>0.60599715130478493</v>
      </c>
      <c r="AM45" s="29">
        <f t="shared" si="43"/>
        <v>0.60602576971778699</v>
      </c>
      <c r="AN45" s="29">
        <f t="shared" si="43"/>
        <v>0.6059135514769266</v>
      </c>
      <c r="AO45" s="29">
        <f t="shared" si="43"/>
        <v>0.60585003330115716</v>
      </c>
      <c r="AP45" s="29">
        <f t="shared" si="43"/>
        <v>0.60580330459514864</v>
      </c>
      <c r="AR45" s="29">
        <f t="shared" si="43"/>
        <v>0.64929033216913135</v>
      </c>
      <c r="AS45" s="29">
        <f t="shared" si="43"/>
        <v>0.57544301920367757</v>
      </c>
      <c r="AT45" s="29">
        <f t="shared" si="43"/>
        <v>0.73796001444469983</v>
      </c>
      <c r="AU45" s="29">
        <f t="shared" si="43"/>
        <v>0.75483727595270378</v>
      </c>
      <c r="AV45" s="29">
        <f t="shared" si="43"/>
        <v>0.60841742309795011</v>
      </c>
      <c r="AW45" s="29">
        <f t="shared" si="43"/>
        <v>0.60739135101501629</v>
      </c>
      <c r="AX45" s="29">
        <f t="shared" si="43"/>
        <v>0.60679978974601234</v>
      </c>
      <c r="AY45" s="29">
        <f t="shared" si="43"/>
        <v>0.6064069150314022</v>
      </c>
      <c r="AZ45" s="29">
        <f t="shared" si="43"/>
        <v>0.60611092507098074</v>
      </c>
      <c r="BA45" s="29">
        <f t="shared" si="43"/>
        <v>0.6058881375029288</v>
      </c>
      <c r="BC45" s="29">
        <v>0.70993011293903496</v>
      </c>
      <c r="BD45" s="29">
        <f t="shared" si="33"/>
        <v>-0.10081114421314874</v>
      </c>
      <c r="BE45" s="41">
        <f t="shared" si="34"/>
        <v>-0.14200150462106947</v>
      </c>
    </row>
    <row r="46" spans="1:57" x14ac:dyDescent="0.25"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BC46" s="19"/>
      <c r="BD46" s="19"/>
    </row>
    <row r="47" spans="1:57" x14ac:dyDescent="0.25">
      <c r="B47" s="8" t="s">
        <v>8</v>
      </c>
    </row>
    <row r="48" spans="1:57" x14ac:dyDescent="0.25">
      <c r="B48" s="10" t="s">
        <v>9</v>
      </c>
      <c r="C48" s="17">
        <v>1.153</v>
      </c>
      <c r="D48" s="17">
        <v>1.2450000000000001</v>
      </c>
      <c r="E48" s="17">
        <v>1.403</v>
      </c>
      <c r="F48" s="17">
        <f>5.268-SUM(C48:E48)</f>
        <v>1.4669999999999996</v>
      </c>
      <c r="G48" s="17">
        <v>1.6180000000000001</v>
      </c>
      <c r="H48" s="17">
        <v>1.8240000000000001</v>
      </c>
      <c r="I48" s="17">
        <v>1.9450000000000001</v>
      </c>
      <c r="J48" s="17">
        <f>7.339-SUM(G48:I48)</f>
        <v>1.952</v>
      </c>
      <c r="K48" s="17">
        <v>1.875</v>
      </c>
      <c r="L48" s="17">
        <v>2.04</v>
      </c>
      <c r="M48" s="17">
        <v>2.294</v>
      </c>
      <c r="N48" s="17">
        <f>8.675-SUM(K48:M48)</f>
        <v>2.4660000000000011</v>
      </c>
      <c r="O48" s="17">
        <v>2.72</v>
      </c>
      <c r="P48" s="17">
        <v>3.09</v>
      </c>
      <c r="Q48" s="17">
        <v>3.39</v>
      </c>
      <c r="R48" s="17">
        <f>12.914-SUM(O48:Q48)</f>
        <v>3.7139999999999986</v>
      </c>
      <c r="S48" s="17">
        <v>3.9889999999999999</v>
      </c>
      <c r="T48" s="15">
        <f t="shared" ref="S48:AP48" si="44">T$39*T49</f>
        <v>4.5640200263265402</v>
      </c>
      <c r="U48" s="15">
        <f t="shared" si="44"/>
        <v>5.1977859584222239</v>
      </c>
      <c r="V48" s="15">
        <f t="shared" si="44"/>
        <v>5.7259966603876338</v>
      </c>
      <c r="W48" s="15">
        <f t="shared" si="44"/>
        <v>6.0126918898370469</v>
      </c>
      <c r="X48" s="15">
        <f t="shared" si="44"/>
        <v>6.9152063084403794</v>
      </c>
      <c r="Y48" s="15">
        <f t="shared" si="44"/>
        <v>7.6387161400413044</v>
      </c>
      <c r="Z48" s="15">
        <f t="shared" si="44"/>
        <v>8.1912050202271764</v>
      </c>
      <c r="AA48" s="15">
        <f t="shared" si="44"/>
        <v>8.1920226330511543</v>
      </c>
      <c r="AB48" s="15">
        <f t="shared" si="44"/>
        <v>9.5550044855260765</v>
      </c>
      <c r="AC48" s="15">
        <f t="shared" si="44"/>
        <v>10.552036078224999</v>
      </c>
      <c r="AD48" s="15">
        <f t="shared" si="44"/>
        <v>11.351908808777965</v>
      </c>
      <c r="AE48" s="15">
        <f t="shared" si="44"/>
        <v>10.896432949291622</v>
      </c>
      <c r="AF48" s="15">
        <f t="shared" si="44"/>
        <v>12.771919339617325</v>
      </c>
      <c r="AG48" s="15">
        <f t="shared" si="44"/>
        <v>14.101897466788984</v>
      </c>
      <c r="AH48" s="15">
        <f t="shared" si="44"/>
        <v>15.208333853814004</v>
      </c>
      <c r="AI48" s="15">
        <f t="shared" si="44"/>
        <v>14.587435087126801</v>
      </c>
      <c r="AJ48" s="15">
        <f t="shared" si="44"/>
        <v>17.092759868994928</v>
      </c>
      <c r="AK48" s="15">
        <f t="shared" si="44"/>
        <v>18.869449672827809</v>
      </c>
      <c r="AL48" s="15">
        <f t="shared" si="44"/>
        <v>20.39434295804276</v>
      </c>
      <c r="AM48" s="15">
        <f t="shared" si="44"/>
        <v>19.653379870963413</v>
      </c>
      <c r="AN48" s="15">
        <f t="shared" si="44"/>
        <v>22.918428021680267</v>
      </c>
      <c r="AO48" s="15">
        <f t="shared" si="44"/>
        <v>25.297239555613352</v>
      </c>
      <c r="AP48" s="15">
        <f t="shared" si="44"/>
        <v>27.388609861521271</v>
      </c>
      <c r="AR48" s="10">
        <f>SUM(C48:F48)</f>
        <v>5.2679999999999998</v>
      </c>
      <c r="AS48" s="10">
        <f>SUM(G48:J48)</f>
        <v>7.3390000000000004</v>
      </c>
      <c r="AT48" s="10">
        <f>SUM(K48:N48)</f>
        <v>8.6750000000000007</v>
      </c>
      <c r="AU48" s="10">
        <f>SUM(O48:R48)</f>
        <v>12.914</v>
      </c>
      <c r="AV48" s="10">
        <f>SUM(S48:V48)</f>
        <v>19.476802645136395</v>
      </c>
      <c r="AW48" s="10">
        <f>SUM(W48:Z48)</f>
        <v>28.757819358545905</v>
      </c>
      <c r="AX48" s="10">
        <f>SUM(AA48:AD48)</f>
        <v>39.650972005580194</v>
      </c>
      <c r="AY48" s="10">
        <f>SUM(AE48:AH48)</f>
        <v>52.978583609511936</v>
      </c>
      <c r="AZ48" s="10">
        <f>SUM(AI48:AL48)</f>
        <v>70.943987586992293</v>
      </c>
      <c r="BA48" s="10">
        <f>SUM(AM48:AP48)</f>
        <v>95.257657309778295</v>
      </c>
      <c r="BC48" s="15">
        <v>3.7783387476000003</v>
      </c>
      <c r="BD48" s="15">
        <f t="shared" ref="BD48:BD59" si="45">S48-BC48</f>
        <v>0.21066125239999955</v>
      </c>
      <c r="BE48" s="41">
        <f t="shared" ref="BE48:BE59" si="46">BD48/BC48</f>
        <v>5.575499352296337E-2</v>
      </c>
    </row>
    <row r="49" spans="2:57" x14ac:dyDescent="0.25">
      <c r="B49" s="20" t="s">
        <v>7</v>
      </c>
      <c r="C49" s="29">
        <f>C48/C$39</f>
        <v>0.31771837971893085</v>
      </c>
      <c r="D49" s="29">
        <f>D48/D$39</f>
        <v>0.29537366548042709</v>
      </c>
      <c r="E49" s="29">
        <f>E48/E$39</f>
        <v>0.30295832433599651</v>
      </c>
      <c r="F49" s="29">
        <f>F48/F$39</f>
        <v>0.29340000000000005</v>
      </c>
      <c r="G49" s="29">
        <f>G48/G$39</f>
        <v>0.29791935186890078</v>
      </c>
      <c r="H49" s="29">
        <f t="shared" ref="H49:S49" si="47">H48/H$39</f>
        <v>0.62572898799313881</v>
      </c>
      <c r="I49" s="29">
        <f t="shared" si="47"/>
        <v>0.61221277935158958</v>
      </c>
      <c r="J49" s="29">
        <f t="shared" si="47"/>
        <v>0.50926167492825458</v>
      </c>
      <c r="K49" s="29">
        <f t="shared" si="47"/>
        <v>0.40339931153184166</v>
      </c>
      <c r="L49" s="29">
        <f t="shared" si="47"/>
        <v>0.21559923906150921</v>
      </c>
      <c r="M49" s="29">
        <f t="shared" si="47"/>
        <v>0.17119402985074625</v>
      </c>
      <c r="N49" s="29">
        <f t="shared" si="47"/>
        <v>0.14686439163837772</v>
      </c>
      <c r="O49" s="29">
        <f t="shared" si="47"/>
        <v>0.13329412917769284</v>
      </c>
      <c r="P49" s="29">
        <f t="shared" si="47"/>
        <v>0.13688313989545492</v>
      </c>
      <c r="Q49" s="29">
        <f t="shared" si="47"/>
        <v>0.12960697354335526</v>
      </c>
      <c r="R49" s="29">
        <f t="shared" si="47"/>
        <v>0.12930854397326091</v>
      </c>
      <c r="S49" s="29">
        <f t="shared" si="47"/>
        <v>0.14958002099895004</v>
      </c>
      <c r="T49" s="31">
        <f>S49</f>
        <v>0.14958002099895004</v>
      </c>
      <c r="U49" s="31">
        <f t="shared" ref="U49:AP49" si="48">T49</f>
        <v>0.14958002099895004</v>
      </c>
      <c r="V49" s="31">
        <f t="shared" si="48"/>
        <v>0.14958002099895004</v>
      </c>
      <c r="W49" s="31">
        <f t="shared" si="48"/>
        <v>0.14958002099895004</v>
      </c>
      <c r="X49" s="31">
        <f t="shared" si="48"/>
        <v>0.14958002099895004</v>
      </c>
      <c r="Y49" s="31">
        <f t="shared" si="48"/>
        <v>0.14958002099895004</v>
      </c>
      <c r="Z49" s="31">
        <f t="shared" si="48"/>
        <v>0.14958002099895004</v>
      </c>
      <c r="AA49" s="31">
        <f t="shared" si="48"/>
        <v>0.14958002099895004</v>
      </c>
      <c r="AB49" s="31">
        <f t="shared" si="48"/>
        <v>0.14958002099895004</v>
      </c>
      <c r="AC49" s="31">
        <f t="shared" si="48"/>
        <v>0.14958002099895004</v>
      </c>
      <c r="AD49" s="31">
        <f t="shared" si="48"/>
        <v>0.14958002099895004</v>
      </c>
      <c r="AE49" s="31">
        <f t="shared" si="48"/>
        <v>0.14958002099895004</v>
      </c>
      <c r="AF49" s="31">
        <f t="shared" si="48"/>
        <v>0.14958002099895004</v>
      </c>
      <c r="AG49" s="31">
        <f t="shared" si="48"/>
        <v>0.14958002099895004</v>
      </c>
      <c r="AH49" s="31">
        <f t="shared" si="48"/>
        <v>0.14958002099895004</v>
      </c>
      <c r="AI49" s="31">
        <f t="shared" si="48"/>
        <v>0.14958002099895004</v>
      </c>
      <c r="AJ49" s="31">
        <f t="shared" si="48"/>
        <v>0.14958002099895004</v>
      </c>
      <c r="AK49" s="31">
        <f t="shared" si="48"/>
        <v>0.14958002099895004</v>
      </c>
      <c r="AL49" s="31">
        <f t="shared" si="48"/>
        <v>0.14958002099895004</v>
      </c>
      <c r="AM49" s="31">
        <f t="shared" si="48"/>
        <v>0.14958002099895004</v>
      </c>
      <c r="AN49" s="31">
        <f t="shared" si="48"/>
        <v>0.14958002099895004</v>
      </c>
      <c r="AO49" s="31">
        <f t="shared" si="48"/>
        <v>0.14958002099895004</v>
      </c>
      <c r="AP49" s="31">
        <f t="shared" si="48"/>
        <v>0.14958002099895004</v>
      </c>
      <c r="AR49" s="29">
        <f t="shared" ref="AR49:BA49" si="49">AR48/AR$39</f>
        <v>0.30145922746781112</v>
      </c>
      <c r="AS49" s="29">
        <f t="shared" si="49"/>
        <v>0.47792393852565773</v>
      </c>
      <c r="AT49" s="29">
        <f t="shared" si="49"/>
        <v>0.19581950746032822</v>
      </c>
      <c r="AU49" s="29">
        <f t="shared" si="49"/>
        <v>0.13196672729873901</v>
      </c>
      <c r="AV49" s="29">
        <f t="shared" si="49"/>
        <v>0.14958002099895004</v>
      </c>
      <c r="AW49" s="29">
        <f t="shared" si="49"/>
        <v>0.14958002099895004</v>
      </c>
      <c r="AX49" s="29">
        <f t="shared" si="49"/>
        <v>0.14958002099895004</v>
      </c>
      <c r="AY49" s="29">
        <f t="shared" si="49"/>
        <v>0.14958002099895004</v>
      </c>
      <c r="AZ49" s="29">
        <f t="shared" si="49"/>
        <v>0.14958002099895004</v>
      </c>
      <c r="BA49" s="29">
        <f t="shared" si="49"/>
        <v>0.14958002099895001</v>
      </c>
      <c r="BC49" s="31">
        <v>0.123</v>
      </c>
      <c r="BD49" s="31">
        <f t="shared" si="45"/>
        <v>2.6580020998950044E-2</v>
      </c>
      <c r="BE49" s="41">
        <f t="shared" si="46"/>
        <v>0.21609773169878085</v>
      </c>
    </row>
    <row r="50" spans="2:57" x14ac:dyDescent="0.25">
      <c r="B50" s="20" t="s">
        <v>4</v>
      </c>
      <c r="C50" s="6"/>
      <c r="D50" s="6"/>
      <c r="E50" s="6"/>
      <c r="F50" s="6" t="s">
        <v>17</v>
      </c>
      <c r="G50" s="6">
        <f t="shared" ref="G50:Q50" si="50">G48/C48-1</f>
        <v>0.40329575021682573</v>
      </c>
      <c r="H50" s="6">
        <f t="shared" si="50"/>
        <v>0.46506024096385534</v>
      </c>
      <c r="I50" s="6">
        <f t="shared" si="50"/>
        <v>0.38631503920171073</v>
      </c>
      <c r="J50" s="6">
        <f t="shared" si="50"/>
        <v>0.33060668029993212</v>
      </c>
      <c r="K50" s="6">
        <f t="shared" si="50"/>
        <v>0.15883807169344855</v>
      </c>
      <c r="L50" s="6">
        <f t="shared" si="50"/>
        <v>0.11842105263157898</v>
      </c>
      <c r="M50" s="6">
        <f t="shared" si="50"/>
        <v>0.17943444730077118</v>
      </c>
      <c r="N50" s="6">
        <f t="shared" si="50"/>
        <v>0.26331967213114815</v>
      </c>
      <c r="O50" s="6">
        <f t="shared" si="50"/>
        <v>0.45066666666666677</v>
      </c>
      <c r="P50" s="6">
        <f t="shared" si="50"/>
        <v>0.51470588235294112</v>
      </c>
      <c r="Q50" s="6">
        <f t="shared" si="50"/>
        <v>0.47776809067131643</v>
      </c>
      <c r="R50" s="6">
        <f t="shared" ref="R50:W50" si="51">R48/N48-1</f>
        <v>0.50608272506082597</v>
      </c>
      <c r="S50" s="6">
        <f t="shared" si="51"/>
        <v>0.46654411764705861</v>
      </c>
      <c r="T50" s="6">
        <f t="shared" si="51"/>
        <v>0.47702913473350828</v>
      </c>
      <c r="U50" s="6">
        <f t="shared" si="51"/>
        <v>0.53327019422484478</v>
      </c>
      <c r="V50" s="6">
        <f t="shared" si="51"/>
        <v>0.54173308034131273</v>
      </c>
      <c r="W50" s="6">
        <f t="shared" si="51"/>
        <v>0.50731809722663512</v>
      </c>
      <c r="X50" s="6">
        <f t="shared" ref="X50:AP50" si="52">X48/T48-1</f>
        <v>0.51515687235190488</v>
      </c>
      <c r="Y50" s="6">
        <f t="shared" si="52"/>
        <v>0.46960959938412294</v>
      </c>
      <c r="Z50" s="6">
        <f t="shared" si="52"/>
        <v>0.43052912987075609</v>
      </c>
      <c r="AA50" s="6">
        <f t="shared" si="52"/>
        <v>0.36245508386979242</v>
      </c>
      <c r="AB50" s="6">
        <f t="shared" si="52"/>
        <v>0.38173816649022929</v>
      </c>
      <c r="AC50" s="6">
        <f t="shared" si="52"/>
        <v>0.38138868950927418</v>
      </c>
      <c r="AD50" s="6">
        <f t="shared" si="52"/>
        <v>0.38586554490405489</v>
      </c>
      <c r="AE50" s="6">
        <f t="shared" si="52"/>
        <v>0.33012730034819238</v>
      </c>
      <c r="AF50" s="6">
        <f t="shared" si="52"/>
        <v>0.33667329606848773</v>
      </c>
      <c r="AG50" s="6">
        <f t="shared" si="52"/>
        <v>0.33641482669770406</v>
      </c>
      <c r="AH50" s="6">
        <f t="shared" si="52"/>
        <v>0.33971599930877039</v>
      </c>
      <c r="AI50" s="6">
        <f t="shared" si="52"/>
        <v>0.3387349011380032</v>
      </c>
      <c r="AJ50" s="6">
        <f t="shared" si="52"/>
        <v>0.33830784665032709</v>
      </c>
      <c r="AK50" s="6">
        <f t="shared" si="52"/>
        <v>0.33807877395696329</v>
      </c>
      <c r="AL50" s="6">
        <f t="shared" si="52"/>
        <v>0.34099784723809101</v>
      </c>
      <c r="AM50" s="6">
        <f t="shared" si="52"/>
        <v>0.34728139344436459</v>
      </c>
      <c r="AN50" s="6">
        <f t="shared" si="52"/>
        <v>0.340826653936249</v>
      </c>
      <c r="AO50" s="6">
        <f t="shared" si="52"/>
        <v>0.34064532851965601</v>
      </c>
      <c r="AP50" s="6">
        <f t="shared" si="52"/>
        <v>0.34295132321094157</v>
      </c>
      <c r="AR50" s="6"/>
      <c r="AS50" s="6">
        <f>AS48/AR48-1</f>
        <v>0.39312832194381175</v>
      </c>
      <c r="AT50" s="6">
        <f t="shared" ref="AT50:BA50" si="53">AT48/AS48-1</f>
        <v>0.18204115002043886</v>
      </c>
      <c r="AU50" s="6">
        <f t="shared" si="53"/>
        <v>0.48864553314121029</v>
      </c>
      <c r="AV50" s="6">
        <f t="shared" si="53"/>
        <v>0.50819286395666685</v>
      </c>
      <c r="AW50" s="6">
        <f t="shared" si="53"/>
        <v>0.47651644279134797</v>
      </c>
      <c r="AX50" s="6">
        <f t="shared" si="53"/>
        <v>0.37878924376083445</v>
      </c>
      <c r="AY50" s="6">
        <f t="shared" si="53"/>
        <v>0.3361232002599106</v>
      </c>
      <c r="AZ50" s="6">
        <f t="shared" si="53"/>
        <v>0.33910691365208168</v>
      </c>
      <c r="BA50" s="6">
        <f t="shared" si="53"/>
        <v>0.34271642389670176</v>
      </c>
      <c r="BC50" s="6">
        <v>0.3890951277941177</v>
      </c>
      <c r="BD50" s="6">
        <f t="shared" si="45"/>
        <v>7.7448989852940908E-2</v>
      </c>
      <c r="BE50" s="41">
        <f t="shared" si="46"/>
        <v>0.19904898396446016</v>
      </c>
    </row>
    <row r="51" spans="2:57" x14ac:dyDescent="0.25">
      <c r="B51" s="10" t="s">
        <v>68</v>
      </c>
      <c r="C51" s="17">
        <v>0.52</v>
      </c>
      <c r="D51" s="17">
        <v>0.52600000000000002</v>
      </c>
      <c r="E51" s="17">
        <v>0.55700000000000005</v>
      </c>
      <c r="F51" s="17">
        <f>2.166-SUM(C51:E51)</f>
        <v>0.56299999999999972</v>
      </c>
      <c r="G51" s="17">
        <v>0.59199999999999997</v>
      </c>
      <c r="H51" s="17">
        <v>0.59199999999999997</v>
      </c>
      <c r="I51" s="17">
        <v>0.63100000000000001</v>
      </c>
      <c r="J51" s="17">
        <f>2.44-SUM(G51:I51)</f>
        <v>0.625</v>
      </c>
      <c r="K51" s="17">
        <v>0.63300000000000001</v>
      </c>
      <c r="L51" s="17">
        <v>0.622</v>
      </c>
      <c r="M51" s="17">
        <v>0.68899999999999995</v>
      </c>
      <c r="N51" s="17">
        <f>2.654-SUM(K51:M51)</f>
        <v>0.71</v>
      </c>
      <c r="O51" s="17">
        <v>0.77700000000000002</v>
      </c>
      <c r="P51" s="17">
        <v>0.84199999999999997</v>
      </c>
      <c r="Q51" s="17">
        <v>0.89700000000000002</v>
      </c>
      <c r="R51" s="17">
        <f>3.491-SUM(O51:Q51)</f>
        <v>0.97500000000000009</v>
      </c>
      <c r="S51" s="17">
        <v>1.0409999999999999</v>
      </c>
      <c r="T51" s="15">
        <f t="shared" ref="T51:AP51" si="54">T$14*T52</f>
        <v>1.9679225138743062</v>
      </c>
      <c r="U51" s="15">
        <f t="shared" si="54"/>
        <v>2.2411908692065396</v>
      </c>
      <c r="V51" s="15">
        <f t="shared" si="54"/>
        <v>2.4689457270886446</v>
      </c>
      <c r="W51" s="15">
        <f t="shared" si="54"/>
        <v>2.5925635011999395</v>
      </c>
      <c r="X51" s="15">
        <f t="shared" si="54"/>
        <v>2.9817113211526922</v>
      </c>
      <c r="Y51" s="15">
        <f t="shared" si="54"/>
        <v>3.2936756154379774</v>
      </c>
      <c r="Z51" s="15">
        <f t="shared" si="54"/>
        <v>3.5318987826702393</v>
      </c>
      <c r="AA51" s="15">
        <f t="shared" si="54"/>
        <v>3.5322513224651257</v>
      </c>
      <c r="AB51" s="15">
        <f t="shared" si="54"/>
        <v>4.1199443338926791</v>
      </c>
      <c r="AC51" s="15">
        <f t="shared" si="54"/>
        <v>4.5498462420785204</v>
      </c>
      <c r="AD51" s="15">
        <f t="shared" si="54"/>
        <v>4.8947368309912589</v>
      </c>
      <c r="AE51" s="15">
        <f t="shared" si="54"/>
        <v>4.6983439157018703</v>
      </c>
      <c r="AF51" s="15">
        <f t="shared" si="54"/>
        <v>5.507019572403018</v>
      </c>
      <c r="AG51" s="15">
        <f t="shared" si="54"/>
        <v>6.0804819771085645</v>
      </c>
      <c r="AH51" s="15">
        <f t="shared" si="54"/>
        <v>6.5575572448848982</v>
      </c>
      <c r="AI51" s="15">
        <f t="shared" si="54"/>
        <v>6.2898369774994816</v>
      </c>
      <c r="AJ51" s="15">
        <f t="shared" si="54"/>
        <v>7.3700875054038875</v>
      </c>
      <c r="AK51" s="15">
        <f t="shared" si="54"/>
        <v>8.1361638689968405</v>
      </c>
      <c r="AL51" s="15">
        <f t="shared" si="54"/>
        <v>8.7936701485311968</v>
      </c>
      <c r="AM51" s="15">
        <f t="shared" si="54"/>
        <v>8.4741803275833938</v>
      </c>
      <c r="AN51" s="15">
        <f t="shared" si="54"/>
        <v>9.8820097690880502</v>
      </c>
      <c r="AO51" s="15">
        <f t="shared" si="54"/>
        <v>10.907710083041025</v>
      </c>
      <c r="AP51" s="15">
        <f t="shared" si="54"/>
        <v>11.809470961850527</v>
      </c>
      <c r="AR51" s="10">
        <f>SUM(C51:F51)</f>
        <v>2.1659999999999999</v>
      </c>
      <c r="AS51" s="10">
        <f>SUM(G51:J51)</f>
        <v>2.44</v>
      </c>
      <c r="AT51" s="10">
        <f>SUM(K51:N51)</f>
        <v>2.6539999999999999</v>
      </c>
      <c r="AU51" s="10">
        <f>SUM(O51:R51)</f>
        <v>3.4910000000000001</v>
      </c>
      <c r="AV51" s="10">
        <f>SUM(S51:V51)</f>
        <v>7.719059110169491</v>
      </c>
      <c r="AW51" s="10">
        <f>SUM(W51:Z51)</f>
        <v>12.399849220460847</v>
      </c>
      <c r="AX51" s="10">
        <f>SUM(AA51:AD51)</f>
        <v>17.096778729427584</v>
      </c>
      <c r="AY51" s="10">
        <f>SUM(AE51:AH51)</f>
        <v>22.843402710098349</v>
      </c>
      <c r="AZ51" s="10">
        <f>SUM(AI51:AL51)</f>
        <v>30.589758500431408</v>
      </c>
      <c r="BA51" s="10">
        <f>SUM(AM51:AP51)</f>
        <v>41.073371141562994</v>
      </c>
      <c r="BC51" s="15">
        <v>1.4140815000000002</v>
      </c>
      <c r="BD51" s="15">
        <f t="shared" si="45"/>
        <v>-0.37308150000000029</v>
      </c>
      <c r="BE51" s="41">
        <f t="shared" si="46"/>
        <v>-0.26383309590005966</v>
      </c>
    </row>
    <row r="52" spans="2:57" x14ac:dyDescent="0.25">
      <c r="B52" s="20" t="s">
        <v>7</v>
      </c>
      <c r="C52" s="29">
        <f t="shared" ref="C52:S52" si="55">C51/C$39</f>
        <v>0.14329016257922295</v>
      </c>
      <c r="D52" s="29">
        <f t="shared" si="55"/>
        <v>0.12479240806642942</v>
      </c>
      <c r="E52" s="29">
        <f t="shared" si="55"/>
        <v>0.1202763981861369</v>
      </c>
      <c r="F52" s="29">
        <f t="shared" si="55"/>
        <v>0.11259999999999998</v>
      </c>
      <c r="G52" s="29">
        <f t="shared" si="55"/>
        <v>0.10900386669121707</v>
      </c>
      <c r="H52" s="29">
        <f t="shared" si="55"/>
        <v>0.20308747855917664</v>
      </c>
      <c r="I52" s="29">
        <f t="shared" si="55"/>
        <v>0.19861504564054139</v>
      </c>
      <c r="J52" s="29">
        <f t="shared" si="55"/>
        <v>0.16305765718758153</v>
      </c>
      <c r="K52" s="29">
        <f t="shared" si="55"/>
        <v>0.13618760757314977</v>
      </c>
      <c r="L52" s="29">
        <f t="shared" si="55"/>
        <v>6.5736630733460158E-2</v>
      </c>
      <c r="M52" s="29">
        <f t="shared" si="55"/>
        <v>5.141791044776118E-2</v>
      </c>
      <c r="N52" s="29">
        <f t="shared" si="55"/>
        <v>4.2284557203263642E-2</v>
      </c>
      <c r="O52" s="29">
        <f t="shared" si="55"/>
        <v>3.8077036165833585E-2</v>
      </c>
      <c r="P52" s="29">
        <f t="shared" si="55"/>
        <v>3.7299548152742092E-2</v>
      </c>
      <c r="Q52" s="29">
        <f t="shared" si="55"/>
        <v>3.4294234592445329E-2</v>
      </c>
      <c r="R52" s="29">
        <f t="shared" si="55"/>
        <v>3.3946104031752682E-2</v>
      </c>
      <c r="S52" s="29">
        <f t="shared" si="55"/>
        <v>3.9035548222588867E-2</v>
      </c>
      <c r="T52" s="31">
        <f>S52</f>
        <v>3.9035548222588867E-2</v>
      </c>
      <c r="U52" s="31">
        <f t="shared" ref="U52:AP52" si="56">T52</f>
        <v>3.9035548222588867E-2</v>
      </c>
      <c r="V52" s="31">
        <f t="shared" si="56"/>
        <v>3.9035548222588867E-2</v>
      </c>
      <c r="W52" s="31">
        <f t="shared" si="56"/>
        <v>3.9035548222588867E-2</v>
      </c>
      <c r="X52" s="31">
        <f t="shared" si="56"/>
        <v>3.9035548222588867E-2</v>
      </c>
      <c r="Y52" s="31">
        <f t="shared" si="56"/>
        <v>3.9035548222588867E-2</v>
      </c>
      <c r="Z52" s="31">
        <f t="shared" si="56"/>
        <v>3.9035548222588867E-2</v>
      </c>
      <c r="AA52" s="31">
        <f t="shared" si="56"/>
        <v>3.9035548222588867E-2</v>
      </c>
      <c r="AB52" s="31">
        <f t="shared" si="56"/>
        <v>3.9035548222588867E-2</v>
      </c>
      <c r="AC52" s="31">
        <f t="shared" si="56"/>
        <v>3.9035548222588867E-2</v>
      </c>
      <c r="AD52" s="31">
        <f t="shared" si="56"/>
        <v>3.9035548222588867E-2</v>
      </c>
      <c r="AE52" s="31">
        <f t="shared" si="56"/>
        <v>3.9035548222588867E-2</v>
      </c>
      <c r="AF52" s="31">
        <f t="shared" si="56"/>
        <v>3.9035548222588867E-2</v>
      </c>
      <c r="AG52" s="31">
        <f t="shared" si="56"/>
        <v>3.9035548222588867E-2</v>
      </c>
      <c r="AH52" s="31">
        <f t="shared" si="56"/>
        <v>3.9035548222588867E-2</v>
      </c>
      <c r="AI52" s="31">
        <f t="shared" si="56"/>
        <v>3.9035548222588867E-2</v>
      </c>
      <c r="AJ52" s="31">
        <f t="shared" si="56"/>
        <v>3.9035548222588867E-2</v>
      </c>
      <c r="AK52" s="31">
        <f t="shared" si="56"/>
        <v>3.9035548222588867E-2</v>
      </c>
      <c r="AL52" s="31">
        <f t="shared" si="56"/>
        <v>3.9035548222588867E-2</v>
      </c>
      <c r="AM52" s="31">
        <f t="shared" si="56"/>
        <v>3.9035548222588867E-2</v>
      </c>
      <c r="AN52" s="31">
        <f t="shared" si="56"/>
        <v>3.9035548222588867E-2</v>
      </c>
      <c r="AO52" s="31">
        <f t="shared" si="56"/>
        <v>3.9035548222588867E-2</v>
      </c>
      <c r="AP52" s="31">
        <f t="shared" si="56"/>
        <v>3.9035548222588867E-2</v>
      </c>
      <c r="AS52" s="29">
        <f t="shared" ref="AS52:BA52" si="57">AS51/AS$39</f>
        <v>0.15889554571502995</v>
      </c>
      <c r="AT52" s="29">
        <f t="shared" si="57"/>
        <v>5.9908354213223172E-2</v>
      </c>
      <c r="AU52" s="29">
        <f t="shared" si="57"/>
        <v>3.5674140080524851E-2</v>
      </c>
      <c r="AV52" s="29">
        <f t="shared" si="57"/>
        <v>5.9281651348436888E-2</v>
      </c>
      <c r="AW52" s="29">
        <f t="shared" si="57"/>
        <v>6.4496187407518779E-2</v>
      </c>
      <c r="AX52" s="29">
        <f t="shared" si="57"/>
        <v>6.4496187407518765E-2</v>
      </c>
      <c r="AY52" s="29">
        <f t="shared" si="57"/>
        <v>6.4496187407518765E-2</v>
      </c>
      <c r="AZ52" s="29">
        <f t="shared" si="57"/>
        <v>6.4496187407518779E-2</v>
      </c>
      <c r="BA52" s="29">
        <f t="shared" si="57"/>
        <v>6.4496187407518765E-2</v>
      </c>
      <c r="BC52" s="31">
        <v>3.2500000000000001E-2</v>
      </c>
      <c r="BD52" s="31">
        <f t="shared" si="45"/>
        <v>6.5355482225888661E-3</v>
      </c>
      <c r="BE52" s="41">
        <f t="shared" si="46"/>
        <v>0.20109379146427281</v>
      </c>
    </row>
    <row r="53" spans="2:57" x14ac:dyDescent="0.25">
      <c r="B53" s="20" t="s">
        <v>4</v>
      </c>
      <c r="C53" s="6"/>
      <c r="D53" s="6"/>
      <c r="E53" s="6"/>
      <c r="F53" s="6"/>
      <c r="G53" s="6">
        <f t="shared" ref="G53:AP53" si="58">G51/C51-1</f>
        <v>0.13846153846153841</v>
      </c>
      <c r="H53" s="6">
        <f t="shared" si="58"/>
        <v>0.12547528517110251</v>
      </c>
      <c r="I53" s="6">
        <f t="shared" si="58"/>
        <v>0.1328545780969479</v>
      </c>
      <c r="J53" s="6">
        <f t="shared" si="58"/>
        <v>0.11012433392540011</v>
      </c>
      <c r="K53" s="6">
        <f t="shared" si="58"/>
        <v>6.9256756756756799E-2</v>
      </c>
      <c r="L53" s="6">
        <f t="shared" si="58"/>
        <v>5.0675675675675658E-2</v>
      </c>
      <c r="M53" s="6">
        <f t="shared" si="58"/>
        <v>9.1917591125197928E-2</v>
      </c>
      <c r="N53" s="6">
        <f t="shared" si="58"/>
        <v>0.1359999999999999</v>
      </c>
      <c r="O53" s="6">
        <f t="shared" si="58"/>
        <v>0.2274881516587679</v>
      </c>
      <c r="P53" s="6">
        <f t="shared" si="58"/>
        <v>0.3536977491961415</v>
      </c>
      <c r="Q53" s="6">
        <f t="shared" si="58"/>
        <v>0.30188679245283034</v>
      </c>
      <c r="R53" s="6">
        <f t="shared" si="58"/>
        <v>0.37323943661971848</v>
      </c>
      <c r="S53" s="6">
        <f t="shared" si="58"/>
        <v>0.33976833976833953</v>
      </c>
      <c r="T53" s="6">
        <f t="shared" si="58"/>
        <v>1.3372001352426439</v>
      </c>
      <c r="U53" s="6">
        <f t="shared" si="58"/>
        <v>1.4985405453807576</v>
      </c>
      <c r="V53" s="6">
        <f t="shared" si="58"/>
        <v>1.5322520277832248</v>
      </c>
      <c r="W53" s="6">
        <f t="shared" si="58"/>
        <v>1.4904548522573866</v>
      </c>
      <c r="X53" s="6">
        <f t="shared" si="58"/>
        <v>0.5151568723519051</v>
      </c>
      <c r="Y53" s="6">
        <f t="shared" si="58"/>
        <v>0.46960959938412317</v>
      </c>
      <c r="Z53" s="6">
        <f t="shared" si="58"/>
        <v>0.43052912987075587</v>
      </c>
      <c r="AA53" s="6">
        <f t="shared" si="58"/>
        <v>0.36245508386979219</v>
      </c>
      <c r="AB53" s="6">
        <f t="shared" si="58"/>
        <v>0.38173816649022885</v>
      </c>
      <c r="AC53" s="6">
        <f t="shared" si="58"/>
        <v>0.3813886895092744</v>
      </c>
      <c r="AD53" s="6">
        <f t="shared" si="58"/>
        <v>0.38586554490405467</v>
      </c>
      <c r="AE53" s="6">
        <f t="shared" si="58"/>
        <v>0.33012730034819238</v>
      </c>
      <c r="AF53" s="6">
        <f t="shared" si="58"/>
        <v>0.33667329606848795</v>
      </c>
      <c r="AG53" s="6">
        <f t="shared" si="58"/>
        <v>0.33641482669770384</v>
      </c>
      <c r="AH53" s="6">
        <f t="shared" si="58"/>
        <v>0.33971599930877039</v>
      </c>
      <c r="AI53" s="6">
        <f t="shared" si="58"/>
        <v>0.33873490113800298</v>
      </c>
      <c r="AJ53" s="6">
        <f t="shared" si="58"/>
        <v>0.33830784665032709</v>
      </c>
      <c r="AK53" s="6">
        <f t="shared" si="58"/>
        <v>0.33807877395696329</v>
      </c>
      <c r="AL53" s="6">
        <f t="shared" si="58"/>
        <v>0.34099784723809123</v>
      </c>
      <c r="AM53" s="6">
        <f t="shared" si="58"/>
        <v>0.34728139344436482</v>
      </c>
      <c r="AN53" s="6">
        <f t="shared" si="58"/>
        <v>0.340826653936249</v>
      </c>
      <c r="AO53" s="6">
        <f t="shared" si="58"/>
        <v>0.34064532851965601</v>
      </c>
      <c r="AP53" s="6">
        <f t="shared" si="58"/>
        <v>0.34295132321094157</v>
      </c>
      <c r="AS53" s="6">
        <f>AS51/AR51-1</f>
        <v>0.12650046168051721</v>
      </c>
      <c r="AT53" s="6">
        <f t="shared" ref="AT53:BA53" si="59">AT51/AS51-1</f>
        <v>8.7704918032786905E-2</v>
      </c>
      <c r="AU53" s="6">
        <f t="shared" si="59"/>
        <v>0.31537302185380556</v>
      </c>
      <c r="AV53" s="6">
        <f t="shared" si="59"/>
        <v>1.2111312260582903</v>
      </c>
      <c r="AW53" s="6">
        <f t="shared" si="59"/>
        <v>0.60639386789053606</v>
      </c>
      <c r="AX53" s="6">
        <f t="shared" si="59"/>
        <v>0.37878924376083445</v>
      </c>
      <c r="AY53" s="6">
        <f t="shared" si="59"/>
        <v>0.33612320025991038</v>
      </c>
      <c r="AZ53" s="6">
        <f t="shared" si="59"/>
        <v>0.33910691365208212</v>
      </c>
      <c r="BA53" s="6">
        <f t="shared" si="59"/>
        <v>0.34271642389670176</v>
      </c>
      <c r="BC53" s="6">
        <v>0.81992471042471071</v>
      </c>
      <c r="BD53" s="6">
        <f t="shared" si="45"/>
        <v>-0.48015637065637118</v>
      </c>
      <c r="BE53" s="41">
        <f t="shared" si="46"/>
        <v>-0.58561031830307464</v>
      </c>
    </row>
    <row r="54" spans="2:57" hidden="1" x14ac:dyDescent="0.25">
      <c r="B54" s="10" t="s">
        <v>99</v>
      </c>
      <c r="C54" s="15">
        <v>0</v>
      </c>
      <c r="D54" s="15">
        <v>0</v>
      </c>
      <c r="E54" s="15">
        <v>0</v>
      </c>
      <c r="F54" s="15">
        <v>0</v>
      </c>
      <c r="G54" s="15">
        <v>1.353</v>
      </c>
      <c r="H54" s="15">
        <v>0</v>
      </c>
      <c r="I54" s="15">
        <v>0</v>
      </c>
      <c r="J54" s="15">
        <f>1.353-SUM(G54:I54)</f>
        <v>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BC54" s="15"/>
      <c r="BD54" s="15">
        <f t="shared" si="45"/>
        <v>0</v>
      </c>
      <c r="BE54" s="41" t="e">
        <f t="shared" si="46"/>
        <v>#DIV/0!</v>
      </c>
    </row>
    <row r="55" spans="2:57" hidden="1" x14ac:dyDescent="0.25">
      <c r="B55" s="20" t="s">
        <v>7</v>
      </c>
      <c r="C55" s="30">
        <f t="shared" ref="C55:J55" si="60">C54/C$39</f>
        <v>0</v>
      </c>
      <c r="D55" s="30">
        <f t="shared" si="60"/>
        <v>0</v>
      </c>
      <c r="E55" s="30">
        <f t="shared" si="60"/>
        <v>0</v>
      </c>
      <c r="F55" s="30">
        <f t="shared" si="60"/>
        <v>0</v>
      </c>
      <c r="G55" s="30">
        <f t="shared" si="60"/>
        <v>0.24912539127232552</v>
      </c>
      <c r="H55" s="30">
        <f t="shared" si="60"/>
        <v>0</v>
      </c>
      <c r="I55" s="30">
        <f t="shared" si="60"/>
        <v>0</v>
      </c>
      <c r="J55" s="30">
        <f t="shared" si="60"/>
        <v>0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BC55" s="30"/>
      <c r="BD55" s="30">
        <f t="shared" si="45"/>
        <v>0</v>
      </c>
      <c r="BE55" s="41" t="e">
        <f t="shared" si="46"/>
        <v>#DIV/0!</v>
      </c>
    </row>
    <row r="56" spans="2:57" hidden="1" x14ac:dyDescent="0.25">
      <c r="B56" s="20" t="s">
        <v>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BC56" s="6"/>
      <c r="BD56" s="6">
        <f t="shared" si="45"/>
        <v>0</v>
      </c>
      <c r="BE56" s="41" t="e">
        <f t="shared" si="46"/>
        <v>#DIV/0!</v>
      </c>
    </row>
    <row r="57" spans="2:57" x14ac:dyDescent="0.25">
      <c r="B57" s="8" t="s">
        <v>10</v>
      </c>
      <c r="C57" s="8">
        <f t="shared" ref="C57:I57" si="61">C48+C51+C54</f>
        <v>1.673</v>
      </c>
      <c r="D57" s="8">
        <f t="shared" si="61"/>
        <v>1.7710000000000001</v>
      </c>
      <c r="E57" s="8">
        <f t="shared" si="61"/>
        <v>1.96</v>
      </c>
      <c r="F57" s="8">
        <f t="shared" si="61"/>
        <v>2.0299999999999994</v>
      </c>
      <c r="G57" s="8">
        <f t="shared" si="61"/>
        <v>3.5629999999999997</v>
      </c>
      <c r="H57" s="8">
        <f t="shared" si="61"/>
        <v>2.4159999999999999</v>
      </c>
      <c r="I57" s="8">
        <f t="shared" si="61"/>
        <v>2.5760000000000001</v>
      </c>
      <c r="J57" s="8">
        <f>J48+J51+J54</f>
        <v>2.577</v>
      </c>
      <c r="K57" s="8">
        <f t="shared" ref="K57:BA57" si="62">K48+K51</f>
        <v>2.508</v>
      </c>
      <c r="L57" s="8">
        <f t="shared" si="62"/>
        <v>2.6619999999999999</v>
      </c>
      <c r="M57" s="8">
        <f t="shared" si="62"/>
        <v>2.9830000000000001</v>
      </c>
      <c r="N57" s="8">
        <f t="shared" si="62"/>
        <v>3.176000000000001</v>
      </c>
      <c r="O57" s="8">
        <f t="shared" si="62"/>
        <v>3.4970000000000003</v>
      </c>
      <c r="P57" s="8">
        <f t="shared" si="62"/>
        <v>3.9319999999999999</v>
      </c>
      <c r="Q57" s="8">
        <f t="shared" si="62"/>
        <v>4.2869999999999999</v>
      </c>
      <c r="R57" s="8">
        <f t="shared" si="62"/>
        <v>4.6889999999999983</v>
      </c>
      <c r="S57" s="8">
        <f t="shared" si="62"/>
        <v>5.0299999999999994</v>
      </c>
      <c r="T57" s="8">
        <f t="shared" si="62"/>
        <v>6.5319425402008466</v>
      </c>
      <c r="U57" s="8">
        <f t="shared" si="62"/>
        <v>7.438976827628764</v>
      </c>
      <c r="V57" s="8">
        <f t="shared" si="62"/>
        <v>8.1949423874762779</v>
      </c>
      <c r="W57" s="8">
        <f t="shared" si="62"/>
        <v>8.6052553910369873</v>
      </c>
      <c r="X57" s="8">
        <f t="shared" si="62"/>
        <v>9.8969176295930712</v>
      </c>
      <c r="Y57" s="8">
        <f t="shared" si="62"/>
        <v>10.932391755479282</v>
      </c>
      <c r="Z57" s="8">
        <f t="shared" si="62"/>
        <v>11.723103802897416</v>
      </c>
      <c r="AA57" s="8">
        <f t="shared" si="62"/>
        <v>11.72427395551628</v>
      </c>
      <c r="AB57" s="8">
        <f t="shared" si="62"/>
        <v>13.674948819418756</v>
      </c>
      <c r="AC57" s="8">
        <f t="shared" si="62"/>
        <v>15.10188232030352</v>
      </c>
      <c r="AD57" s="8">
        <f t="shared" si="62"/>
        <v>16.246645639769223</v>
      </c>
      <c r="AE57" s="8">
        <f t="shared" si="62"/>
        <v>15.594776864993491</v>
      </c>
      <c r="AF57" s="8">
        <f t="shared" si="62"/>
        <v>18.278938912020344</v>
      </c>
      <c r="AG57" s="8">
        <f t="shared" si="62"/>
        <v>20.182379443897549</v>
      </c>
      <c r="AH57" s="8">
        <f t="shared" si="62"/>
        <v>21.765891098698901</v>
      </c>
      <c r="AI57" s="8">
        <f t="shared" si="62"/>
        <v>20.877272064626283</v>
      </c>
      <c r="AJ57" s="8">
        <f t="shared" si="62"/>
        <v>24.462847374398816</v>
      </c>
      <c r="AK57" s="8">
        <f t="shared" si="62"/>
        <v>27.005613541824651</v>
      </c>
      <c r="AL57" s="8">
        <f t="shared" si="62"/>
        <v>29.188013106573955</v>
      </c>
      <c r="AM57" s="8">
        <f t="shared" si="62"/>
        <v>28.127560198546806</v>
      </c>
      <c r="AN57" s="8">
        <f t="shared" si="62"/>
        <v>32.800437790768314</v>
      </c>
      <c r="AO57" s="8">
        <f t="shared" si="62"/>
        <v>36.204949638654377</v>
      </c>
      <c r="AP57" s="8">
        <f t="shared" si="62"/>
        <v>39.198080823371797</v>
      </c>
      <c r="AR57" s="8">
        <f t="shared" si="62"/>
        <v>7.4339999999999993</v>
      </c>
      <c r="AS57" s="8">
        <f t="shared" si="62"/>
        <v>9.7789999999999999</v>
      </c>
      <c r="AT57" s="8">
        <f t="shared" si="62"/>
        <v>11.329000000000001</v>
      </c>
      <c r="AU57" s="8">
        <f t="shared" si="62"/>
        <v>16.405000000000001</v>
      </c>
      <c r="AV57" s="8">
        <f t="shared" si="62"/>
        <v>27.195861755305884</v>
      </c>
      <c r="AW57" s="8">
        <f t="shared" si="62"/>
        <v>41.157668579006753</v>
      </c>
      <c r="AX57" s="8">
        <f t="shared" si="62"/>
        <v>56.747750735007777</v>
      </c>
      <c r="AY57" s="8">
        <f t="shared" si="62"/>
        <v>75.821986319610289</v>
      </c>
      <c r="AZ57" s="8">
        <f t="shared" si="62"/>
        <v>101.53374608742371</v>
      </c>
      <c r="BA57" s="8">
        <f t="shared" si="62"/>
        <v>136.3310284513413</v>
      </c>
      <c r="BC57" s="8">
        <v>5.1924202476000003</v>
      </c>
      <c r="BD57" s="8">
        <f t="shared" si="45"/>
        <v>-0.16242024760000096</v>
      </c>
      <c r="BE57" s="41">
        <f t="shared" si="46"/>
        <v>-3.1280258502780774E-2</v>
      </c>
    </row>
    <row r="58" spans="2:57" x14ac:dyDescent="0.25">
      <c r="B58" s="20" t="s">
        <v>7</v>
      </c>
      <c r="C58" s="29">
        <f t="shared" ref="C58:R58" si="63">C57/C$39</f>
        <v>0.46100854229815386</v>
      </c>
      <c r="D58" s="29">
        <f t="shared" si="63"/>
        <v>0.42016607354685653</v>
      </c>
      <c r="E58" s="29">
        <f t="shared" si="63"/>
        <v>0.4232347225221334</v>
      </c>
      <c r="F58" s="29">
        <f t="shared" si="63"/>
        <v>0.40600000000000003</v>
      </c>
      <c r="G58" s="29">
        <f t="shared" si="63"/>
        <v>0.65604860983244329</v>
      </c>
      <c r="H58" s="29">
        <f t="shared" si="63"/>
        <v>0.82881646655231545</v>
      </c>
      <c r="I58" s="29">
        <f t="shared" si="63"/>
        <v>0.81082782499213091</v>
      </c>
      <c r="J58" s="29">
        <f t="shared" si="63"/>
        <v>0.67231933211583617</v>
      </c>
      <c r="K58" s="29">
        <f t="shared" si="63"/>
        <v>0.53958691910499146</v>
      </c>
      <c r="L58" s="29">
        <f t="shared" si="63"/>
        <v>0.28133586979496933</v>
      </c>
      <c r="M58" s="29">
        <f t="shared" si="63"/>
        <v>0.22261194029850742</v>
      </c>
      <c r="N58" s="29">
        <f t="shared" si="63"/>
        <v>0.18914894884164138</v>
      </c>
      <c r="O58" s="29">
        <f t="shared" si="63"/>
        <v>0.17137116534352645</v>
      </c>
      <c r="P58" s="29">
        <f t="shared" si="63"/>
        <v>0.17418268804819703</v>
      </c>
      <c r="Q58" s="29">
        <f t="shared" si="63"/>
        <v>0.16390120813580059</v>
      </c>
      <c r="R58" s="29">
        <f t="shared" si="63"/>
        <v>0.1632546480050136</v>
      </c>
      <c r="S58" s="29">
        <f t="shared" ref="S58:AP58" si="64">S57/S$39</f>
        <v>0.18861556922153891</v>
      </c>
      <c r="T58" s="29">
        <f t="shared" si="64"/>
        <v>0.21407620840646882</v>
      </c>
      <c r="U58" s="29">
        <f t="shared" si="64"/>
        <v>0.21407620840646882</v>
      </c>
      <c r="V58" s="29">
        <f t="shared" si="64"/>
        <v>0.21407620840646879</v>
      </c>
      <c r="W58" s="29">
        <f t="shared" si="64"/>
        <v>0.21407620840646885</v>
      </c>
      <c r="X58" s="29">
        <f t="shared" si="64"/>
        <v>0.21407620840646882</v>
      </c>
      <c r="Y58" s="29">
        <f t="shared" si="64"/>
        <v>0.21407620840646882</v>
      </c>
      <c r="Z58" s="29">
        <f t="shared" si="64"/>
        <v>0.21407620840646882</v>
      </c>
      <c r="AA58" s="29">
        <f t="shared" si="64"/>
        <v>0.21407620840646879</v>
      </c>
      <c r="AB58" s="29">
        <f t="shared" si="64"/>
        <v>0.21407620840646882</v>
      </c>
      <c r="AC58" s="29">
        <f t="shared" si="64"/>
        <v>0.21407620840646882</v>
      </c>
      <c r="AD58" s="29">
        <f t="shared" si="64"/>
        <v>0.21407620840646879</v>
      </c>
      <c r="AE58" s="29">
        <f t="shared" si="64"/>
        <v>0.21407620840646879</v>
      </c>
      <c r="AF58" s="29">
        <f t="shared" si="64"/>
        <v>0.21407620840646879</v>
      </c>
      <c r="AG58" s="29">
        <f t="shared" si="64"/>
        <v>0.21407620840646882</v>
      </c>
      <c r="AH58" s="29">
        <f t="shared" si="64"/>
        <v>0.21407620840646879</v>
      </c>
      <c r="AI58" s="29">
        <f t="shared" si="64"/>
        <v>0.21407620840646879</v>
      </c>
      <c r="AJ58" s="29">
        <f t="shared" si="64"/>
        <v>0.21407620840646882</v>
      </c>
      <c r="AK58" s="29">
        <f t="shared" si="64"/>
        <v>0.21407620840646885</v>
      </c>
      <c r="AL58" s="29">
        <f t="shared" si="64"/>
        <v>0.21407620840646879</v>
      </c>
      <c r="AM58" s="29">
        <f t="shared" si="64"/>
        <v>0.21407620840646879</v>
      </c>
      <c r="AN58" s="29">
        <f t="shared" si="64"/>
        <v>0.21407620840646879</v>
      </c>
      <c r="AO58" s="29">
        <f t="shared" si="64"/>
        <v>0.21407620840646879</v>
      </c>
      <c r="AP58" s="29">
        <f t="shared" si="64"/>
        <v>0.21407620840646879</v>
      </c>
      <c r="AS58" s="29">
        <f t="shared" ref="AS58:BA58" si="65">AS57/AS$39</f>
        <v>0.63681948424068768</v>
      </c>
      <c r="AT58" s="29">
        <f t="shared" si="65"/>
        <v>0.25572786167355138</v>
      </c>
      <c r="AU58" s="29">
        <f t="shared" si="65"/>
        <v>0.1676408673792639</v>
      </c>
      <c r="AV58" s="29">
        <f t="shared" si="65"/>
        <v>0.20886167234738692</v>
      </c>
      <c r="AW58" s="29">
        <f t="shared" si="65"/>
        <v>0.21407620840646882</v>
      </c>
      <c r="AX58" s="29">
        <f t="shared" si="65"/>
        <v>0.21407620840646879</v>
      </c>
      <c r="AY58" s="29">
        <f t="shared" si="65"/>
        <v>0.21407620840646882</v>
      </c>
      <c r="AZ58" s="29">
        <f t="shared" si="65"/>
        <v>0.21407620840646882</v>
      </c>
      <c r="BA58" s="29">
        <f t="shared" si="65"/>
        <v>0.21407620840646879</v>
      </c>
      <c r="BC58" s="29">
        <v>0.16903399433427763</v>
      </c>
      <c r="BD58" s="29">
        <f t="shared" si="45"/>
        <v>1.9581574887261283E-2</v>
      </c>
      <c r="BE58" s="41">
        <f t="shared" si="46"/>
        <v>0.11584400501438322</v>
      </c>
    </row>
    <row r="59" spans="2:57" x14ac:dyDescent="0.25">
      <c r="B59" s="20" t="s">
        <v>4</v>
      </c>
      <c r="C59" s="6"/>
      <c r="D59" s="6"/>
      <c r="E59" s="6"/>
      <c r="F59" s="6"/>
      <c r="G59" s="6">
        <f t="shared" ref="G59:AP59" si="66">G57/C57-1</f>
        <v>1.1297071129707112</v>
      </c>
      <c r="H59" s="6">
        <f t="shared" si="66"/>
        <v>0.36420101637492919</v>
      </c>
      <c r="I59" s="6">
        <f t="shared" si="66"/>
        <v>0.31428571428571428</v>
      </c>
      <c r="J59" s="6">
        <f t="shared" si="66"/>
        <v>0.26945812807881819</v>
      </c>
      <c r="K59" s="6">
        <f t="shared" si="66"/>
        <v>-0.29609879315183829</v>
      </c>
      <c r="L59" s="6">
        <f t="shared" si="66"/>
        <v>0.10182119205298013</v>
      </c>
      <c r="M59" s="6">
        <f t="shared" si="66"/>
        <v>0.15799689440993792</v>
      </c>
      <c r="N59" s="6">
        <f t="shared" si="66"/>
        <v>0.23244082266201049</v>
      </c>
      <c r="O59" s="6">
        <f t="shared" si="66"/>
        <v>0.39433811802232865</v>
      </c>
      <c r="P59" s="6">
        <f t="shared" si="66"/>
        <v>0.4770848985725018</v>
      </c>
      <c r="Q59" s="6">
        <f t="shared" si="66"/>
        <v>0.4371438149513911</v>
      </c>
      <c r="R59" s="6">
        <f t="shared" si="66"/>
        <v>0.47638539042821049</v>
      </c>
      <c r="S59" s="6">
        <f t="shared" si="66"/>
        <v>0.43837575064340828</v>
      </c>
      <c r="T59" s="6">
        <f t="shared" si="66"/>
        <v>0.66122648530031713</v>
      </c>
      <c r="U59" s="6">
        <f t="shared" si="66"/>
        <v>0.73524068757377292</v>
      </c>
      <c r="V59" s="6">
        <f t="shared" si="66"/>
        <v>0.74769511355860119</v>
      </c>
      <c r="W59" s="6">
        <f t="shared" si="66"/>
        <v>0.71078636004711493</v>
      </c>
      <c r="X59" s="6">
        <f t="shared" si="66"/>
        <v>0.51515687235190488</v>
      </c>
      <c r="Y59" s="6">
        <f t="shared" si="66"/>
        <v>0.46960959938412294</v>
      </c>
      <c r="Z59" s="6">
        <f t="shared" si="66"/>
        <v>0.43052912987075609</v>
      </c>
      <c r="AA59" s="6">
        <f t="shared" si="66"/>
        <v>0.36245508386979219</v>
      </c>
      <c r="AB59" s="6">
        <f t="shared" si="66"/>
        <v>0.38173816649022929</v>
      </c>
      <c r="AC59" s="6">
        <f t="shared" si="66"/>
        <v>0.3813886895092744</v>
      </c>
      <c r="AD59" s="6">
        <f t="shared" si="66"/>
        <v>0.38586554490405467</v>
      </c>
      <c r="AE59" s="6">
        <f t="shared" si="66"/>
        <v>0.33012730034819238</v>
      </c>
      <c r="AF59" s="6">
        <f t="shared" si="66"/>
        <v>0.33667329606848773</v>
      </c>
      <c r="AG59" s="6">
        <f t="shared" si="66"/>
        <v>0.33641482669770406</v>
      </c>
      <c r="AH59" s="6">
        <f t="shared" si="66"/>
        <v>0.33971599930877039</v>
      </c>
      <c r="AI59" s="6">
        <f t="shared" si="66"/>
        <v>0.3387349011380032</v>
      </c>
      <c r="AJ59" s="6">
        <f t="shared" si="66"/>
        <v>0.33830784665032687</v>
      </c>
      <c r="AK59" s="6">
        <f t="shared" si="66"/>
        <v>0.33807877395696329</v>
      </c>
      <c r="AL59" s="6">
        <f t="shared" si="66"/>
        <v>0.34099784723809101</v>
      </c>
      <c r="AM59" s="6">
        <f t="shared" si="66"/>
        <v>0.34728139344436459</v>
      </c>
      <c r="AN59" s="6">
        <f t="shared" si="66"/>
        <v>0.34082665393624878</v>
      </c>
      <c r="AO59" s="6">
        <f t="shared" si="66"/>
        <v>0.34064532851965579</v>
      </c>
      <c r="AP59" s="6">
        <f t="shared" si="66"/>
        <v>0.34295132321094157</v>
      </c>
      <c r="AS59" s="6">
        <f t="shared" ref="AS59:BA59" si="67">AS57/AR57-1</f>
        <v>0.31544256120527314</v>
      </c>
      <c r="AT59" s="6">
        <f t="shared" si="67"/>
        <v>0.15850291440842623</v>
      </c>
      <c r="AU59" s="6">
        <f t="shared" si="67"/>
        <v>0.44805366757878007</v>
      </c>
      <c r="AV59" s="6">
        <f t="shared" si="67"/>
        <v>0.65777883299639628</v>
      </c>
      <c r="AW59" s="6">
        <f t="shared" si="67"/>
        <v>0.51337982775916036</v>
      </c>
      <c r="AX59" s="6">
        <f t="shared" si="67"/>
        <v>0.37878924376083445</v>
      </c>
      <c r="AY59" s="6">
        <f t="shared" si="67"/>
        <v>0.3361232002599106</v>
      </c>
      <c r="AZ59" s="6">
        <f t="shared" si="67"/>
        <v>0.3391069136520819</v>
      </c>
      <c r="BA59" s="6">
        <f t="shared" si="67"/>
        <v>0.34271642389670176</v>
      </c>
      <c r="BC59" s="6">
        <v>0.48482134618244199</v>
      </c>
      <c r="BD59" s="6">
        <f t="shared" si="45"/>
        <v>-4.6445595539033713E-2</v>
      </c>
      <c r="BE59" s="41">
        <f t="shared" si="46"/>
        <v>-9.5799403027019114E-2</v>
      </c>
    </row>
    <row r="60" spans="2:57" x14ac:dyDescent="0.25">
      <c r="B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BC60" s="18"/>
      <c r="BD60" s="18"/>
    </row>
    <row r="61" spans="2:57" x14ac:dyDescent="0.25">
      <c r="B61" s="10" t="s">
        <v>78</v>
      </c>
      <c r="C61" s="17">
        <v>1.786</v>
      </c>
      <c r="D61" s="17">
        <v>2.1269999999999998</v>
      </c>
      <c r="E61" s="17">
        <v>1.3320000000000001</v>
      </c>
      <c r="F61" s="17">
        <v>4.5979999999999999</v>
      </c>
      <c r="G61" s="17">
        <v>1.6060000000000001</v>
      </c>
      <c r="H61" s="17">
        <v>0.81599999999999995</v>
      </c>
      <c r="I61" s="17">
        <v>1.0860000000000001</v>
      </c>
      <c r="J61" s="17">
        <f>5.083-SUM(G61:I61)</f>
        <v>1.5750000000000002</v>
      </c>
      <c r="K61" s="17">
        <v>2.16</v>
      </c>
      <c r="L61" s="17">
        <v>6.7279999999999998</v>
      </c>
      <c r="M61" s="17">
        <v>10.262</v>
      </c>
      <c r="N61" s="17">
        <f>32.016-SUM(K61:M61)</f>
        <v>12.866</v>
      </c>
      <c r="O61" s="17">
        <v>17.047000000000001</v>
      </c>
      <c r="P61" s="17">
        <v>18.847999999999999</v>
      </c>
      <c r="Q61" s="17">
        <v>22.081</v>
      </c>
      <c r="R61" s="17">
        <f>82.875-SUM(O61:Q61)</f>
        <v>24.899000000000001</v>
      </c>
      <c r="S61" s="10">
        <f t="shared" ref="S61:AP61" si="68">S10*S62</f>
        <v>27.024355866355879</v>
      </c>
      <c r="T61" s="10">
        <f t="shared" si="68"/>
        <v>31.977416181041196</v>
      </c>
      <c r="U61" s="10">
        <f t="shared" si="68"/>
        <v>36.455242501942514</v>
      </c>
      <c r="V61" s="10">
        <f t="shared" si="68"/>
        <v>41.083349999999996</v>
      </c>
      <c r="W61" s="10">
        <f t="shared" si="68"/>
        <v>43.238969386169401</v>
      </c>
      <c r="X61" s="10">
        <f t="shared" si="68"/>
        <v>49.564995080613848</v>
      </c>
      <c r="Y61" s="10">
        <f t="shared" si="68"/>
        <v>54.682863752913768</v>
      </c>
      <c r="Z61" s="10">
        <f t="shared" si="68"/>
        <v>59.570857499999988</v>
      </c>
      <c r="AA61" s="10">
        <f t="shared" si="68"/>
        <v>60.534557140637162</v>
      </c>
      <c r="AB61" s="10">
        <f t="shared" si="68"/>
        <v>69.390993112859377</v>
      </c>
      <c r="AC61" s="10">
        <f t="shared" si="68"/>
        <v>76.556009254079271</v>
      </c>
      <c r="AD61" s="10">
        <f t="shared" si="68"/>
        <v>83.399200499999978</v>
      </c>
      <c r="AE61" s="10">
        <f t="shared" si="68"/>
        <v>81.721652139860154</v>
      </c>
      <c r="AF61" s="10">
        <f t="shared" si="68"/>
        <v>93.677840702360143</v>
      </c>
      <c r="AG61" s="10">
        <f t="shared" si="68"/>
        <v>103.35061249300701</v>
      </c>
      <c r="AH61" s="10">
        <f t="shared" si="68"/>
        <v>112.58892067499995</v>
      </c>
      <c r="AI61" s="10">
        <f t="shared" si="68"/>
        <v>110.3242303888112</v>
      </c>
      <c r="AJ61" s="10">
        <f t="shared" si="68"/>
        <v>126.4650849481862</v>
      </c>
      <c r="AK61" s="10">
        <f t="shared" si="68"/>
        <v>139.52332686555945</v>
      </c>
      <c r="AL61" s="10">
        <f t="shared" si="68"/>
        <v>151.99504291124993</v>
      </c>
      <c r="AM61" s="10">
        <f t="shared" si="68"/>
        <v>148.93771102489509</v>
      </c>
      <c r="AN61" s="10">
        <f t="shared" si="68"/>
        <v>170.72786468005134</v>
      </c>
      <c r="AO61" s="10">
        <f t="shared" si="68"/>
        <v>188.35649126850524</v>
      </c>
      <c r="AP61" s="10">
        <f t="shared" si="68"/>
        <v>205.19330793018739</v>
      </c>
      <c r="AR61" s="10">
        <f>SUM(C61:F61)</f>
        <v>9.843</v>
      </c>
      <c r="AS61" s="10">
        <f>SUM(G61:J61)</f>
        <v>5.0830000000000002</v>
      </c>
      <c r="AT61" s="10">
        <f>SUM(K61:N61)</f>
        <v>32.015999999999998</v>
      </c>
      <c r="AU61" s="10">
        <f>SUM(O61:R61)</f>
        <v>82.875</v>
      </c>
      <c r="AV61" s="10">
        <f>SUM(S61:V61)</f>
        <v>136.54036454933959</v>
      </c>
      <c r="AW61" s="10">
        <f>SUM(W61:Z61)</f>
        <v>207.05768571969699</v>
      </c>
      <c r="AX61" s="10">
        <f>SUM(AA61:AD61)</f>
        <v>289.88076000757576</v>
      </c>
      <c r="AY61" s="10">
        <f>SUM(AE61:AH61)</f>
        <v>391.33902601022726</v>
      </c>
      <c r="AZ61" s="10">
        <f>SUM(AI61:AL61)</f>
        <v>528.30768511380677</v>
      </c>
      <c r="BA61" s="10">
        <f>SUM(AM61:AP61)</f>
        <v>713.21537490363903</v>
      </c>
      <c r="BC61" s="10">
        <v>28.201040209790225</v>
      </c>
      <c r="BD61" s="10">
        <f t="shared" ref="BD61:BD94" si="69">S61-BC61</f>
        <v>-1.1766843434343457</v>
      </c>
      <c r="BE61" s="41">
        <f t="shared" ref="BE61:BE94" si="70">BD61/BC61</f>
        <v>-4.1724856057821939E-2</v>
      </c>
    </row>
    <row r="62" spans="2:57" x14ac:dyDescent="0.25">
      <c r="B62" s="20" t="s">
        <v>7</v>
      </c>
      <c r="C62" s="6">
        <f t="shared" ref="C62:R62" si="71">C61/C10</f>
        <v>0.51753115039119091</v>
      </c>
      <c r="D62" s="6">
        <f t="shared" si="71"/>
        <v>0.54440747376503706</v>
      </c>
      <c r="E62" s="6">
        <f t="shared" si="71"/>
        <v>0.44237794752573895</v>
      </c>
      <c r="F62" s="6">
        <f t="shared" si="71"/>
        <v>6.7917282127031058</v>
      </c>
      <c r="G62" s="6">
        <f t="shared" si="71"/>
        <v>0.43736383442265797</v>
      </c>
      <c r="H62" s="6">
        <f t="shared" si="71"/>
        <v>0.20885589966726387</v>
      </c>
      <c r="I62" s="6">
        <f t="shared" si="71"/>
        <v>0.28459119496855351</v>
      </c>
      <c r="J62" s="6">
        <f t="shared" si="71"/>
        <v>0.42880479172338692</v>
      </c>
      <c r="K62" s="6">
        <f t="shared" si="71"/>
        <v>0.48430493273542602</v>
      </c>
      <c r="L62" s="6">
        <f t="shared" si="71"/>
        <v>0.64679869255912326</v>
      </c>
      <c r="M62" s="6">
        <f t="shared" si="71"/>
        <v>0.70071696824854901</v>
      </c>
      <c r="N62" s="6">
        <f t="shared" si="71"/>
        <v>0.71885126829813373</v>
      </c>
      <c r="O62" s="6">
        <f t="shared" si="71"/>
        <v>0.75179713340683574</v>
      </c>
      <c r="P62" s="6">
        <f t="shared" si="71"/>
        <v>0.71269757241170684</v>
      </c>
      <c r="Q62" s="6">
        <f t="shared" si="71"/>
        <v>0.71146410619925249</v>
      </c>
      <c r="R62" s="6">
        <f t="shared" si="71"/>
        <v>0.69094794094794121</v>
      </c>
      <c r="S62" s="31">
        <f>R62</f>
        <v>0.69094794094794121</v>
      </c>
      <c r="T62" s="31">
        <f t="shared" ref="T62:AP64" si="72">S62</f>
        <v>0.69094794094794121</v>
      </c>
      <c r="U62" s="31">
        <f t="shared" si="72"/>
        <v>0.69094794094794121</v>
      </c>
      <c r="V62" s="31">
        <f t="shared" si="72"/>
        <v>0.69094794094794121</v>
      </c>
      <c r="W62" s="31">
        <f t="shared" si="72"/>
        <v>0.69094794094794121</v>
      </c>
      <c r="X62" s="31">
        <f t="shared" si="72"/>
        <v>0.69094794094794121</v>
      </c>
      <c r="Y62" s="31">
        <f t="shared" si="72"/>
        <v>0.69094794094794121</v>
      </c>
      <c r="Z62" s="31">
        <f t="shared" si="72"/>
        <v>0.69094794094794121</v>
      </c>
      <c r="AA62" s="31">
        <f t="shared" si="72"/>
        <v>0.69094794094794121</v>
      </c>
      <c r="AB62" s="31">
        <f t="shared" si="72"/>
        <v>0.69094794094794121</v>
      </c>
      <c r="AC62" s="31">
        <f t="shared" si="72"/>
        <v>0.69094794094794121</v>
      </c>
      <c r="AD62" s="31">
        <f t="shared" si="72"/>
        <v>0.69094794094794121</v>
      </c>
      <c r="AE62" s="31">
        <f t="shared" si="72"/>
        <v>0.69094794094794121</v>
      </c>
      <c r="AF62" s="31">
        <f t="shared" si="72"/>
        <v>0.69094794094794121</v>
      </c>
      <c r="AG62" s="31">
        <f t="shared" si="72"/>
        <v>0.69094794094794121</v>
      </c>
      <c r="AH62" s="31">
        <f t="shared" si="72"/>
        <v>0.69094794094794121</v>
      </c>
      <c r="AI62" s="31">
        <f t="shared" si="72"/>
        <v>0.69094794094794121</v>
      </c>
      <c r="AJ62" s="31">
        <f t="shared" si="72"/>
        <v>0.69094794094794121</v>
      </c>
      <c r="AK62" s="31">
        <f t="shared" si="72"/>
        <v>0.69094794094794121</v>
      </c>
      <c r="AL62" s="31">
        <f t="shared" si="72"/>
        <v>0.69094794094794121</v>
      </c>
      <c r="AM62" s="31">
        <f t="shared" si="72"/>
        <v>0.69094794094794121</v>
      </c>
      <c r="AN62" s="31">
        <f t="shared" si="72"/>
        <v>0.69094794094794121</v>
      </c>
      <c r="AO62" s="31">
        <f t="shared" si="72"/>
        <v>0.69094794094794121</v>
      </c>
      <c r="AP62" s="31">
        <f t="shared" si="72"/>
        <v>0.69094794094794121</v>
      </c>
      <c r="AR62" s="6">
        <f t="shared" ref="AR62:BA62" si="73">AR61/AR10</f>
        <v>0.89109179793590443</v>
      </c>
      <c r="AS62" s="6">
        <f t="shared" si="73"/>
        <v>0.33733740376957794</v>
      </c>
      <c r="AT62" s="6">
        <f t="shared" si="73"/>
        <v>0.67537179622402699</v>
      </c>
      <c r="AU62" s="6">
        <f t="shared" si="73"/>
        <v>0.71325294983346677</v>
      </c>
      <c r="AV62" s="6">
        <f t="shared" si="73"/>
        <v>0.69094794094794121</v>
      </c>
      <c r="AW62" s="6">
        <f t="shared" si="73"/>
        <v>0.69094794094794121</v>
      </c>
      <c r="AX62" s="6">
        <f t="shared" si="73"/>
        <v>0.69094794094794121</v>
      </c>
      <c r="AY62" s="6">
        <f t="shared" si="73"/>
        <v>0.69094794094794121</v>
      </c>
      <c r="AZ62" s="6">
        <f t="shared" si="73"/>
        <v>0.69094794094794121</v>
      </c>
      <c r="BA62" s="6">
        <f t="shared" si="73"/>
        <v>0.69094794094794121</v>
      </c>
      <c r="BC62" s="31">
        <v>0.69094794094794121</v>
      </c>
      <c r="BD62" s="31">
        <f t="shared" si="69"/>
        <v>0</v>
      </c>
      <c r="BE62" s="41">
        <f t="shared" si="70"/>
        <v>0</v>
      </c>
    </row>
    <row r="63" spans="2:57" x14ac:dyDescent="0.25">
      <c r="B63" s="10" t="s">
        <v>79</v>
      </c>
      <c r="C63" s="17">
        <v>0.86099999999999999</v>
      </c>
      <c r="D63" s="17">
        <v>1.034</v>
      </c>
      <c r="E63" s="17">
        <v>2.16</v>
      </c>
      <c r="F63" s="17">
        <v>8.4920000000000009</v>
      </c>
      <c r="G63" s="17">
        <v>2.476</v>
      </c>
      <c r="H63" s="17">
        <v>0.65700000000000003</v>
      </c>
      <c r="I63" s="17">
        <v>0.60599999999999998</v>
      </c>
      <c r="J63" s="17">
        <f>4.552-SUM(G63:I63)</f>
        <v>0.81299999999999972</v>
      </c>
      <c r="K63" s="17">
        <v>1.046</v>
      </c>
      <c r="L63" s="17">
        <v>1.2110000000000001</v>
      </c>
      <c r="M63" s="17">
        <v>1.4930000000000001</v>
      </c>
      <c r="N63" s="17">
        <f>5.846-SUM(K63:M63)</f>
        <v>2.0960000000000001</v>
      </c>
      <c r="O63" s="17">
        <v>1.2410000000000001</v>
      </c>
      <c r="P63" s="17">
        <v>1.369</v>
      </c>
      <c r="Q63" s="17">
        <v>1.502</v>
      </c>
      <c r="R63" s="17">
        <f>5.085-SUM(O63:Q63)</f>
        <v>0.97299999999999986</v>
      </c>
      <c r="S63" s="10">
        <f t="shared" ref="S63:AP63" si="74">S12*S64</f>
        <v>1.4617147192716222</v>
      </c>
      <c r="T63" s="10">
        <f t="shared" si="74"/>
        <v>1.2204874962063732</v>
      </c>
      <c r="U63" s="10">
        <f t="shared" si="74"/>
        <v>1.3739823065250378</v>
      </c>
      <c r="V63" s="10">
        <f t="shared" si="74"/>
        <v>1.1189499999999997</v>
      </c>
      <c r="W63" s="10">
        <f t="shared" si="74"/>
        <v>1.1328289074355071</v>
      </c>
      <c r="X63" s="10">
        <f t="shared" si="74"/>
        <v>1.3730484332321697</v>
      </c>
      <c r="Y63" s="10">
        <f t="shared" si="74"/>
        <v>1.5457300948406676</v>
      </c>
      <c r="Z63" s="10">
        <f t="shared" si="74"/>
        <v>1.2588187499999997</v>
      </c>
      <c r="AA63" s="10">
        <f t="shared" si="74"/>
        <v>0.84962168057663046</v>
      </c>
      <c r="AB63" s="10">
        <f t="shared" si="74"/>
        <v>1.5103532765553869</v>
      </c>
      <c r="AC63" s="10">
        <f t="shared" si="74"/>
        <v>1.7003031043247345</v>
      </c>
      <c r="AD63" s="10">
        <f t="shared" si="74"/>
        <v>1.3847006249999998</v>
      </c>
      <c r="AE63" s="10">
        <f t="shared" si="74"/>
        <v>0.61597571841805709</v>
      </c>
      <c r="AF63" s="10">
        <f t="shared" si="74"/>
        <v>1.6236297722970408</v>
      </c>
      <c r="AG63" s="10">
        <f t="shared" si="74"/>
        <v>1.8278258371490894</v>
      </c>
      <c r="AH63" s="10">
        <f t="shared" si="74"/>
        <v>1.4885531718749996</v>
      </c>
      <c r="AI63" s="10">
        <f t="shared" si="74"/>
        <v>0.43118300289263989</v>
      </c>
      <c r="AJ63" s="10">
        <f t="shared" si="74"/>
        <v>1.7048112609118931</v>
      </c>
      <c r="AK63" s="10">
        <f t="shared" si="74"/>
        <v>1.9192171290065441</v>
      </c>
      <c r="AL63" s="10">
        <f t="shared" si="74"/>
        <v>1.5629808304687496</v>
      </c>
      <c r="AM63" s="10">
        <f t="shared" si="74"/>
        <v>0.45274215303727189</v>
      </c>
      <c r="AN63" s="10">
        <f t="shared" si="74"/>
        <v>1.7900518239574879</v>
      </c>
      <c r="AO63" s="10">
        <f t="shared" si="74"/>
        <v>2.0151779854568712</v>
      </c>
      <c r="AP63" s="10">
        <f t="shared" si="74"/>
        <v>1.6411298719921872</v>
      </c>
      <c r="AR63" s="10">
        <f>SUM(C63:F63)</f>
        <v>12.547000000000001</v>
      </c>
      <c r="AS63" s="10">
        <f>SUM(G63:J63)</f>
        <v>4.5519999999999996</v>
      </c>
      <c r="AT63" s="10">
        <f>SUM(K63:N63)</f>
        <v>5.8460000000000001</v>
      </c>
      <c r="AU63" s="10">
        <f>SUM(O63:R63)</f>
        <v>5.085</v>
      </c>
      <c r="AV63" s="10">
        <f>SUM(S63:V63)</f>
        <v>5.1751345220030336</v>
      </c>
      <c r="AW63" s="10">
        <f>SUM(W63:Z63)</f>
        <v>5.3104261855083443</v>
      </c>
      <c r="AX63" s="10">
        <f>SUM(AA63:AD63)</f>
        <v>5.4449786864567518</v>
      </c>
      <c r="AY63" s="10">
        <f>SUM(AE63:AH63)</f>
        <v>5.5559844997391874</v>
      </c>
      <c r="AZ63" s="10">
        <f>SUM(AI63:AL63)</f>
        <v>5.6181922232798263</v>
      </c>
      <c r="BA63" s="10">
        <f>SUM(AM63:AP63)</f>
        <v>5.899101834443818</v>
      </c>
      <c r="BC63" s="10">
        <v>0.79588151745068281</v>
      </c>
      <c r="BD63" s="10">
        <f t="shared" si="69"/>
        <v>0.66583320182093941</v>
      </c>
      <c r="BE63" s="41">
        <f t="shared" si="70"/>
        <v>0.836598397150488</v>
      </c>
    </row>
    <row r="64" spans="2:57" x14ac:dyDescent="0.25">
      <c r="B64" s="20" t="s">
        <v>7</v>
      </c>
      <c r="C64" s="6">
        <f t="shared" ref="C64:R64" si="75">C63/C12</f>
        <v>0.38959276018099548</v>
      </c>
      <c r="D64" s="6">
        <f t="shared" si="75"/>
        <v>0.39769230769230768</v>
      </c>
      <c r="E64" s="6">
        <f t="shared" si="75"/>
        <v>0.52785923753665698</v>
      </c>
      <c r="F64" s="6">
        <f t="shared" si="75"/>
        <v>1.219064025265576</v>
      </c>
      <c r="G64" s="6">
        <f t="shared" si="75"/>
        <v>0.53639514731369153</v>
      </c>
      <c r="H64" s="6">
        <f t="shared" si="75"/>
        <v>0.23489452985341436</v>
      </c>
      <c r="I64" s="6">
        <f t="shared" si="75"/>
        <v>0.28652482269503543</v>
      </c>
      <c r="J64" s="6">
        <f t="shared" si="75"/>
        <v>0.34188393608073997</v>
      </c>
      <c r="K64" s="6">
        <f t="shared" si="75"/>
        <v>0.3828696925329429</v>
      </c>
      <c r="L64" s="6">
        <f t="shared" si="75"/>
        <v>0.39001610305958134</v>
      </c>
      <c r="M64" s="6">
        <f t="shared" si="75"/>
        <v>0.42964028776978419</v>
      </c>
      <c r="N64" s="6">
        <f t="shared" si="75"/>
        <v>0.49845422116527943</v>
      </c>
      <c r="O64" s="6">
        <f t="shared" si="75"/>
        <v>0.36835856337192047</v>
      </c>
      <c r="P64" s="6">
        <f t="shared" si="75"/>
        <v>0.38091263216471899</v>
      </c>
      <c r="Q64" s="6">
        <f t="shared" si="75"/>
        <v>0.37123084527928818</v>
      </c>
      <c r="R64" s="6">
        <f t="shared" si="75"/>
        <v>0.29529590288315627</v>
      </c>
      <c r="S64" s="31">
        <f>R64</f>
        <v>0.29529590288315627</v>
      </c>
      <c r="T64" s="31">
        <f t="shared" si="72"/>
        <v>0.29529590288315627</v>
      </c>
      <c r="U64" s="31">
        <f t="shared" si="72"/>
        <v>0.29529590288315627</v>
      </c>
      <c r="V64" s="31">
        <f t="shared" si="72"/>
        <v>0.29529590288315627</v>
      </c>
      <c r="W64" s="31">
        <f t="shared" si="72"/>
        <v>0.29529590288315627</v>
      </c>
      <c r="X64" s="31">
        <f t="shared" si="72"/>
        <v>0.29529590288315627</v>
      </c>
      <c r="Y64" s="31">
        <f t="shared" si="72"/>
        <v>0.29529590288315627</v>
      </c>
      <c r="Z64" s="31">
        <f t="shared" si="72"/>
        <v>0.29529590288315627</v>
      </c>
      <c r="AA64" s="31">
        <f t="shared" si="72"/>
        <v>0.29529590288315627</v>
      </c>
      <c r="AB64" s="31">
        <f t="shared" si="72"/>
        <v>0.29529590288315627</v>
      </c>
      <c r="AC64" s="31">
        <f t="shared" si="72"/>
        <v>0.29529590288315627</v>
      </c>
      <c r="AD64" s="31">
        <f t="shared" si="72"/>
        <v>0.29529590288315627</v>
      </c>
      <c r="AE64" s="31">
        <f t="shared" si="72"/>
        <v>0.29529590288315627</v>
      </c>
      <c r="AF64" s="31">
        <f t="shared" si="72"/>
        <v>0.29529590288315627</v>
      </c>
      <c r="AG64" s="31">
        <f t="shared" si="72"/>
        <v>0.29529590288315627</v>
      </c>
      <c r="AH64" s="31">
        <f t="shared" si="72"/>
        <v>0.29529590288315627</v>
      </c>
      <c r="AI64" s="31">
        <f t="shared" si="72"/>
        <v>0.29529590288315627</v>
      </c>
      <c r="AJ64" s="31">
        <f t="shared" si="72"/>
        <v>0.29529590288315627</v>
      </c>
      <c r="AK64" s="31">
        <f t="shared" si="72"/>
        <v>0.29529590288315627</v>
      </c>
      <c r="AL64" s="31">
        <f t="shared" si="72"/>
        <v>0.29529590288315627</v>
      </c>
      <c r="AM64" s="31">
        <f t="shared" si="72"/>
        <v>0.29529590288315627</v>
      </c>
      <c r="AN64" s="31">
        <f t="shared" si="72"/>
        <v>0.29529590288315627</v>
      </c>
      <c r="AO64" s="31">
        <f t="shared" si="72"/>
        <v>0.29529590288315627</v>
      </c>
      <c r="AP64" s="31">
        <f t="shared" si="72"/>
        <v>0.29529590288315627</v>
      </c>
      <c r="AR64" s="6">
        <f t="shared" ref="AR64:BA64" si="76">AR63/AR12</f>
        <v>0.79071086463322415</v>
      </c>
      <c r="AS64" s="6">
        <f t="shared" si="76"/>
        <v>0.38232823786326214</v>
      </c>
      <c r="AT64" s="6">
        <f t="shared" si="76"/>
        <v>0.43249241695642526</v>
      </c>
      <c r="AU64" s="6">
        <f t="shared" si="76"/>
        <v>0.35549496644295303</v>
      </c>
      <c r="AV64" s="6">
        <f t="shared" si="76"/>
        <v>0.29529590288315632</v>
      </c>
      <c r="AW64" s="6">
        <f t="shared" si="76"/>
        <v>0.29529590288315621</v>
      </c>
      <c r="AX64" s="6">
        <f t="shared" si="76"/>
        <v>0.29529590288315627</v>
      </c>
      <c r="AY64" s="6">
        <f t="shared" si="76"/>
        <v>0.29529590288315627</v>
      </c>
      <c r="AZ64" s="6">
        <f t="shared" si="76"/>
        <v>0.29529590288315627</v>
      </c>
      <c r="BA64" s="6">
        <f t="shared" si="76"/>
        <v>0.29529590288315627</v>
      </c>
      <c r="BC64" s="31">
        <v>0.29529590288315627</v>
      </c>
      <c r="BD64" s="31">
        <f t="shared" si="69"/>
        <v>0</v>
      </c>
      <c r="BE64" s="41">
        <f t="shared" si="70"/>
        <v>0</v>
      </c>
    </row>
    <row r="65" spans="2:57" x14ac:dyDescent="0.25">
      <c r="B65" s="22" t="s">
        <v>100</v>
      </c>
      <c r="C65" s="17">
        <v>-0.42899999999999999</v>
      </c>
      <c r="D65" s="17">
        <v>-0.46500000000000002</v>
      </c>
      <c r="E65" s="17">
        <v>-0.55900000000000005</v>
      </c>
      <c r="F65" s="17">
        <f>-2.004-SUM(C65:E65)</f>
        <v>-0.55099999999999993</v>
      </c>
      <c r="G65" s="17">
        <v>-0.57799999999999996</v>
      </c>
      <c r="H65" s="17">
        <v>-0.64900000000000002</v>
      </c>
      <c r="I65" s="17">
        <v>-0.745</v>
      </c>
      <c r="J65" s="17">
        <f>-2.71-SUM(G65:I65)</f>
        <v>-0.73799999999999999</v>
      </c>
      <c r="K65" s="17">
        <v>-0.73499999999999999</v>
      </c>
      <c r="L65" s="17">
        <v>-0.84199999999999997</v>
      </c>
      <c r="M65" s="17">
        <v>-0.97899999999999998</v>
      </c>
      <c r="N65" s="17">
        <f>-3.549-SUM(K65:M65)</f>
        <v>-0.99299999999999988</v>
      </c>
      <c r="O65" s="17">
        <v>-1.0109999999999999</v>
      </c>
      <c r="P65" s="17">
        <v>-1.1539999999999999</v>
      </c>
      <c r="Q65" s="17">
        <v>-1.252</v>
      </c>
      <c r="R65" s="17">
        <f>-4.737-SUM(O65:Q65)</f>
        <v>-1.3200000000000003</v>
      </c>
      <c r="S65" s="14">
        <v>-1.2</v>
      </c>
      <c r="T65" s="14">
        <f t="shared" ref="T65:AP70" si="77">S65</f>
        <v>-1.2</v>
      </c>
      <c r="U65" s="14">
        <f t="shared" si="77"/>
        <v>-1.2</v>
      </c>
      <c r="V65" s="14">
        <f t="shared" si="77"/>
        <v>-1.2</v>
      </c>
      <c r="W65" s="14">
        <f t="shared" si="77"/>
        <v>-1.2</v>
      </c>
      <c r="X65" s="14">
        <f t="shared" si="77"/>
        <v>-1.2</v>
      </c>
      <c r="Y65" s="14">
        <f t="shared" si="77"/>
        <v>-1.2</v>
      </c>
      <c r="Z65" s="14">
        <f t="shared" si="77"/>
        <v>-1.2</v>
      </c>
      <c r="AA65" s="14">
        <f t="shared" si="77"/>
        <v>-1.2</v>
      </c>
      <c r="AB65" s="14">
        <f t="shared" si="77"/>
        <v>-1.2</v>
      </c>
      <c r="AC65" s="14">
        <f t="shared" si="77"/>
        <v>-1.2</v>
      </c>
      <c r="AD65" s="14">
        <f t="shared" si="77"/>
        <v>-1.2</v>
      </c>
      <c r="AE65" s="14">
        <f t="shared" si="77"/>
        <v>-1.2</v>
      </c>
      <c r="AF65" s="14">
        <f t="shared" si="77"/>
        <v>-1.2</v>
      </c>
      <c r="AG65" s="14">
        <f t="shared" si="77"/>
        <v>-1.2</v>
      </c>
      <c r="AH65" s="14">
        <f t="shared" si="77"/>
        <v>-1.2</v>
      </c>
      <c r="AI65" s="14">
        <f t="shared" si="77"/>
        <v>-1.2</v>
      </c>
      <c r="AJ65" s="14">
        <f t="shared" si="77"/>
        <v>-1.2</v>
      </c>
      <c r="AK65" s="14">
        <f t="shared" si="77"/>
        <v>-1.2</v>
      </c>
      <c r="AL65" s="14">
        <f t="shared" si="77"/>
        <v>-1.2</v>
      </c>
      <c r="AM65" s="14">
        <f t="shared" si="77"/>
        <v>-1.2</v>
      </c>
      <c r="AN65" s="14">
        <f t="shared" si="77"/>
        <v>-1.2</v>
      </c>
      <c r="AO65" s="14">
        <f t="shared" si="77"/>
        <v>-1.2</v>
      </c>
      <c r="AP65" s="14">
        <f t="shared" si="77"/>
        <v>-1.2</v>
      </c>
      <c r="AR65" s="10">
        <f t="shared" ref="AR65:AR71" si="78">SUM(C65:F65)</f>
        <v>-2.004</v>
      </c>
      <c r="AS65" s="10">
        <f t="shared" ref="AS65:AS71" si="79">SUM(G65:J65)</f>
        <v>-2.71</v>
      </c>
      <c r="AT65" s="10">
        <f t="shared" ref="AT65:AT71" si="80">SUM(K65:N65)</f>
        <v>-3.5489999999999999</v>
      </c>
      <c r="AU65" s="10">
        <f t="shared" ref="AU65:AU71" si="81">SUM(O65:R65)</f>
        <v>-4.7370000000000001</v>
      </c>
      <c r="AV65" s="10">
        <f t="shared" ref="AV65:AV71" si="82">SUM(S65:V65)</f>
        <v>-4.8</v>
      </c>
      <c r="AW65" s="10">
        <f t="shared" ref="AW65:AW71" si="83">SUM(W65:Z65)</f>
        <v>-4.8</v>
      </c>
      <c r="AX65" s="10">
        <f t="shared" ref="AX65:AX71" si="84">SUM(AA65:AD65)</f>
        <v>-4.8</v>
      </c>
      <c r="AY65" s="10">
        <f t="shared" ref="AY65:AY71" si="85">SUM(AE65:AH65)</f>
        <v>-4.8</v>
      </c>
      <c r="AZ65" s="10">
        <f t="shared" ref="AZ65:AZ71" si="86">SUM(AI65:AL65)</f>
        <v>-4.8</v>
      </c>
      <c r="BA65" s="10">
        <f t="shared" ref="BA65:BA71" si="87">SUM(AM65:AP65)</f>
        <v>-4.8</v>
      </c>
      <c r="BC65" s="14">
        <v>-1.2</v>
      </c>
      <c r="BD65" s="14">
        <f t="shared" si="69"/>
        <v>0</v>
      </c>
      <c r="BE65" s="41">
        <f t="shared" si="70"/>
        <v>0</v>
      </c>
    </row>
    <row r="66" spans="2:57" x14ac:dyDescent="0.25">
      <c r="B66" s="22" t="s">
        <v>70</v>
      </c>
      <c r="C66" s="17">
        <v>-0.09</v>
      </c>
      <c r="D66" s="17">
        <v>-0.09</v>
      </c>
      <c r="E66" s="17">
        <v>-0.106</v>
      </c>
      <c r="F66" s="17">
        <f>-0.399-SUM(C66:E66)</f>
        <v>-0.11300000000000004</v>
      </c>
      <c r="G66" s="17">
        <v>-0.127</v>
      </c>
      <c r="H66" s="17">
        <v>-0.14799999999999999</v>
      </c>
      <c r="I66" s="17">
        <v>-0.156</v>
      </c>
      <c r="J66" s="17">
        <f>-0.595-SUM(G66:I66)</f>
        <v>-0.16399999999999992</v>
      </c>
      <c r="K66" s="17">
        <v>-0.154</v>
      </c>
      <c r="L66" s="17">
        <v>-0.16300000000000001</v>
      </c>
      <c r="M66" s="17">
        <v>-0.19800000000000001</v>
      </c>
      <c r="N66" s="17">
        <f>-0.728-SUM(K66:M66)</f>
        <v>-0.21299999999999997</v>
      </c>
      <c r="O66" s="17">
        <v>-0.22900000000000001</v>
      </c>
      <c r="P66" s="17">
        <v>-0.28000000000000003</v>
      </c>
      <c r="Q66" s="17">
        <v>-0.307</v>
      </c>
      <c r="R66" s="17">
        <f>-1.171-SUM(O66:Q66)</f>
        <v>-0.35499999999999998</v>
      </c>
      <c r="S66" s="14">
        <v>-0.3</v>
      </c>
      <c r="T66" s="14">
        <f t="shared" ref="T66:AG66" si="88">S66</f>
        <v>-0.3</v>
      </c>
      <c r="U66" s="14">
        <f t="shared" si="88"/>
        <v>-0.3</v>
      </c>
      <c r="V66" s="14">
        <f t="shared" si="88"/>
        <v>-0.3</v>
      </c>
      <c r="W66" s="14">
        <f t="shared" si="88"/>
        <v>-0.3</v>
      </c>
      <c r="X66" s="14">
        <f t="shared" si="88"/>
        <v>-0.3</v>
      </c>
      <c r="Y66" s="14">
        <f t="shared" si="88"/>
        <v>-0.3</v>
      </c>
      <c r="Z66" s="14">
        <f t="shared" si="88"/>
        <v>-0.3</v>
      </c>
      <c r="AA66" s="14">
        <f t="shared" si="88"/>
        <v>-0.3</v>
      </c>
      <c r="AB66" s="14">
        <f t="shared" si="88"/>
        <v>-0.3</v>
      </c>
      <c r="AC66" s="14">
        <f t="shared" si="88"/>
        <v>-0.3</v>
      </c>
      <c r="AD66" s="14">
        <f t="shared" si="88"/>
        <v>-0.3</v>
      </c>
      <c r="AE66" s="14">
        <f t="shared" si="88"/>
        <v>-0.3</v>
      </c>
      <c r="AF66" s="14">
        <f t="shared" si="88"/>
        <v>-0.3</v>
      </c>
      <c r="AG66" s="14">
        <f t="shared" si="88"/>
        <v>-0.3</v>
      </c>
      <c r="AH66" s="14">
        <f t="shared" si="77"/>
        <v>-0.3</v>
      </c>
      <c r="AI66" s="14">
        <f t="shared" si="77"/>
        <v>-0.3</v>
      </c>
      <c r="AJ66" s="14">
        <f t="shared" si="77"/>
        <v>-0.3</v>
      </c>
      <c r="AK66" s="14">
        <f t="shared" si="77"/>
        <v>-0.3</v>
      </c>
      <c r="AL66" s="14">
        <f t="shared" si="77"/>
        <v>-0.3</v>
      </c>
      <c r="AM66" s="14">
        <f t="shared" si="77"/>
        <v>-0.3</v>
      </c>
      <c r="AN66" s="14">
        <f t="shared" si="77"/>
        <v>-0.3</v>
      </c>
      <c r="AO66" s="14">
        <f t="shared" si="77"/>
        <v>-0.3</v>
      </c>
      <c r="AP66" s="14">
        <f t="shared" si="77"/>
        <v>-0.3</v>
      </c>
      <c r="AR66" s="10">
        <f t="shared" si="78"/>
        <v>-0.39900000000000002</v>
      </c>
      <c r="AS66" s="10">
        <f t="shared" si="79"/>
        <v>-0.59499999999999997</v>
      </c>
      <c r="AT66" s="10">
        <f t="shared" si="80"/>
        <v>-0.72799999999999998</v>
      </c>
      <c r="AU66" s="10">
        <f t="shared" si="81"/>
        <v>-1.171</v>
      </c>
      <c r="AV66" s="10">
        <f t="shared" si="82"/>
        <v>-1.2</v>
      </c>
      <c r="AW66" s="10">
        <f t="shared" si="83"/>
        <v>-1.2</v>
      </c>
      <c r="AX66" s="10">
        <f t="shared" si="84"/>
        <v>-1.2</v>
      </c>
      <c r="AY66" s="10">
        <f t="shared" si="85"/>
        <v>-1.2</v>
      </c>
      <c r="AZ66" s="10">
        <f t="shared" si="86"/>
        <v>-1.2</v>
      </c>
      <c r="BA66" s="10">
        <f t="shared" si="87"/>
        <v>-1.2</v>
      </c>
      <c r="BC66" s="14">
        <v>-0.3</v>
      </c>
      <c r="BD66" s="14">
        <f t="shared" si="69"/>
        <v>0</v>
      </c>
      <c r="BE66" s="41">
        <f t="shared" si="70"/>
        <v>0</v>
      </c>
    </row>
    <row r="67" spans="2:57" x14ac:dyDescent="0.25">
      <c r="B67" s="22" t="s">
        <v>69</v>
      </c>
      <c r="C67" s="17">
        <v>-0.16700000000000001</v>
      </c>
      <c r="D67" s="17">
        <v>-0.158</v>
      </c>
      <c r="E67" s="17">
        <v>-0.156</v>
      </c>
      <c r="F67" s="17">
        <f>-0.636-SUM(C67:E67)</f>
        <v>-0.15500000000000003</v>
      </c>
      <c r="G67" s="17">
        <v>-0.14899999999999999</v>
      </c>
      <c r="H67" s="17">
        <v>-0.17499999999999999</v>
      </c>
      <c r="I67" s="17">
        <v>-0.17399999999999999</v>
      </c>
      <c r="J67" s="17">
        <f>-0.674-SUM(G67:I67)</f>
        <v>-0.1760000000000001</v>
      </c>
      <c r="K67" s="17">
        <v>-0.17299999999999999</v>
      </c>
      <c r="L67" s="17">
        <v>-0.13700000000000001</v>
      </c>
      <c r="M67" s="17">
        <v>-0.13500000000000001</v>
      </c>
      <c r="N67" s="17">
        <f>-0.583-SUM(K67:M67)</f>
        <v>-0.13799999999999996</v>
      </c>
      <c r="O67" s="17">
        <v>-0.14000000000000001</v>
      </c>
      <c r="P67" s="17">
        <v>-0.14399999999999999</v>
      </c>
      <c r="Q67" s="17">
        <v>-0.155</v>
      </c>
      <c r="R67" s="17">
        <f>-0.602-SUM(O67:Q67)</f>
        <v>-0.16299999999999992</v>
      </c>
      <c r="S67" s="14">
        <v>-0.15</v>
      </c>
      <c r="T67" s="14">
        <f t="shared" si="77"/>
        <v>-0.15</v>
      </c>
      <c r="U67" s="14">
        <f t="shared" si="77"/>
        <v>-0.15</v>
      </c>
      <c r="V67" s="14">
        <f t="shared" si="77"/>
        <v>-0.15</v>
      </c>
      <c r="W67" s="14">
        <f t="shared" si="77"/>
        <v>-0.15</v>
      </c>
      <c r="X67" s="14">
        <f t="shared" si="77"/>
        <v>-0.15</v>
      </c>
      <c r="Y67" s="14">
        <f t="shared" si="77"/>
        <v>-0.15</v>
      </c>
      <c r="Z67" s="14">
        <f t="shared" si="77"/>
        <v>-0.15</v>
      </c>
      <c r="AA67" s="14">
        <f t="shared" si="77"/>
        <v>-0.15</v>
      </c>
      <c r="AB67" s="14">
        <f t="shared" si="77"/>
        <v>-0.15</v>
      </c>
      <c r="AC67" s="14">
        <f t="shared" si="77"/>
        <v>-0.15</v>
      </c>
      <c r="AD67" s="14">
        <f t="shared" si="77"/>
        <v>-0.15</v>
      </c>
      <c r="AE67" s="14">
        <f t="shared" si="77"/>
        <v>-0.15</v>
      </c>
      <c r="AF67" s="14">
        <f t="shared" si="77"/>
        <v>-0.15</v>
      </c>
      <c r="AG67" s="14">
        <f t="shared" si="77"/>
        <v>-0.15</v>
      </c>
      <c r="AH67" s="14">
        <f t="shared" si="77"/>
        <v>-0.15</v>
      </c>
      <c r="AI67" s="14">
        <f t="shared" si="77"/>
        <v>-0.15</v>
      </c>
      <c r="AJ67" s="14">
        <f t="shared" si="77"/>
        <v>-0.15</v>
      </c>
      <c r="AK67" s="14">
        <f t="shared" si="77"/>
        <v>-0.15</v>
      </c>
      <c r="AL67" s="14">
        <f t="shared" si="77"/>
        <v>-0.15</v>
      </c>
      <c r="AM67" s="14">
        <f t="shared" si="77"/>
        <v>-0.15</v>
      </c>
      <c r="AN67" s="14">
        <f t="shared" si="77"/>
        <v>-0.15</v>
      </c>
      <c r="AO67" s="14">
        <f t="shared" si="77"/>
        <v>-0.15</v>
      </c>
      <c r="AP67" s="14">
        <f t="shared" si="77"/>
        <v>-0.15</v>
      </c>
      <c r="AR67" s="10">
        <f t="shared" si="78"/>
        <v>-0.63600000000000001</v>
      </c>
      <c r="AS67" s="10">
        <f t="shared" si="79"/>
        <v>-0.67400000000000004</v>
      </c>
      <c r="AT67" s="10">
        <f t="shared" si="80"/>
        <v>-0.58299999999999996</v>
      </c>
      <c r="AU67" s="10">
        <f t="shared" si="81"/>
        <v>-0.60199999999999998</v>
      </c>
      <c r="AV67" s="10">
        <f t="shared" si="82"/>
        <v>-0.6</v>
      </c>
      <c r="AW67" s="10">
        <f t="shared" si="83"/>
        <v>-0.6</v>
      </c>
      <c r="AX67" s="10">
        <f t="shared" si="84"/>
        <v>-0.6</v>
      </c>
      <c r="AY67" s="10">
        <f t="shared" si="85"/>
        <v>-0.6</v>
      </c>
      <c r="AZ67" s="10">
        <f t="shared" si="86"/>
        <v>-0.6</v>
      </c>
      <c r="BA67" s="10">
        <f t="shared" si="87"/>
        <v>-0.6</v>
      </c>
      <c r="BC67" s="14">
        <v>-0.15</v>
      </c>
      <c r="BD67" s="14">
        <f t="shared" si="69"/>
        <v>0</v>
      </c>
      <c r="BE67" s="41">
        <f t="shared" si="70"/>
        <v>0</v>
      </c>
    </row>
    <row r="68" spans="2:57" x14ac:dyDescent="0.25">
      <c r="B68" s="22" t="s">
        <v>101</v>
      </c>
      <c r="C68" s="17">
        <v>-5.0000000000000001E-3</v>
      </c>
      <c r="D68" s="17">
        <v>-4.0000000000000001E-3</v>
      </c>
      <c r="E68" s="17">
        <v>0</v>
      </c>
      <c r="F68" s="17">
        <f>-0.01-SUM(C68:E68)</f>
        <v>-9.9999999999999915E-4</v>
      </c>
      <c r="G68" s="17">
        <v>-7.0000000000000001E-3</v>
      </c>
      <c r="H68" s="17">
        <v>0</v>
      </c>
      <c r="I68" s="17">
        <v>0</v>
      </c>
      <c r="J68" s="17">
        <f>-0.023-SUM(G68:I68)</f>
        <v>-1.6E-2</v>
      </c>
      <c r="K68" s="17">
        <v>-8.0000000000000002E-3</v>
      </c>
      <c r="L68" s="17">
        <v>-2E-3</v>
      </c>
      <c r="M68" s="17">
        <v>-2.5999999999999999E-2</v>
      </c>
      <c r="N68" s="17">
        <f>-0.04-SUM(K68:M68)</f>
        <v>-4.0000000000000036E-3</v>
      </c>
      <c r="O68" s="17">
        <v>0</v>
      </c>
      <c r="P68" s="17">
        <v>0</v>
      </c>
      <c r="Q68" s="17">
        <v>0</v>
      </c>
      <c r="R68" s="17">
        <v>0</v>
      </c>
      <c r="S68" s="14">
        <f>R68</f>
        <v>0</v>
      </c>
      <c r="T68" s="14">
        <f t="shared" si="77"/>
        <v>0</v>
      </c>
      <c r="U68" s="14">
        <f t="shared" si="77"/>
        <v>0</v>
      </c>
      <c r="V68" s="14">
        <f t="shared" si="77"/>
        <v>0</v>
      </c>
      <c r="W68" s="14">
        <f t="shared" si="77"/>
        <v>0</v>
      </c>
      <c r="X68" s="14">
        <f t="shared" si="77"/>
        <v>0</v>
      </c>
      <c r="Y68" s="14">
        <f t="shared" si="77"/>
        <v>0</v>
      </c>
      <c r="Z68" s="14">
        <f t="shared" si="77"/>
        <v>0</v>
      </c>
      <c r="AA68" s="14">
        <f t="shared" si="77"/>
        <v>0</v>
      </c>
      <c r="AB68" s="14">
        <f t="shared" si="77"/>
        <v>0</v>
      </c>
      <c r="AC68" s="14">
        <f t="shared" si="77"/>
        <v>0</v>
      </c>
      <c r="AD68" s="14">
        <f t="shared" si="77"/>
        <v>0</v>
      </c>
      <c r="AE68" s="14">
        <f t="shared" si="77"/>
        <v>0</v>
      </c>
      <c r="AF68" s="14">
        <f t="shared" si="77"/>
        <v>0</v>
      </c>
      <c r="AG68" s="14">
        <f t="shared" si="77"/>
        <v>0</v>
      </c>
      <c r="AH68" s="14">
        <f t="shared" si="77"/>
        <v>0</v>
      </c>
      <c r="AI68" s="14">
        <f t="shared" si="77"/>
        <v>0</v>
      </c>
      <c r="AJ68" s="14">
        <f t="shared" si="77"/>
        <v>0</v>
      </c>
      <c r="AK68" s="14">
        <f t="shared" si="77"/>
        <v>0</v>
      </c>
      <c r="AL68" s="14">
        <f t="shared" si="77"/>
        <v>0</v>
      </c>
      <c r="AM68" s="14">
        <f t="shared" si="77"/>
        <v>0</v>
      </c>
      <c r="AN68" s="14">
        <f t="shared" si="77"/>
        <v>0</v>
      </c>
      <c r="AO68" s="14">
        <f t="shared" si="77"/>
        <v>0</v>
      </c>
      <c r="AP68" s="14">
        <f t="shared" si="77"/>
        <v>0</v>
      </c>
      <c r="AR68" s="10">
        <f t="shared" si="78"/>
        <v>-0.01</v>
      </c>
      <c r="AS68" s="10">
        <f t="shared" si="79"/>
        <v>-2.3E-2</v>
      </c>
      <c r="AT68" s="10">
        <f t="shared" si="80"/>
        <v>-0.04</v>
      </c>
      <c r="AU68" s="10">
        <f t="shared" si="81"/>
        <v>0</v>
      </c>
      <c r="AV68" s="10">
        <f t="shared" si="82"/>
        <v>0</v>
      </c>
      <c r="AW68" s="10">
        <f t="shared" si="83"/>
        <v>0</v>
      </c>
      <c r="AX68" s="10">
        <f t="shared" si="84"/>
        <v>0</v>
      </c>
      <c r="AY68" s="10">
        <f t="shared" si="85"/>
        <v>0</v>
      </c>
      <c r="AZ68" s="10">
        <f t="shared" si="86"/>
        <v>0</v>
      </c>
      <c r="BA68" s="10">
        <f t="shared" si="87"/>
        <v>0</v>
      </c>
      <c r="BC68" s="14">
        <v>0</v>
      </c>
      <c r="BD68" s="14">
        <f t="shared" si="69"/>
        <v>0</v>
      </c>
      <c r="BE68" s="41" t="e">
        <f t="shared" si="70"/>
        <v>#DIV/0!</v>
      </c>
    </row>
    <row r="69" spans="2:57" x14ac:dyDescent="0.25">
      <c r="B69" s="22" t="s">
        <v>99</v>
      </c>
      <c r="C69" s="17">
        <v>0</v>
      </c>
      <c r="D69" s="17">
        <v>0</v>
      </c>
      <c r="E69" s="17">
        <v>0</v>
      </c>
      <c r="F69" s="17">
        <v>0</v>
      </c>
      <c r="G69" s="17">
        <v>-1.353</v>
      </c>
      <c r="H69" s="17">
        <v>0</v>
      </c>
      <c r="I69" s="17">
        <v>0</v>
      </c>
      <c r="J69" s="17">
        <f>-1.353-SUM(G69:I69)</f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4">
        <f>R69</f>
        <v>0</v>
      </c>
      <c r="T69" s="14">
        <f t="shared" si="77"/>
        <v>0</v>
      </c>
      <c r="U69" s="14">
        <f t="shared" si="77"/>
        <v>0</v>
      </c>
      <c r="V69" s="14">
        <f t="shared" si="77"/>
        <v>0</v>
      </c>
      <c r="W69" s="14">
        <f t="shared" si="77"/>
        <v>0</v>
      </c>
      <c r="X69" s="14">
        <f t="shared" si="77"/>
        <v>0</v>
      </c>
      <c r="Y69" s="14">
        <f t="shared" si="77"/>
        <v>0</v>
      </c>
      <c r="Z69" s="14">
        <f t="shared" si="77"/>
        <v>0</v>
      </c>
      <c r="AA69" s="14">
        <f t="shared" si="77"/>
        <v>0</v>
      </c>
      <c r="AB69" s="14">
        <f t="shared" si="77"/>
        <v>0</v>
      </c>
      <c r="AC69" s="14">
        <f t="shared" si="77"/>
        <v>0</v>
      </c>
      <c r="AD69" s="14">
        <f t="shared" si="77"/>
        <v>0</v>
      </c>
      <c r="AE69" s="14">
        <f t="shared" si="77"/>
        <v>0</v>
      </c>
      <c r="AF69" s="14">
        <f t="shared" si="77"/>
        <v>0</v>
      </c>
      <c r="AG69" s="14">
        <f t="shared" si="77"/>
        <v>0</v>
      </c>
      <c r="AH69" s="14">
        <f t="shared" si="77"/>
        <v>0</v>
      </c>
      <c r="AI69" s="14">
        <f t="shared" si="77"/>
        <v>0</v>
      </c>
      <c r="AJ69" s="14">
        <f t="shared" si="77"/>
        <v>0</v>
      </c>
      <c r="AK69" s="14">
        <f t="shared" si="77"/>
        <v>0</v>
      </c>
      <c r="AL69" s="14">
        <f t="shared" si="77"/>
        <v>0</v>
      </c>
      <c r="AM69" s="14">
        <f t="shared" si="77"/>
        <v>0</v>
      </c>
      <c r="AN69" s="14">
        <f t="shared" si="77"/>
        <v>0</v>
      </c>
      <c r="AO69" s="14">
        <f t="shared" si="77"/>
        <v>0</v>
      </c>
      <c r="AP69" s="14">
        <f t="shared" si="77"/>
        <v>0</v>
      </c>
      <c r="AR69" s="10">
        <f t="shared" si="78"/>
        <v>0</v>
      </c>
      <c r="AS69" s="10">
        <f t="shared" si="79"/>
        <v>-1.353</v>
      </c>
      <c r="AT69" s="10">
        <f t="shared" si="80"/>
        <v>0</v>
      </c>
      <c r="AU69" s="10">
        <f t="shared" si="81"/>
        <v>0</v>
      </c>
      <c r="AV69" s="10">
        <f t="shared" si="82"/>
        <v>0</v>
      </c>
      <c r="AW69" s="10">
        <f t="shared" si="83"/>
        <v>0</v>
      </c>
      <c r="AX69" s="10">
        <f t="shared" si="84"/>
        <v>0</v>
      </c>
      <c r="AY69" s="10">
        <f t="shared" si="85"/>
        <v>0</v>
      </c>
      <c r="AZ69" s="10">
        <f t="shared" si="86"/>
        <v>0</v>
      </c>
      <c r="BA69" s="10">
        <f t="shared" si="87"/>
        <v>0</v>
      </c>
      <c r="BC69" s="14">
        <v>0</v>
      </c>
      <c r="BD69" s="14">
        <f t="shared" si="69"/>
        <v>0</v>
      </c>
      <c r="BE69" s="41" t="e">
        <f t="shared" si="70"/>
        <v>#DIV/0!</v>
      </c>
    </row>
    <row r="70" spans="2:57" ht="15" customHeight="1" x14ac:dyDescent="0.25">
      <c r="B70" s="22" t="s">
        <v>53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-2E-3</v>
      </c>
      <c r="I70" s="17">
        <v>-1.6E-2</v>
      </c>
      <c r="J70" s="17">
        <f>-0.002-0.054-SUM(G70:I70)</f>
        <v>-3.7999999999999999E-2</v>
      </c>
      <c r="K70" s="17">
        <v>4.0000000000000001E-3</v>
      </c>
      <c r="L70" s="17">
        <v>5.0000000000000001E-3</v>
      </c>
      <c r="M70" s="17">
        <v>0</v>
      </c>
      <c r="N70" s="17">
        <f>0.01-SUM(K70:M70)</f>
        <v>9.9999999999999915E-4</v>
      </c>
      <c r="O70" s="17">
        <v>1E-3</v>
      </c>
      <c r="P70" s="17">
        <v>3.0000000000000001E-3</v>
      </c>
      <c r="Q70" s="17">
        <v>0</v>
      </c>
      <c r="R70" s="17">
        <f>0.003-SUM(O70:Q70)</f>
        <v>-1E-3</v>
      </c>
      <c r="S70" s="14">
        <f>R70</f>
        <v>-1E-3</v>
      </c>
      <c r="T70" s="14">
        <f t="shared" si="77"/>
        <v>-1E-3</v>
      </c>
      <c r="U70" s="14">
        <f t="shared" si="77"/>
        <v>-1E-3</v>
      </c>
      <c r="V70" s="14">
        <f t="shared" si="77"/>
        <v>-1E-3</v>
      </c>
      <c r="W70" s="14">
        <f t="shared" si="77"/>
        <v>-1E-3</v>
      </c>
      <c r="X70" s="14">
        <f t="shared" si="77"/>
        <v>-1E-3</v>
      </c>
      <c r="Y70" s="14">
        <f t="shared" si="77"/>
        <v>-1E-3</v>
      </c>
      <c r="Z70" s="14">
        <f t="shared" si="77"/>
        <v>-1E-3</v>
      </c>
      <c r="AA70" s="14">
        <f t="shared" si="77"/>
        <v>-1E-3</v>
      </c>
      <c r="AB70" s="14">
        <f t="shared" si="77"/>
        <v>-1E-3</v>
      </c>
      <c r="AC70" s="14">
        <f t="shared" si="77"/>
        <v>-1E-3</v>
      </c>
      <c r="AD70" s="14">
        <f t="shared" si="77"/>
        <v>-1E-3</v>
      </c>
      <c r="AE70" s="14">
        <f t="shared" si="77"/>
        <v>-1E-3</v>
      </c>
      <c r="AF70" s="14">
        <f t="shared" si="77"/>
        <v>-1E-3</v>
      </c>
      <c r="AG70" s="14">
        <f t="shared" si="77"/>
        <v>-1E-3</v>
      </c>
      <c r="AH70" s="14">
        <f t="shared" si="77"/>
        <v>-1E-3</v>
      </c>
      <c r="AI70" s="14">
        <f t="shared" si="77"/>
        <v>-1E-3</v>
      </c>
      <c r="AJ70" s="14">
        <f t="shared" si="77"/>
        <v>-1E-3</v>
      </c>
      <c r="AK70" s="14">
        <f t="shared" si="77"/>
        <v>-1E-3</v>
      </c>
      <c r="AL70" s="14">
        <f t="shared" si="77"/>
        <v>-1E-3</v>
      </c>
      <c r="AM70" s="14">
        <f t="shared" si="77"/>
        <v>-1E-3</v>
      </c>
      <c r="AN70" s="14">
        <f t="shared" si="77"/>
        <v>-1E-3</v>
      </c>
      <c r="AO70" s="14">
        <f t="shared" si="77"/>
        <v>-1E-3</v>
      </c>
      <c r="AP70" s="14">
        <f t="shared" si="77"/>
        <v>-1E-3</v>
      </c>
      <c r="AR70" s="10">
        <f t="shared" si="78"/>
        <v>0</v>
      </c>
      <c r="AS70" s="10">
        <f t="shared" si="79"/>
        <v>-5.6000000000000001E-2</v>
      </c>
      <c r="AT70" s="10">
        <f t="shared" si="80"/>
        <v>0.01</v>
      </c>
      <c r="AU70" s="10">
        <f t="shared" si="81"/>
        <v>3.0000000000000001E-3</v>
      </c>
      <c r="AV70" s="10">
        <f t="shared" si="82"/>
        <v>-4.0000000000000001E-3</v>
      </c>
      <c r="AW70" s="10">
        <f t="shared" si="83"/>
        <v>-4.0000000000000001E-3</v>
      </c>
      <c r="AX70" s="10">
        <f t="shared" si="84"/>
        <v>-4.0000000000000001E-3</v>
      </c>
      <c r="AY70" s="10">
        <f t="shared" si="85"/>
        <v>-4.0000000000000001E-3</v>
      </c>
      <c r="AZ70" s="10">
        <f t="shared" si="86"/>
        <v>-4.0000000000000001E-3</v>
      </c>
      <c r="BA70" s="10">
        <f t="shared" si="87"/>
        <v>-4.0000000000000001E-3</v>
      </c>
      <c r="BC70" s="14">
        <v>-1E-3</v>
      </c>
      <c r="BD70" s="14">
        <f t="shared" si="69"/>
        <v>0</v>
      </c>
      <c r="BE70" s="41">
        <f t="shared" si="70"/>
        <v>0</v>
      </c>
    </row>
    <row r="71" spans="2:57" ht="15" customHeight="1" x14ac:dyDescent="0.25">
      <c r="B71" s="10" t="s">
        <v>80</v>
      </c>
      <c r="C71" s="15">
        <f t="shared" ref="C71:AP71" si="89">SUM(C65:C70)</f>
        <v>-0.69100000000000006</v>
      </c>
      <c r="D71" s="15">
        <f t="shared" si="89"/>
        <v>-0.71700000000000008</v>
      </c>
      <c r="E71" s="15">
        <f t="shared" si="89"/>
        <v>-0.82100000000000006</v>
      </c>
      <c r="F71" s="15">
        <f t="shared" si="89"/>
        <v>-0.82</v>
      </c>
      <c r="G71" s="15">
        <f t="shared" si="89"/>
        <v>-2.214</v>
      </c>
      <c r="H71" s="15">
        <f t="shared" si="89"/>
        <v>-0.97399999999999998</v>
      </c>
      <c r="I71" s="15">
        <f t="shared" si="89"/>
        <v>-1.091</v>
      </c>
      <c r="J71" s="15">
        <f t="shared" si="89"/>
        <v>-1.1320000000000001</v>
      </c>
      <c r="K71" s="15">
        <f t="shared" si="89"/>
        <v>-1.0660000000000001</v>
      </c>
      <c r="L71" s="15">
        <f t="shared" si="89"/>
        <v>-1.139</v>
      </c>
      <c r="M71" s="15">
        <f t="shared" si="89"/>
        <v>-1.3380000000000001</v>
      </c>
      <c r="N71" s="15">
        <f t="shared" si="89"/>
        <v>-1.347</v>
      </c>
      <c r="O71" s="15">
        <f t="shared" si="89"/>
        <v>-1.379</v>
      </c>
      <c r="P71" s="15">
        <f t="shared" si="89"/>
        <v>-1.575</v>
      </c>
      <c r="Q71" s="15">
        <f t="shared" si="89"/>
        <v>-1.714</v>
      </c>
      <c r="R71" s="15">
        <f t="shared" si="89"/>
        <v>-1.839</v>
      </c>
      <c r="S71" s="15">
        <f t="shared" si="89"/>
        <v>-1.6509999999999998</v>
      </c>
      <c r="T71" s="15">
        <f t="shared" si="89"/>
        <v>-1.6509999999999998</v>
      </c>
      <c r="U71" s="15">
        <f t="shared" si="89"/>
        <v>-1.6509999999999998</v>
      </c>
      <c r="V71" s="15">
        <f t="shared" si="89"/>
        <v>-1.6509999999999998</v>
      </c>
      <c r="W71" s="15">
        <f t="shared" si="89"/>
        <v>-1.6509999999999998</v>
      </c>
      <c r="X71" s="15">
        <f t="shared" si="89"/>
        <v>-1.6509999999999998</v>
      </c>
      <c r="Y71" s="15">
        <f t="shared" si="89"/>
        <v>-1.6509999999999998</v>
      </c>
      <c r="Z71" s="15">
        <f t="shared" si="89"/>
        <v>-1.6509999999999998</v>
      </c>
      <c r="AA71" s="15">
        <f t="shared" si="89"/>
        <v>-1.6509999999999998</v>
      </c>
      <c r="AB71" s="15">
        <f t="shared" si="89"/>
        <v>-1.6509999999999998</v>
      </c>
      <c r="AC71" s="15">
        <f t="shared" si="89"/>
        <v>-1.6509999999999998</v>
      </c>
      <c r="AD71" s="15">
        <f t="shared" si="89"/>
        <v>-1.6509999999999998</v>
      </c>
      <c r="AE71" s="15">
        <f t="shared" si="89"/>
        <v>-1.6509999999999998</v>
      </c>
      <c r="AF71" s="15">
        <f t="shared" si="89"/>
        <v>-1.6509999999999998</v>
      </c>
      <c r="AG71" s="15">
        <f t="shared" si="89"/>
        <v>-1.6509999999999998</v>
      </c>
      <c r="AH71" s="15">
        <f t="shared" si="89"/>
        <v>-1.6509999999999998</v>
      </c>
      <c r="AI71" s="15">
        <f t="shared" si="89"/>
        <v>-1.6509999999999998</v>
      </c>
      <c r="AJ71" s="15">
        <f t="shared" si="89"/>
        <v>-1.6509999999999998</v>
      </c>
      <c r="AK71" s="15">
        <f t="shared" si="89"/>
        <v>-1.6509999999999998</v>
      </c>
      <c r="AL71" s="15">
        <f t="shared" si="89"/>
        <v>-1.6509999999999998</v>
      </c>
      <c r="AM71" s="15">
        <f t="shared" si="89"/>
        <v>-1.6509999999999998</v>
      </c>
      <c r="AN71" s="15">
        <f t="shared" si="89"/>
        <v>-1.6509999999999998</v>
      </c>
      <c r="AO71" s="15">
        <f t="shared" si="89"/>
        <v>-1.6509999999999998</v>
      </c>
      <c r="AP71" s="15">
        <f t="shared" si="89"/>
        <v>-1.6509999999999998</v>
      </c>
      <c r="AR71" s="10">
        <f t="shared" si="78"/>
        <v>-3.0489999999999999</v>
      </c>
      <c r="AS71" s="10">
        <f t="shared" si="79"/>
        <v>-5.4109999999999996</v>
      </c>
      <c r="AT71" s="10">
        <f t="shared" si="80"/>
        <v>-4.8900000000000006</v>
      </c>
      <c r="AU71" s="10">
        <f t="shared" si="81"/>
        <v>-6.5069999999999997</v>
      </c>
      <c r="AV71" s="10">
        <f t="shared" si="82"/>
        <v>-6.6039999999999992</v>
      </c>
      <c r="AW71" s="10">
        <f t="shared" si="83"/>
        <v>-6.6039999999999992</v>
      </c>
      <c r="AX71" s="10">
        <f t="shared" si="84"/>
        <v>-6.6039999999999992</v>
      </c>
      <c r="AY71" s="10">
        <f t="shared" si="85"/>
        <v>-6.6039999999999992</v>
      </c>
      <c r="AZ71" s="10">
        <f t="shared" si="86"/>
        <v>-6.6039999999999992</v>
      </c>
      <c r="BA71" s="10">
        <f t="shared" si="87"/>
        <v>-6.6039999999999992</v>
      </c>
      <c r="BC71" s="15">
        <v>-1.6509999999999998</v>
      </c>
      <c r="BD71" s="15">
        <f t="shared" si="69"/>
        <v>0</v>
      </c>
      <c r="BE71" s="41">
        <f t="shared" si="70"/>
        <v>0</v>
      </c>
    </row>
    <row r="72" spans="2:57" ht="15" customHeight="1" x14ac:dyDescent="0.25">
      <c r="B72" s="20" t="s">
        <v>7</v>
      </c>
      <c r="C72" s="6">
        <f t="shared" ref="C72:AP72" si="90">C71/C14</f>
        <v>-0.12206323971029855</v>
      </c>
      <c r="D72" s="6">
        <f t="shared" si="90"/>
        <v>-0.11018902720147536</v>
      </c>
      <c r="E72" s="6">
        <f t="shared" si="90"/>
        <v>-0.11558496409967621</v>
      </c>
      <c r="F72" s="6">
        <f t="shared" si="90"/>
        <v>-0.10728771424833182</v>
      </c>
      <c r="G72" s="6">
        <f t="shared" si="90"/>
        <v>-0.26713320463320461</v>
      </c>
      <c r="H72" s="6">
        <f t="shared" si="90"/>
        <v>-0.14528639618138423</v>
      </c>
      <c r="I72" s="6">
        <f t="shared" si="90"/>
        <v>-0.18394874388804586</v>
      </c>
      <c r="J72" s="6">
        <f t="shared" si="90"/>
        <v>-0.18707651627830113</v>
      </c>
      <c r="K72" s="6">
        <f t="shared" si="90"/>
        <v>-0.14822024471635151</v>
      </c>
      <c r="L72" s="6">
        <f t="shared" si="90"/>
        <v>-8.4326645443103573E-2</v>
      </c>
      <c r="M72" s="6">
        <f t="shared" si="90"/>
        <v>-7.3841059602649001E-2</v>
      </c>
      <c r="N72" s="6">
        <f t="shared" si="90"/>
        <v>-6.0941953580961855E-2</v>
      </c>
      <c r="O72" s="6">
        <f t="shared" si="90"/>
        <v>-5.2948855782521884E-2</v>
      </c>
      <c r="P72" s="6">
        <f t="shared" si="90"/>
        <v>-5.243009320905459E-2</v>
      </c>
      <c r="Q72" s="6">
        <f t="shared" si="90"/>
        <v>-4.8856963685080669E-2</v>
      </c>
      <c r="R72" s="6">
        <f t="shared" si="90"/>
        <v>-4.6757011009127672E-2</v>
      </c>
      <c r="S72" s="6">
        <f t="shared" si="90"/>
        <v>-3.7469928736779991E-2</v>
      </c>
      <c r="T72" s="6">
        <f t="shared" si="90"/>
        <v>-3.2749099449354932E-2</v>
      </c>
      <c r="U72" s="6">
        <f t="shared" si="90"/>
        <v>-2.8756002445392326E-2</v>
      </c>
      <c r="V72" s="6">
        <f t="shared" si="90"/>
        <v>-2.6103323944463644E-2</v>
      </c>
      <c r="W72" s="6">
        <f t="shared" si="90"/>
        <v>-2.4858673697159321E-2</v>
      </c>
      <c r="X72" s="6">
        <f t="shared" si="90"/>
        <v>-2.1614329213660948E-2</v>
      </c>
      <c r="Y72" s="6">
        <f t="shared" si="90"/>
        <v>-1.956710303024916E-2</v>
      </c>
      <c r="Z72" s="6">
        <f t="shared" si="90"/>
        <v>-1.8247320798578916E-2</v>
      </c>
      <c r="AA72" s="6">
        <f t="shared" si="90"/>
        <v>-1.8245499606895685E-2</v>
      </c>
      <c r="AB72" s="6">
        <f t="shared" si="90"/>
        <v>-1.564285458551368E-2</v>
      </c>
      <c r="AC72" s="6">
        <f t="shared" si="90"/>
        <v>-1.4164806168494252E-2</v>
      </c>
      <c r="AD72" s="6">
        <f t="shared" si="90"/>
        <v>-1.3166732419083411E-2</v>
      </c>
      <c r="AE72" s="6">
        <f t="shared" si="90"/>
        <v>-1.3717107830295259E-2</v>
      </c>
      <c r="AF72" s="6">
        <f t="shared" si="90"/>
        <v>-1.1702825687865152E-2</v>
      </c>
      <c r="AG72" s="6">
        <f t="shared" si="90"/>
        <v>-1.0599108813762302E-2</v>
      </c>
      <c r="AH72" s="6">
        <f t="shared" si="90"/>
        <v>-9.8280026706233405E-3</v>
      </c>
      <c r="AI72" s="6">
        <f t="shared" si="90"/>
        <v>-1.0246321223593195E-2</v>
      </c>
      <c r="AJ72" s="6">
        <f t="shared" si="90"/>
        <v>-8.7444945624105472E-3</v>
      </c>
      <c r="AK72" s="6">
        <f t="shared" si="90"/>
        <v>-7.9211396369577268E-3</v>
      </c>
      <c r="AL72" s="6">
        <f t="shared" si="90"/>
        <v>-7.3288728172569541E-3</v>
      </c>
      <c r="AM72" s="6">
        <f t="shared" si="90"/>
        <v>-7.6051827579969545E-3</v>
      </c>
      <c r="AN72" s="6">
        <f t="shared" si="90"/>
        <v>-6.5217189237247323E-3</v>
      </c>
      <c r="AO72" s="6">
        <f t="shared" si="90"/>
        <v>-5.9084527939274366E-3</v>
      </c>
      <c r="AP72" s="6">
        <f t="shared" si="90"/>
        <v>-5.4572885037515138E-3</v>
      </c>
      <c r="AR72" s="6">
        <f t="shared" ref="AR72:BA72" si="91">AR71/AR14</f>
        <v>-0.11328676525228505</v>
      </c>
      <c r="AS72" s="6">
        <f t="shared" si="91"/>
        <v>-0.20060057833469266</v>
      </c>
      <c r="AT72" s="6">
        <f t="shared" si="91"/>
        <v>-8.0266570368668147E-2</v>
      </c>
      <c r="AU72" s="6">
        <f t="shared" si="91"/>
        <v>-4.9863215246327502E-2</v>
      </c>
      <c r="AV72" s="6">
        <f t="shared" si="91"/>
        <v>-3.0696526212086316E-2</v>
      </c>
      <c r="AW72" s="6">
        <f t="shared" si="91"/>
        <v>-2.0789830253467867E-2</v>
      </c>
      <c r="AX72" s="6">
        <f t="shared" si="91"/>
        <v>-1.5078323498347569E-2</v>
      </c>
      <c r="AY72" s="6">
        <f t="shared" si="91"/>
        <v>-1.1285129616351581E-2</v>
      </c>
      <c r="AZ72" s="6">
        <f t="shared" si="91"/>
        <v>-8.4273552031586402E-3</v>
      </c>
      <c r="BA72" s="6">
        <f t="shared" si="91"/>
        <v>-6.2763477478748522E-3</v>
      </c>
      <c r="BC72" s="6">
        <v>-3.794512551079976E-2</v>
      </c>
      <c r="BD72" s="6">
        <f t="shared" si="69"/>
        <v>4.7519677401976906E-4</v>
      </c>
      <c r="BE72" s="41">
        <f t="shared" si="70"/>
        <v>-1.2523262675320994E-2</v>
      </c>
    </row>
    <row r="73" spans="2:57" ht="15" customHeight="1" x14ac:dyDescent="0.25">
      <c r="B73" s="8" t="s">
        <v>11</v>
      </c>
      <c r="C73" s="8">
        <f t="shared" ref="C73:R73" si="92">C39-C57</f>
        <v>1.9559999999999995</v>
      </c>
      <c r="D73" s="8">
        <f t="shared" si="92"/>
        <v>2.444</v>
      </c>
      <c r="E73" s="8">
        <f t="shared" si="92"/>
        <v>2.6710000000000003</v>
      </c>
      <c r="F73" s="8">
        <f t="shared" si="92"/>
        <v>2.9699999999999989</v>
      </c>
      <c r="G73" s="8">
        <f t="shared" si="92"/>
        <v>1.8680000000000003</v>
      </c>
      <c r="H73" s="8">
        <f t="shared" si="92"/>
        <v>0.49900000000000055</v>
      </c>
      <c r="I73" s="8">
        <f t="shared" si="92"/>
        <v>0.60099999999999998</v>
      </c>
      <c r="J73" s="8">
        <f t="shared" si="92"/>
        <v>1.2560000000000002</v>
      </c>
      <c r="K73" s="8">
        <f t="shared" si="92"/>
        <v>2.1399999999999997</v>
      </c>
      <c r="L73" s="8">
        <f t="shared" si="92"/>
        <v>6.8</v>
      </c>
      <c r="M73" s="8">
        <f t="shared" si="92"/>
        <v>10.417000000000002</v>
      </c>
      <c r="N73" s="8">
        <f t="shared" si="92"/>
        <v>13.615000000000002</v>
      </c>
      <c r="O73" s="8">
        <f t="shared" si="92"/>
        <v>16.908999999999999</v>
      </c>
      <c r="P73" s="8">
        <f t="shared" si="92"/>
        <v>18.642000000000003</v>
      </c>
      <c r="Q73" s="8">
        <f t="shared" si="92"/>
        <v>21.869</v>
      </c>
      <c r="R73" s="8">
        <f t="shared" si="92"/>
        <v>24.032999999999987</v>
      </c>
      <c r="S73" s="8">
        <f t="shared" ref="S73:AP73" si="93">S39-S57</f>
        <v>21.637999999999998</v>
      </c>
      <c r="T73" s="8">
        <f t="shared" si="93"/>
        <v>23.980287608226377</v>
      </c>
      <c r="U73" s="8">
        <f t="shared" si="93"/>
        <v>27.310222455199984</v>
      </c>
      <c r="V73" s="8">
        <f t="shared" si="93"/>
        <v>30.085548697812623</v>
      </c>
      <c r="W73" s="8">
        <f t="shared" si="93"/>
        <v>31.591903625802917</v>
      </c>
      <c r="X73" s="8">
        <f t="shared" si="93"/>
        <v>36.333897570579417</v>
      </c>
      <c r="Y73" s="8">
        <f t="shared" si="93"/>
        <v>40.13536508147773</v>
      </c>
      <c r="Z73" s="8">
        <f t="shared" si="93"/>
        <v>43.038253800366149</v>
      </c>
      <c r="AA73" s="8">
        <f t="shared" si="93"/>
        <v>43.042549704099713</v>
      </c>
      <c r="AB73" s="8">
        <f t="shared" si="93"/>
        <v>50.203933010616197</v>
      </c>
      <c r="AC73" s="8">
        <f t="shared" si="93"/>
        <v>55.442539372878812</v>
      </c>
      <c r="AD73" s="8">
        <f t="shared" si="93"/>
        <v>59.645233054763438</v>
      </c>
      <c r="AE73" s="8">
        <f t="shared" si="93"/>
        <v>57.252070438017043</v>
      </c>
      <c r="AF73" s="8">
        <f t="shared" si="93"/>
        <v>67.106256612901916</v>
      </c>
      <c r="AG73" s="8">
        <f t="shared" si="93"/>
        <v>74.09423164768647</v>
      </c>
      <c r="AH73" s="8">
        <f t="shared" si="93"/>
        <v>79.907673005966899</v>
      </c>
      <c r="AI73" s="8">
        <f t="shared" si="93"/>
        <v>76.645344857784735</v>
      </c>
      <c r="AJ73" s="8">
        <f t="shared" si="93"/>
        <v>89.808829784377011</v>
      </c>
      <c r="AK73" s="8">
        <f t="shared" si="93"/>
        <v>99.143918640419514</v>
      </c>
      <c r="AL73" s="8">
        <f t="shared" si="93"/>
        <v>107.15601747880694</v>
      </c>
      <c r="AM73" s="8">
        <f t="shared" si="93"/>
        <v>103.26284702102009</v>
      </c>
      <c r="AN73" s="8">
        <f t="shared" si="93"/>
        <v>120.41807273371637</v>
      </c>
      <c r="AO73" s="8">
        <f t="shared" si="93"/>
        <v>132.9168313764113</v>
      </c>
      <c r="AP73" s="8">
        <f t="shared" si="93"/>
        <v>143.90531546317857</v>
      </c>
      <c r="AR73" s="8">
        <f t="shared" ref="AR73:BA73" si="94">AR39-AR57</f>
        <v>10.041000000000002</v>
      </c>
      <c r="AS73" s="8">
        <f t="shared" si="94"/>
        <v>5.577</v>
      </c>
      <c r="AT73" s="8">
        <f t="shared" si="94"/>
        <v>32.972000000000001</v>
      </c>
      <c r="AU73" s="8">
        <f t="shared" si="94"/>
        <v>81.452999999999975</v>
      </c>
      <c r="AV73" s="8">
        <f t="shared" si="94"/>
        <v>103.01405876123897</v>
      </c>
      <c r="AW73" s="8">
        <f t="shared" si="94"/>
        <v>151.09942007822619</v>
      </c>
      <c r="AX73" s="8">
        <f t="shared" si="94"/>
        <v>208.33425514235816</v>
      </c>
      <c r="AY73" s="8">
        <f t="shared" si="94"/>
        <v>278.3602317045723</v>
      </c>
      <c r="AZ73" s="8">
        <f t="shared" si="94"/>
        <v>372.75411076138818</v>
      </c>
      <c r="BA73" s="8">
        <f t="shared" si="94"/>
        <v>500.5030665943263</v>
      </c>
      <c r="BC73" s="8">
        <v>25.525780952400002</v>
      </c>
      <c r="BD73" s="8">
        <f t="shared" si="69"/>
        <v>-3.8877809524000035</v>
      </c>
      <c r="BE73" s="41">
        <f t="shared" si="70"/>
        <v>-0.15230801203104674</v>
      </c>
    </row>
    <row r="74" spans="2:57" ht="15" customHeight="1" x14ac:dyDescent="0.25">
      <c r="B74" s="20" t="s">
        <v>7</v>
      </c>
      <c r="C74" s="6">
        <f>C73/C$14</f>
        <v>0.34552199258081606</v>
      </c>
      <c r="D74" s="6">
        <f t="shared" ref="D74:BA74" si="95">D73/D$14</f>
        <v>0.37559551252497314</v>
      </c>
      <c r="E74" s="6">
        <f t="shared" si="95"/>
        <v>0.37603829367872738</v>
      </c>
      <c r="F74" s="6">
        <f t="shared" si="95"/>
        <v>0.38859086746042121</v>
      </c>
      <c r="G74" s="6">
        <f t="shared" si="95"/>
        <v>0.22538610038610041</v>
      </c>
      <c r="H74" s="6">
        <f t="shared" si="95"/>
        <v>7.4433174224343757E-2</v>
      </c>
      <c r="I74" s="6">
        <f t="shared" si="95"/>
        <v>0.1013319844882819</v>
      </c>
      <c r="J74" s="6">
        <f t="shared" si="95"/>
        <v>0.20756899686002317</v>
      </c>
      <c r="K74" s="6">
        <f t="shared" si="95"/>
        <v>0.29755283648498326</v>
      </c>
      <c r="L74" s="6">
        <f t="shared" si="95"/>
        <v>0.50344265936181243</v>
      </c>
      <c r="M74" s="6">
        <f t="shared" si="95"/>
        <v>0.57488962472406191</v>
      </c>
      <c r="N74" s="6">
        <f t="shared" si="95"/>
        <v>0.61597973125820027</v>
      </c>
      <c r="O74" s="6">
        <f t="shared" si="95"/>
        <v>0.64924742743050212</v>
      </c>
      <c r="P74" s="6">
        <f t="shared" si="95"/>
        <v>0.62057256990679099</v>
      </c>
      <c r="Q74" s="6">
        <f t="shared" si="95"/>
        <v>0.62336810900176731</v>
      </c>
      <c r="R74" s="6">
        <f t="shared" si="95"/>
        <v>0.61104472299204171</v>
      </c>
      <c r="S74" s="6">
        <f t="shared" si="95"/>
        <v>0.49108074985248057</v>
      </c>
      <c r="T74" s="6">
        <f t="shared" si="95"/>
        <v>0.47567100163896997</v>
      </c>
      <c r="U74" s="6">
        <f t="shared" si="95"/>
        <v>0.47567100163896991</v>
      </c>
      <c r="V74" s="6">
        <f t="shared" si="95"/>
        <v>0.47567100163896991</v>
      </c>
      <c r="W74" s="6">
        <f t="shared" si="95"/>
        <v>0.47567100163896986</v>
      </c>
      <c r="X74" s="6">
        <f t="shared" si="95"/>
        <v>0.47567100163896991</v>
      </c>
      <c r="Y74" s="6">
        <f t="shared" si="95"/>
        <v>0.47567100163896991</v>
      </c>
      <c r="Z74" s="6">
        <f t="shared" si="95"/>
        <v>0.47567100163896997</v>
      </c>
      <c r="AA74" s="6">
        <f t="shared" si="95"/>
        <v>0.47567100163896991</v>
      </c>
      <c r="AB74" s="6">
        <f t="shared" si="95"/>
        <v>0.47567100163896991</v>
      </c>
      <c r="AC74" s="6">
        <f t="shared" si="95"/>
        <v>0.47567100163896991</v>
      </c>
      <c r="AD74" s="6">
        <f t="shared" si="95"/>
        <v>0.47567100163896991</v>
      </c>
      <c r="AE74" s="6">
        <f t="shared" si="95"/>
        <v>0.47567100163896997</v>
      </c>
      <c r="AF74" s="6">
        <f t="shared" si="95"/>
        <v>0.47567100163896997</v>
      </c>
      <c r="AG74" s="6">
        <f t="shared" si="95"/>
        <v>0.47567100163896997</v>
      </c>
      <c r="AH74" s="6">
        <f t="shared" si="95"/>
        <v>0.47567100163896991</v>
      </c>
      <c r="AI74" s="6">
        <f t="shared" si="95"/>
        <v>0.47567100163896991</v>
      </c>
      <c r="AJ74" s="6">
        <f t="shared" si="95"/>
        <v>0.47567100163896991</v>
      </c>
      <c r="AK74" s="6">
        <f t="shared" si="95"/>
        <v>0.47567100163896986</v>
      </c>
      <c r="AL74" s="6">
        <f t="shared" si="95"/>
        <v>0.47567100163896997</v>
      </c>
      <c r="AM74" s="6">
        <f t="shared" si="95"/>
        <v>0.47567100163896991</v>
      </c>
      <c r="AN74" s="6">
        <f t="shared" si="95"/>
        <v>0.47567100163896997</v>
      </c>
      <c r="AO74" s="6">
        <f t="shared" si="95"/>
        <v>0.47567100163896991</v>
      </c>
      <c r="AP74" s="6">
        <f t="shared" si="95"/>
        <v>0.47567100163896997</v>
      </c>
      <c r="AR74" s="6">
        <f t="shared" si="95"/>
        <v>0.37307720888756785</v>
      </c>
      <c r="AS74" s="6">
        <f t="shared" si="95"/>
        <v>0.20675465262845702</v>
      </c>
      <c r="AT74" s="6">
        <f t="shared" si="95"/>
        <v>0.54121663766783756</v>
      </c>
      <c r="AU74" s="6">
        <f t="shared" si="95"/>
        <v>0.62417526839697457</v>
      </c>
      <c r="AV74" s="6">
        <f t="shared" si="95"/>
        <v>0.47882703739820903</v>
      </c>
      <c r="AW74" s="6">
        <f t="shared" si="95"/>
        <v>0.47567100163896986</v>
      </c>
      <c r="AX74" s="6">
        <f t="shared" si="95"/>
        <v>0.47567100163896991</v>
      </c>
      <c r="AY74" s="6">
        <f t="shared" si="95"/>
        <v>0.47567100163896991</v>
      </c>
      <c r="AZ74" s="6">
        <f t="shared" si="95"/>
        <v>0.47567100163896991</v>
      </c>
      <c r="BA74" s="6">
        <f t="shared" si="95"/>
        <v>0.47567100163896991</v>
      </c>
      <c r="BC74" s="6">
        <v>0.58666200000000002</v>
      </c>
      <c r="BD74" s="6">
        <f t="shared" si="69"/>
        <v>-9.5581250147519448E-2</v>
      </c>
      <c r="BE74" s="41">
        <f t="shared" si="70"/>
        <v>-0.16292388146414707</v>
      </c>
    </row>
    <row r="75" spans="2:57" ht="15" customHeight="1" x14ac:dyDescent="0.25">
      <c r="B75" s="22" t="s">
        <v>91</v>
      </c>
      <c r="C75" s="15">
        <f t="shared" ref="C75:H75" si="96">C65</f>
        <v>-0.42899999999999999</v>
      </c>
      <c r="D75" s="15">
        <f t="shared" si="96"/>
        <v>-0.46500000000000002</v>
      </c>
      <c r="E75" s="15">
        <f t="shared" si="96"/>
        <v>-0.55900000000000005</v>
      </c>
      <c r="F75" s="15">
        <f t="shared" si="96"/>
        <v>-0.55099999999999993</v>
      </c>
      <c r="G75" s="15">
        <f t="shared" si="96"/>
        <v>-0.57799999999999996</v>
      </c>
      <c r="H75" s="15">
        <f t="shared" si="96"/>
        <v>-0.64900000000000002</v>
      </c>
      <c r="I75" s="15">
        <f>I65</f>
        <v>-0.745</v>
      </c>
      <c r="J75" s="15">
        <f>J65</f>
        <v>-0.73799999999999999</v>
      </c>
      <c r="K75" s="15">
        <f t="shared" ref="K75:AP75" si="97">K65</f>
        <v>-0.73499999999999999</v>
      </c>
      <c r="L75" s="15">
        <f t="shared" si="97"/>
        <v>-0.84199999999999997</v>
      </c>
      <c r="M75" s="15">
        <f t="shared" si="97"/>
        <v>-0.97899999999999998</v>
      </c>
      <c r="N75" s="15">
        <f t="shared" si="97"/>
        <v>-0.99299999999999988</v>
      </c>
      <c r="O75" s="15">
        <f t="shared" si="97"/>
        <v>-1.0109999999999999</v>
      </c>
      <c r="P75" s="15">
        <f t="shared" si="97"/>
        <v>-1.1539999999999999</v>
      </c>
      <c r="Q75" s="15">
        <f t="shared" si="97"/>
        <v>-1.252</v>
      </c>
      <c r="R75" s="15">
        <f t="shared" si="97"/>
        <v>-1.3200000000000003</v>
      </c>
      <c r="S75" s="15">
        <f t="shared" si="97"/>
        <v>-1.2</v>
      </c>
      <c r="T75" s="15">
        <f t="shared" si="97"/>
        <v>-1.2</v>
      </c>
      <c r="U75" s="15">
        <f t="shared" si="97"/>
        <v>-1.2</v>
      </c>
      <c r="V75" s="15">
        <f t="shared" si="97"/>
        <v>-1.2</v>
      </c>
      <c r="W75" s="15">
        <f t="shared" si="97"/>
        <v>-1.2</v>
      </c>
      <c r="X75" s="15">
        <f t="shared" si="97"/>
        <v>-1.2</v>
      </c>
      <c r="Y75" s="15">
        <f t="shared" si="97"/>
        <v>-1.2</v>
      </c>
      <c r="Z75" s="15">
        <f t="shared" si="97"/>
        <v>-1.2</v>
      </c>
      <c r="AA75" s="15">
        <f t="shared" si="97"/>
        <v>-1.2</v>
      </c>
      <c r="AB75" s="15">
        <f t="shared" si="97"/>
        <v>-1.2</v>
      </c>
      <c r="AC75" s="15">
        <f t="shared" si="97"/>
        <v>-1.2</v>
      </c>
      <c r="AD75" s="15">
        <f t="shared" si="97"/>
        <v>-1.2</v>
      </c>
      <c r="AE75" s="15">
        <f t="shared" si="97"/>
        <v>-1.2</v>
      </c>
      <c r="AF75" s="15">
        <f t="shared" si="97"/>
        <v>-1.2</v>
      </c>
      <c r="AG75" s="15">
        <f t="shared" si="97"/>
        <v>-1.2</v>
      </c>
      <c r="AH75" s="15">
        <f t="shared" si="97"/>
        <v>-1.2</v>
      </c>
      <c r="AI75" s="15">
        <f t="shared" si="97"/>
        <v>-1.2</v>
      </c>
      <c r="AJ75" s="15">
        <f t="shared" si="97"/>
        <v>-1.2</v>
      </c>
      <c r="AK75" s="15">
        <f t="shared" si="97"/>
        <v>-1.2</v>
      </c>
      <c r="AL75" s="15">
        <f t="shared" si="97"/>
        <v>-1.2</v>
      </c>
      <c r="AM75" s="15">
        <f t="shared" si="97"/>
        <v>-1.2</v>
      </c>
      <c r="AN75" s="15">
        <f t="shared" si="97"/>
        <v>-1.2</v>
      </c>
      <c r="AO75" s="15">
        <f t="shared" si="97"/>
        <v>-1.2</v>
      </c>
      <c r="AP75" s="15">
        <f t="shared" si="97"/>
        <v>-1.2</v>
      </c>
      <c r="AR75" s="10">
        <f>SUM(C75:F75)</f>
        <v>-2.004</v>
      </c>
      <c r="AS75" s="10">
        <f>SUM(G75:J75)</f>
        <v>-2.71</v>
      </c>
      <c r="AT75" s="10">
        <f>SUM(K75:N75)</f>
        <v>-3.5489999999999999</v>
      </c>
      <c r="AU75" s="10">
        <f>SUM(O75:R75)</f>
        <v>-4.7370000000000001</v>
      </c>
      <c r="AV75" s="10">
        <f>SUM(S75:V75)</f>
        <v>-4.8</v>
      </c>
      <c r="AW75" s="10">
        <f>SUM(W75:Z75)</f>
        <v>-4.8</v>
      </c>
      <c r="AX75" s="10">
        <f>SUM(AA75:AD75)</f>
        <v>-4.8</v>
      </c>
      <c r="AY75" s="10">
        <f>SUM(AE75:AH75)</f>
        <v>-4.8</v>
      </c>
      <c r="AZ75" s="10">
        <f>SUM(AI75:AL75)</f>
        <v>-4.8</v>
      </c>
      <c r="BA75" s="10">
        <f>SUM(AM75:AP75)</f>
        <v>-4.8</v>
      </c>
      <c r="BC75" s="15">
        <v>-1.2</v>
      </c>
      <c r="BD75" s="15">
        <f t="shared" si="69"/>
        <v>0</v>
      </c>
      <c r="BE75" s="41">
        <f t="shared" si="70"/>
        <v>0</v>
      </c>
    </row>
    <row r="76" spans="2:57" ht="15" customHeight="1" x14ac:dyDescent="0.25">
      <c r="B76" s="22" t="s">
        <v>90</v>
      </c>
      <c r="C76" s="15">
        <f t="shared" ref="C76:H76" si="98">C67</f>
        <v>-0.16700000000000001</v>
      </c>
      <c r="D76" s="15">
        <f t="shared" si="98"/>
        <v>-0.158</v>
      </c>
      <c r="E76" s="15">
        <f t="shared" si="98"/>
        <v>-0.156</v>
      </c>
      <c r="F76" s="15">
        <f t="shared" si="98"/>
        <v>-0.15500000000000003</v>
      </c>
      <c r="G76" s="15">
        <f t="shared" si="98"/>
        <v>-0.14899999999999999</v>
      </c>
      <c r="H76" s="15">
        <f t="shared" si="98"/>
        <v>-0.17499999999999999</v>
      </c>
      <c r="I76" s="15">
        <f>I67</f>
        <v>-0.17399999999999999</v>
      </c>
      <c r="J76" s="15">
        <f>J67</f>
        <v>-0.1760000000000001</v>
      </c>
      <c r="K76" s="15">
        <f t="shared" ref="K76:Q76" si="99">K67</f>
        <v>-0.17299999999999999</v>
      </c>
      <c r="L76" s="15">
        <f t="shared" si="99"/>
        <v>-0.13700000000000001</v>
      </c>
      <c r="M76" s="15">
        <f t="shared" si="99"/>
        <v>-0.13500000000000001</v>
      </c>
      <c r="N76" s="15">
        <f t="shared" si="99"/>
        <v>-0.13799999999999996</v>
      </c>
      <c r="O76" s="15">
        <f t="shared" si="99"/>
        <v>-0.14000000000000001</v>
      </c>
      <c r="P76" s="15">
        <f t="shared" si="99"/>
        <v>-0.14399999999999999</v>
      </c>
      <c r="Q76" s="15">
        <f t="shared" si="99"/>
        <v>-0.155</v>
      </c>
      <c r="R76" s="15">
        <f t="shared" ref="R76:AP76" si="100">R67</f>
        <v>-0.16299999999999992</v>
      </c>
      <c r="S76" s="15">
        <f t="shared" si="100"/>
        <v>-0.15</v>
      </c>
      <c r="T76" s="15">
        <f t="shared" si="100"/>
        <v>-0.15</v>
      </c>
      <c r="U76" s="15">
        <f t="shared" si="100"/>
        <v>-0.15</v>
      </c>
      <c r="V76" s="15">
        <f t="shared" si="100"/>
        <v>-0.15</v>
      </c>
      <c r="W76" s="15">
        <f t="shared" si="100"/>
        <v>-0.15</v>
      </c>
      <c r="X76" s="15">
        <f t="shared" si="100"/>
        <v>-0.15</v>
      </c>
      <c r="Y76" s="15">
        <f t="shared" si="100"/>
        <v>-0.15</v>
      </c>
      <c r="Z76" s="15">
        <f t="shared" si="100"/>
        <v>-0.15</v>
      </c>
      <c r="AA76" s="15">
        <f t="shared" si="100"/>
        <v>-0.15</v>
      </c>
      <c r="AB76" s="15">
        <f t="shared" si="100"/>
        <v>-0.15</v>
      </c>
      <c r="AC76" s="15">
        <f t="shared" si="100"/>
        <v>-0.15</v>
      </c>
      <c r="AD76" s="15">
        <f t="shared" si="100"/>
        <v>-0.15</v>
      </c>
      <c r="AE76" s="15">
        <f t="shared" si="100"/>
        <v>-0.15</v>
      </c>
      <c r="AF76" s="15">
        <f t="shared" si="100"/>
        <v>-0.15</v>
      </c>
      <c r="AG76" s="15">
        <f t="shared" si="100"/>
        <v>-0.15</v>
      </c>
      <c r="AH76" s="15">
        <f t="shared" si="100"/>
        <v>-0.15</v>
      </c>
      <c r="AI76" s="15">
        <f t="shared" si="100"/>
        <v>-0.15</v>
      </c>
      <c r="AJ76" s="15">
        <f t="shared" si="100"/>
        <v>-0.15</v>
      </c>
      <c r="AK76" s="15">
        <f t="shared" si="100"/>
        <v>-0.15</v>
      </c>
      <c r="AL76" s="15">
        <f t="shared" si="100"/>
        <v>-0.15</v>
      </c>
      <c r="AM76" s="15">
        <f t="shared" si="100"/>
        <v>-0.15</v>
      </c>
      <c r="AN76" s="15">
        <f t="shared" si="100"/>
        <v>-0.15</v>
      </c>
      <c r="AO76" s="15">
        <f t="shared" si="100"/>
        <v>-0.15</v>
      </c>
      <c r="AP76" s="15">
        <f t="shared" si="100"/>
        <v>-0.15</v>
      </c>
      <c r="AR76" s="10">
        <f>SUM(C76:F76)</f>
        <v>-0.63600000000000001</v>
      </c>
      <c r="AS76" s="10">
        <f>SUM(G76:J76)</f>
        <v>-0.67400000000000004</v>
      </c>
      <c r="AT76" s="10">
        <f>SUM(K76:N76)</f>
        <v>-0.58299999999999996</v>
      </c>
      <c r="AU76" s="10">
        <f>SUM(O76:R76)</f>
        <v>-0.60199999999999998</v>
      </c>
      <c r="AV76" s="10">
        <f>SUM(S76:V76)</f>
        <v>-0.6</v>
      </c>
      <c r="AW76" s="10">
        <f>SUM(W76:Z76)</f>
        <v>-0.6</v>
      </c>
      <c r="AX76" s="10">
        <f>SUM(AA76:AD76)</f>
        <v>-0.6</v>
      </c>
      <c r="AY76" s="10">
        <f>SUM(AE76:AH76)</f>
        <v>-0.6</v>
      </c>
      <c r="AZ76" s="10">
        <f>SUM(AI76:AL76)</f>
        <v>-0.6</v>
      </c>
      <c r="BA76" s="10">
        <f>SUM(AM76:AP76)</f>
        <v>-0.6</v>
      </c>
      <c r="BC76" s="15">
        <v>-0.15</v>
      </c>
      <c r="BD76" s="15">
        <f t="shared" si="69"/>
        <v>0</v>
      </c>
      <c r="BE76" s="41">
        <f t="shared" si="70"/>
        <v>0</v>
      </c>
    </row>
    <row r="77" spans="2:57" x14ac:dyDescent="0.25">
      <c r="B77" s="22" t="s">
        <v>101</v>
      </c>
      <c r="C77" s="10">
        <f t="shared" ref="C77:H77" si="101">C68</f>
        <v>-5.0000000000000001E-3</v>
      </c>
      <c r="D77" s="10">
        <f t="shared" si="101"/>
        <v>-4.0000000000000001E-3</v>
      </c>
      <c r="E77" s="10">
        <f t="shared" si="101"/>
        <v>0</v>
      </c>
      <c r="F77" s="10">
        <f t="shared" si="101"/>
        <v>-9.9999999999999915E-4</v>
      </c>
      <c r="G77" s="10">
        <f t="shared" si="101"/>
        <v>-7.0000000000000001E-3</v>
      </c>
      <c r="H77" s="10">
        <f t="shared" si="101"/>
        <v>0</v>
      </c>
      <c r="I77" s="10">
        <f>I68</f>
        <v>0</v>
      </c>
      <c r="J77" s="10">
        <f>J68</f>
        <v>-1.6E-2</v>
      </c>
      <c r="K77" s="10">
        <f t="shared" ref="K77:Q77" si="102">K68</f>
        <v>-8.0000000000000002E-3</v>
      </c>
      <c r="L77" s="10">
        <f t="shared" si="102"/>
        <v>-2E-3</v>
      </c>
      <c r="M77" s="10">
        <f t="shared" si="102"/>
        <v>-2.5999999999999999E-2</v>
      </c>
      <c r="N77" s="10">
        <f t="shared" si="102"/>
        <v>-4.0000000000000036E-3</v>
      </c>
      <c r="O77" s="10">
        <f t="shared" si="102"/>
        <v>0</v>
      </c>
      <c r="P77" s="10">
        <f t="shared" si="102"/>
        <v>0</v>
      </c>
      <c r="Q77" s="10">
        <f t="shared" si="102"/>
        <v>0</v>
      </c>
      <c r="R77" s="10">
        <f t="shared" ref="R77:AP77" si="103">R68</f>
        <v>0</v>
      </c>
      <c r="S77" s="10">
        <f t="shared" si="103"/>
        <v>0</v>
      </c>
      <c r="T77" s="10">
        <f t="shared" si="103"/>
        <v>0</v>
      </c>
      <c r="U77" s="10">
        <f t="shared" si="103"/>
        <v>0</v>
      </c>
      <c r="V77" s="10">
        <f t="shared" si="103"/>
        <v>0</v>
      </c>
      <c r="W77" s="10">
        <f t="shared" si="103"/>
        <v>0</v>
      </c>
      <c r="X77" s="10">
        <f t="shared" si="103"/>
        <v>0</v>
      </c>
      <c r="Y77" s="10">
        <f t="shared" si="103"/>
        <v>0</v>
      </c>
      <c r="Z77" s="10">
        <f t="shared" si="103"/>
        <v>0</v>
      </c>
      <c r="AA77" s="10">
        <f t="shared" si="103"/>
        <v>0</v>
      </c>
      <c r="AB77" s="10">
        <f t="shared" si="103"/>
        <v>0</v>
      </c>
      <c r="AC77" s="10">
        <f t="shared" si="103"/>
        <v>0</v>
      </c>
      <c r="AD77" s="10">
        <f t="shared" si="103"/>
        <v>0</v>
      </c>
      <c r="AE77" s="10">
        <f t="shared" si="103"/>
        <v>0</v>
      </c>
      <c r="AF77" s="10">
        <f t="shared" si="103"/>
        <v>0</v>
      </c>
      <c r="AG77" s="10">
        <f t="shared" si="103"/>
        <v>0</v>
      </c>
      <c r="AH77" s="10">
        <f t="shared" si="103"/>
        <v>0</v>
      </c>
      <c r="AI77" s="10">
        <f t="shared" si="103"/>
        <v>0</v>
      </c>
      <c r="AJ77" s="10">
        <f t="shared" si="103"/>
        <v>0</v>
      </c>
      <c r="AK77" s="10">
        <f t="shared" si="103"/>
        <v>0</v>
      </c>
      <c r="AL77" s="10">
        <f t="shared" si="103"/>
        <v>0</v>
      </c>
      <c r="AM77" s="10">
        <f t="shared" si="103"/>
        <v>0</v>
      </c>
      <c r="AN77" s="10">
        <f t="shared" si="103"/>
        <v>0</v>
      </c>
      <c r="AO77" s="10">
        <f t="shared" si="103"/>
        <v>0</v>
      </c>
      <c r="AP77" s="10">
        <f t="shared" si="103"/>
        <v>0</v>
      </c>
      <c r="AR77" s="10">
        <f>SUM(C77:F77)</f>
        <v>-0.01</v>
      </c>
      <c r="AS77" s="10">
        <f>SUM(G77:J77)</f>
        <v>-2.3E-2</v>
      </c>
      <c r="AT77" s="10">
        <f>SUM(K77:N77)</f>
        <v>-0.04</v>
      </c>
      <c r="AU77" s="10">
        <f>SUM(O77:R77)</f>
        <v>0</v>
      </c>
      <c r="AV77" s="10">
        <f>SUM(S77:V77)</f>
        <v>0</v>
      </c>
      <c r="AW77" s="10">
        <f>SUM(W77:Z77)</f>
        <v>0</v>
      </c>
      <c r="AX77" s="10">
        <f>SUM(AA77:AD77)</f>
        <v>0</v>
      </c>
      <c r="AY77" s="10">
        <f>SUM(AE77:AH77)</f>
        <v>0</v>
      </c>
      <c r="AZ77" s="10">
        <f>SUM(AI77:AL77)</f>
        <v>0</v>
      </c>
      <c r="BA77" s="10">
        <f>SUM(AM77:AP77)</f>
        <v>0</v>
      </c>
      <c r="BC77" s="10">
        <v>0</v>
      </c>
      <c r="BD77" s="10">
        <f t="shared" si="69"/>
        <v>0</v>
      </c>
      <c r="BE77" s="41" t="e">
        <f t="shared" si="70"/>
        <v>#DIV/0!</v>
      </c>
    </row>
    <row r="78" spans="2:57" ht="15" customHeight="1" x14ac:dyDescent="0.25">
      <c r="B78" s="22" t="s">
        <v>53</v>
      </c>
      <c r="C78" s="15">
        <f>C69+C70</f>
        <v>0</v>
      </c>
      <c r="D78" s="15">
        <f t="shared" ref="D78:Q78" si="104">D69+D70</f>
        <v>0</v>
      </c>
      <c r="E78" s="15">
        <f t="shared" si="104"/>
        <v>0</v>
      </c>
      <c r="F78" s="15">
        <f t="shared" si="104"/>
        <v>0</v>
      </c>
      <c r="G78" s="15">
        <f t="shared" si="104"/>
        <v>-1.353</v>
      </c>
      <c r="H78" s="15">
        <f t="shared" si="104"/>
        <v>-2E-3</v>
      </c>
      <c r="I78" s="15">
        <f t="shared" si="104"/>
        <v>-1.6E-2</v>
      </c>
      <c r="J78" s="15">
        <f t="shared" si="104"/>
        <v>-3.7999999999999999E-2</v>
      </c>
      <c r="K78" s="15">
        <f t="shared" si="104"/>
        <v>4.0000000000000001E-3</v>
      </c>
      <c r="L78" s="15">
        <f t="shared" si="104"/>
        <v>5.0000000000000001E-3</v>
      </c>
      <c r="M78" s="15">
        <f t="shared" si="104"/>
        <v>0</v>
      </c>
      <c r="N78" s="15">
        <f t="shared" si="104"/>
        <v>9.9999999999999915E-4</v>
      </c>
      <c r="O78" s="15">
        <f t="shared" si="104"/>
        <v>1E-3</v>
      </c>
      <c r="P78" s="15">
        <f t="shared" si="104"/>
        <v>3.0000000000000001E-3</v>
      </c>
      <c r="Q78" s="15">
        <f t="shared" si="104"/>
        <v>0</v>
      </c>
      <c r="R78" s="15">
        <f t="shared" ref="R78:AP78" si="105">R70</f>
        <v>-1E-3</v>
      </c>
      <c r="S78" s="15">
        <f t="shared" si="105"/>
        <v>-1E-3</v>
      </c>
      <c r="T78" s="15">
        <f t="shared" si="105"/>
        <v>-1E-3</v>
      </c>
      <c r="U78" s="15">
        <f t="shared" si="105"/>
        <v>-1E-3</v>
      </c>
      <c r="V78" s="15">
        <f t="shared" si="105"/>
        <v>-1E-3</v>
      </c>
      <c r="W78" s="15">
        <f t="shared" si="105"/>
        <v>-1E-3</v>
      </c>
      <c r="X78" s="15">
        <f t="shared" si="105"/>
        <v>-1E-3</v>
      </c>
      <c r="Y78" s="15">
        <f t="shared" si="105"/>
        <v>-1E-3</v>
      </c>
      <c r="Z78" s="15">
        <f t="shared" si="105"/>
        <v>-1E-3</v>
      </c>
      <c r="AA78" s="15">
        <f t="shared" si="105"/>
        <v>-1E-3</v>
      </c>
      <c r="AB78" s="15">
        <f t="shared" si="105"/>
        <v>-1E-3</v>
      </c>
      <c r="AC78" s="15">
        <f t="shared" si="105"/>
        <v>-1E-3</v>
      </c>
      <c r="AD78" s="15">
        <f t="shared" si="105"/>
        <v>-1E-3</v>
      </c>
      <c r="AE78" s="15">
        <f t="shared" si="105"/>
        <v>-1E-3</v>
      </c>
      <c r="AF78" s="15">
        <f t="shared" si="105"/>
        <v>-1E-3</v>
      </c>
      <c r="AG78" s="15">
        <f t="shared" si="105"/>
        <v>-1E-3</v>
      </c>
      <c r="AH78" s="15">
        <f t="shared" si="105"/>
        <v>-1E-3</v>
      </c>
      <c r="AI78" s="15">
        <f t="shared" si="105"/>
        <v>-1E-3</v>
      </c>
      <c r="AJ78" s="15">
        <f t="shared" si="105"/>
        <v>-1E-3</v>
      </c>
      <c r="AK78" s="15">
        <f t="shared" si="105"/>
        <v>-1E-3</v>
      </c>
      <c r="AL78" s="15">
        <f t="shared" si="105"/>
        <v>-1E-3</v>
      </c>
      <c r="AM78" s="15">
        <f t="shared" si="105"/>
        <v>-1E-3</v>
      </c>
      <c r="AN78" s="15">
        <f t="shared" si="105"/>
        <v>-1E-3</v>
      </c>
      <c r="AO78" s="15">
        <f t="shared" si="105"/>
        <v>-1E-3</v>
      </c>
      <c r="AP78" s="15">
        <f t="shared" si="105"/>
        <v>-1E-3</v>
      </c>
      <c r="AR78" s="10">
        <f>SUM(C78:F78)</f>
        <v>0</v>
      </c>
      <c r="AS78" s="10">
        <f>SUM(G78:J78)</f>
        <v>-1.409</v>
      </c>
      <c r="AT78" s="10">
        <f>SUM(K78:N78)</f>
        <v>0.01</v>
      </c>
      <c r="AU78" s="10">
        <f>SUM(O78:R78)</f>
        <v>3.0000000000000001E-3</v>
      </c>
      <c r="AV78" s="10">
        <f>SUM(S78:V78)</f>
        <v>-4.0000000000000001E-3</v>
      </c>
      <c r="AW78" s="10">
        <f>SUM(W78:Z78)</f>
        <v>-4.0000000000000001E-3</v>
      </c>
      <c r="AX78" s="10">
        <f>SUM(AA78:AD78)</f>
        <v>-4.0000000000000001E-3</v>
      </c>
      <c r="AY78" s="10">
        <f>SUM(AE78:AH78)</f>
        <v>-4.0000000000000001E-3</v>
      </c>
      <c r="AZ78" s="10">
        <f>SUM(AI78:AL78)</f>
        <v>-4.0000000000000001E-3</v>
      </c>
      <c r="BA78" s="10">
        <f>SUM(AM78:AP78)</f>
        <v>-4.0000000000000001E-3</v>
      </c>
      <c r="BC78" s="15">
        <v>-1E-3</v>
      </c>
      <c r="BD78" s="15">
        <f t="shared" si="69"/>
        <v>0</v>
      </c>
      <c r="BE78" s="41">
        <f t="shared" si="70"/>
        <v>0</v>
      </c>
    </row>
    <row r="79" spans="2:57" ht="15" customHeight="1" x14ac:dyDescent="0.25">
      <c r="B79" s="8" t="s">
        <v>95</v>
      </c>
      <c r="C79" s="8">
        <f>C73-SUM(C75:C78)</f>
        <v>2.5569999999999995</v>
      </c>
      <c r="D79" s="8">
        <f t="shared" ref="D79:AP79" si="106">D73-SUM(D75:D78)</f>
        <v>3.0709999999999997</v>
      </c>
      <c r="E79" s="8">
        <f t="shared" si="106"/>
        <v>3.3860000000000001</v>
      </c>
      <c r="F79" s="8">
        <f t="shared" si="106"/>
        <v>3.6769999999999987</v>
      </c>
      <c r="G79" s="8">
        <f t="shared" si="106"/>
        <v>3.9550000000000001</v>
      </c>
      <c r="H79" s="8">
        <f t="shared" si="106"/>
        <v>1.3250000000000006</v>
      </c>
      <c r="I79" s="8">
        <f t="shared" si="106"/>
        <v>1.536</v>
      </c>
      <c r="J79" s="8">
        <f t="shared" si="106"/>
        <v>2.2240000000000002</v>
      </c>
      <c r="K79" s="8">
        <f t="shared" si="106"/>
        <v>3.0519999999999996</v>
      </c>
      <c r="L79" s="8">
        <f t="shared" si="106"/>
        <v>7.7759999999999998</v>
      </c>
      <c r="M79" s="8">
        <f t="shared" si="106"/>
        <v>11.557000000000002</v>
      </c>
      <c r="N79" s="8">
        <f t="shared" si="106"/>
        <v>14.749000000000002</v>
      </c>
      <c r="O79" s="8">
        <f t="shared" si="106"/>
        <v>18.058999999999997</v>
      </c>
      <c r="P79" s="8">
        <f t="shared" si="106"/>
        <v>19.937000000000005</v>
      </c>
      <c r="Q79" s="8">
        <f t="shared" si="106"/>
        <v>23.276</v>
      </c>
      <c r="R79" s="8">
        <f t="shared" si="106"/>
        <v>25.516999999999989</v>
      </c>
      <c r="S79" s="8">
        <f t="shared" si="106"/>
        <v>22.988999999999997</v>
      </c>
      <c r="T79" s="8">
        <f t="shared" si="106"/>
        <v>25.331287608226376</v>
      </c>
      <c r="U79" s="8">
        <f t="shared" si="106"/>
        <v>28.661222455199983</v>
      </c>
      <c r="V79" s="8">
        <f t="shared" si="106"/>
        <v>31.436548697812622</v>
      </c>
      <c r="W79" s="8">
        <f t="shared" si="106"/>
        <v>32.94290362580292</v>
      </c>
      <c r="X79" s="8">
        <f t="shared" si="106"/>
        <v>37.684897570579416</v>
      </c>
      <c r="Y79" s="8">
        <f t="shared" si="106"/>
        <v>41.486365081477729</v>
      </c>
      <c r="Z79" s="8">
        <f t="shared" si="106"/>
        <v>44.389253800366149</v>
      </c>
      <c r="AA79" s="8">
        <f t="shared" si="106"/>
        <v>44.393549704099712</v>
      </c>
      <c r="AB79" s="8">
        <f t="shared" si="106"/>
        <v>51.554933010616196</v>
      </c>
      <c r="AC79" s="8">
        <f t="shared" si="106"/>
        <v>56.793539372878811</v>
      </c>
      <c r="AD79" s="8">
        <f t="shared" si="106"/>
        <v>60.996233054763437</v>
      </c>
      <c r="AE79" s="8">
        <f t="shared" si="106"/>
        <v>58.603070438017042</v>
      </c>
      <c r="AF79" s="8">
        <f t="shared" si="106"/>
        <v>68.457256612901915</v>
      </c>
      <c r="AG79" s="8">
        <f t="shared" si="106"/>
        <v>75.44523164768647</v>
      </c>
      <c r="AH79" s="8">
        <f t="shared" si="106"/>
        <v>81.258673005966898</v>
      </c>
      <c r="AI79" s="8">
        <f t="shared" si="106"/>
        <v>77.996344857784734</v>
      </c>
      <c r="AJ79" s="8">
        <f t="shared" si="106"/>
        <v>91.15982978437701</v>
      </c>
      <c r="AK79" s="8">
        <f t="shared" si="106"/>
        <v>100.49491864041951</v>
      </c>
      <c r="AL79" s="8">
        <f t="shared" si="106"/>
        <v>108.50701747880694</v>
      </c>
      <c r="AM79" s="8">
        <f t="shared" si="106"/>
        <v>104.61384702102009</v>
      </c>
      <c r="AN79" s="8">
        <f t="shared" si="106"/>
        <v>121.76907273371637</v>
      </c>
      <c r="AO79" s="8">
        <f t="shared" si="106"/>
        <v>134.26783137641129</v>
      </c>
      <c r="AP79" s="8">
        <f t="shared" si="106"/>
        <v>145.25631546317857</v>
      </c>
      <c r="AR79" s="8">
        <f t="shared" ref="AR79:BA79" si="107">AR73-SUM(AR75:AR78)</f>
        <v>12.691000000000003</v>
      </c>
      <c r="AS79" s="8">
        <f t="shared" si="107"/>
        <v>10.393000000000001</v>
      </c>
      <c r="AT79" s="8">
        <f t="shared" si="107"/>
        <v>37.134</v>
      </c>
      <c r="AU79" s="8">
        <f t="shared" si="107"/>
        <v>86.788999999999973</v>
      </c>
      <c r="AV79" s="8">
        <f t="shared" si="107"/>
        <v>108.41805876123897</v>
      </c>
      <c r="AW79" s="8">
        <f t="shared" si="107"/>
        <v>156.50342007822618</v>
      </c>
      <c r="AX79" s="8">
        <f t="shared" si="107"/>
        <v>213.73825514235816</v>
      </c>
      <c r="AY79" s="8">
        <f t="shared" si="107"/>
        <v>283.7642317045723</v>
      </c>
      <c r="AZ79" s="8">
        <f t="shared" si="107"/>
        <v>378.15811076138817</v>
      </c>
      <c r="BA79" s="8">
        <f t="shared" si="107"/>
        <v>505.9070665943263</v>
      </c>
      <c r="BC79" s="8">
        <v>26.876780952400001</v>
      </c>
      <c r="BD79" s="8">
        <f t="shared" si="69"/>
        <v>-3.8877809524000035</v>
      </c>
      <c r="BE79" s="41">
        <f t="shared" si="70"/>
        <v>-0.14465203103323424</v>
      </c>
    </row>
    <row r="80" spans="2:57" ht="15" customHeight="1" x14ac:dyDescent="0.25">
      <c r="B80" s="20" t="s">
        <v>7</v>
      </c>
      <c r="C80" s="6">
        <f t="shared" ref="C80:AP80" si="108">C79/C$14</f>
        <v>0.45168698109874572</v>
      </c>
      <c r="D80" s="6">
        <f t="shared" si="108"/>
        <v>0.47195328108191176</v>
      </c>
      <c r="E80" s="6">
        <f t="shared" si="108"/>
        <v>0.47669998592144169</v>
      </c>
      <c r="F80" s="6">
        <f t="shared" si="108"/>
        <v>0.48109381133062923</v>
      </c>
      <c r="G80" s="6">
        <f t="shared" si="108"/>
        <v>0.47719594594594594</v>
      </c>
      <c r="H80" s="6">
        <f t="shared" si="108"/>
        <v>0.1976431980906922</v>
      </c>
      <c r="I80" s="6">
        <f t="shared" si="108"/>
        <v>0.25897824987354578</v>
      </c>
      <c r="J80" s="6">
        <f t="shared" si="108"/>
        <v>0.36754255494959515</v>
      </c>
      <c r="K80" s="6">
        <f t="shared" si="108"/>
        <v>0.42436040044493878</v>
      </c>
      <c r="L80" s="6">
        <f t="shared" si="108"/>
        <v>0.57570148811727251</v>
      </c>
      <c r="M80" s="6">
        <f t="shared" si="108"/>
        <v>0.63780353200883011</v>
      </c>
      <c r="N80" s="6">
        <f t="shared" si="108"/>
        <v>0.66728498393883184</v>
      </c>
      <c r="O80" s="6">
        <f t="shared" si="108"/>
        <v>0.69340347104899391</v>
      </c>
      <c r="P80" s="6">
        <f t="shared" si="108"/>
        <v>0.6636817576564582</v>
      </c>
      <c r="Q80" s="6">
        <f t="shared" si="108"/>
        <v>0.66347414628584456</v>
      </c>
      <c r="R80" s="6">
        <f t="shared" si="108"/>
        <v>0.64877577483410021</v>
      </c>
      <c r="S80" s="6">
        <f t="shared" si="108"/>
        <v>0.52174209069039079</v>
      </c>
      <c r="T80" s="6">
        <f t="shared" si="108"/>
        <v>0.50246932590067706</v>
      </c>
      <c r="U80" s="6">
        <f t="shared" si="108"/>
        <v>0.49920180678962101</v>
      </c>
      <c r="V80" s="6">
        <f t="shared" si="108"/>
        <v>0.49703114134155646</v>
      </c>
      <c r="W80" s="6">
        <f t="shared" si="108"/>
        <v>0.49601265407074596</v>
      </c>
      <c r="X80" s="6">
        <f t="shared" si="108"/>
        <v>0.49335783311544229</v>
      </c>
      <c r="Y80" s="6">
        <f t="shared" si="108"/>
        <v>0.49168260442144512</v>
      </c>
      <c r="Z80" s="6">
        <f t="shared" si="108"/>
        <v>0.49060263725307057</v>
      </c>
      <c r="AA80" s="6">
        <f t="shared" si="108"/>
        <v>0.49060114698658713</v>
      </c>
      <c r="AB80" s="6">
        <f t="shared" si="108"/>
        <v>0.48847142353177975</v>
      </c>
      <c r="AC80" s="6">
        <f t="shared" si="108"/>
        <v>0.48726194841888254</v>
      </c>
      <c r="AD80" s="6">
        <f t="shared" si="108"/>
        <v>0.48644523270994611</v>
      </c>
      <c r="AE80" s="6">
        <f t="shared" si="108"/>
        <v>0.48689560047526848</v>
      </c>
      <c r="AF80" s="6">
        <f t="shared" si="108"/>
        <v>0.48524732962461853</v>
      </c>
      <c r="AG80" s="6">
        <f t="shared" si="108"/>
        <v>0.48434416699777849</v>
      </c>
      <c r="AH80" s="6">
        <f t="shared" si="108"/>
        <v>0.48371317705266592</v>
      </c>
      <c r="AI80" s="6">
        <f t="shared" si="108"/>
        <v>0.48405548375470248</v>
      </c>
      <c r="AJ80" s="6">
        <f t="shared" si="108"/>
        <v>0.48282655109615746</v>
      </c>
      <c r="AK80" s="6">
        <f t="shared" si="108"/>
        <v>0.48215280639337921</v>
      </c>
      <c r="AL80" s="6">
        <f t="shared" si="108"/>
        <v>0.48166815922595613</v>
      </c>
      <c r="AM80" s="6">
        <f t="shared" si="108"/>
        <v>0.48189426142458702</v>
      </c>
      <c r="AN80" s="6">
        <f t="shared" si="108"/>
        <v>0.48100767169708752</v>
      </c>
      <c r="AO80" s="6">
        <f t="shared" si="108"/>
        <v>0.48050584096337695</v>
      </c>
      <c r="AP80" s="6">
        <f t="shared" si="108"/>
        <v>0.48013665685918094</v>
      </c>
      <c r="AR80" s="6">
        <f t="shared" ref="AR80:BA80" si="109">AR79/AR$14</f>
        <v>0.47153897599762212</v>
      </c>
      <c r="AS80" s="6">
        <f t="shared" si="109"/>
        <v>0.38529695262104252</v>
      </c>
      <c r="AT80" s="6">
        <f t="shared" si="109"/>
        <v>0.60953350185483079</v>
      </c>
      <c r="AU80" s="6">
        <f t="shared" si="109"/>
        <v>0.66506509728192975</v>
      </c>
      <c r="AV80" s="6">
        <f t="shared" si="109"/>
        <v>0.5039457575148224</v>
      </c>
      <c r="AW80" s="6">
        <f t="shared" si="109"/>
        <v>0.49268315225825215</v>
      </c>
      <c r="AX80" s="6">
        <f t="shared" si="109"/>
        <v>0.48800947229085823</v>
      </c>
      <c r="AY80" s="6">
        <f t="shared" si="109"/>
        <v>0.48490553229414313</v>
      </c>
      <c r="AZ80" s="6">
        <f t="shared" si="109"/>
        <v>0.48256703851326871</v>
      </c>
      <c r="BA80" s="6">
        <f t="shared" si="109"/>
        <v>0.48080688644053199</v>
      </c>
      <c r="BC80" s="6">
        <v>0.61771219053003656</v>
      </c>
      <c r="BD80" s="6">
        <f t="shared" si="69"/>
        <v>-9.5970099839645773E-2</v>
      </c>
      <c r="BE80" s="41">
        <f t="shared" si="70"/>
        <v>-0.15536377832740728</v>
      </c>
    </row>
    <row r="81" spans="1:57" ht="15" customHeight="1" x14ac:dyDescent="0.25">
      <c r="B81" s="23" t="s">
        <v>77</v>
      </c>
      <c r="C81" s="17">
        <v>6.0000000000000001E-3</v>
      </c>
      <c r="D81" s="17">
        <v>6.0000000000000001E-3</v>
      </c>
      <c r="E81" s="17">
        <v>7.0000000000000001E-3</v>
      </c>
      <c r="F81" s="17">
        <f>0.029-SUM(C81:E81)</f>
        <v>1.0000000000000002E-2</v>
      </c>
      <c r="G81" s="17">
        <v>1.7999999999999999E-2</v>
      </c>
      <c r="H81" s="17">
        <v>4.5999999999999999E-2</v>
      </c>
      <c r="I81" s="17">
        <v>8.7999999999999995E-2</v>
      </c>
      <c r="J81" s="17">
        <v>0.26700000000000002</v>
      </c>
      <c r="K81" s="17">
        <v>0.15</v>
      </c>
      <c r="L81" s="17">
        <v>0.187</v>
      </c>
      <c r="M81" s="17">
        <v>0.23400000000000001</v>
      </c>
      <c r="N81" s="17">
        <f>0.866-SUM(K81:M81)</f>
        <v>0.29500000000000004</v>
      </c>
      <c r="O81" s="17">
        <v>0.35899999999999999</v>
      </c>
      <c r="P81" s="17">
        <v>0.44400000000000001</v>
      </c>
      <c r="Q81" s="17">
        <v>0.47199999999999998</v>
      </c>
      <c r="R81" s="17">
        <f>1.786-SUM(O81:Q81)</f>
        <v>0.51100000000000012</v>
      </c>
      <c r="S81" s="17">
        <v>0.51500000000000001</v>
      </c>
      <c r="T81" s="14">
        <f t="shared" ref="S81:AP81" si="110">S81</f>
        <v>0.51500000000000001</v>
      </c>
      <c r="U81" s="14">
        <f t="shared" si="110"/>
        <v>0.51500000000000001</v>
      </c>
      <c r="V81" s="14">
        <f t="shared" si="110"/>
        <v>0.51500000000000001</v>
      </c>
      <c r="W81" s="14">
        <f t="shared" si="110"/>
        <v>0.51500000000000001</v>
      </c>
      <c r="X81" s="14">
        <f t="shared" si="110"/>
        <v>0.51500000000000001</v>
      </c>
      <c r="Y81" s="14">
        <f t="shared" si="110"/>
        <v>0.51500000000000001</v>
      </c>
      <c r="Z81" s="14">
        <f t="shared" si="110"/>
        <v>0.51500000000000001</v>
      </c>
      <c r="AA81" s="14">
        <f t="shared" si="110"/>
        <v>0.51500000000000001</v>
      </c>
      <c r="AB81" s="14">
        <f t="shared" si="110"/>
        <v>0.51500000000000001</v>
      </c>
      <c r="AC81" s="14">
        <f t="shared" si="110"/>
        <v>0.51500000000000001</v>
      </c>
      <c r="AD81" s="14">
        <f t="shared" si="110"/>
        <v>0.51500000000000001</v>
      </c>
      <c r="AE81" s="14">
        <f t="shared" si="110"/>
        <v>0.51500000000000001</v>
      </c>
      <c r="AF81" s="14">
        <f t="shared" si="110"/>
        <v>0.51500000000000001</v>
      </c>
      <c r="AG81" s="14">
        <f t="shared" si="110"/>
        <v>0.51500000000000001</v>
      </c>
      <c r="AH81" s="14">
        <f t="shared" si="110"/>
        <v>0.51500000000000001</v>
      </c>
      <c r="AI81" s="14">
        <f t="shared" si="110"/>
        <v>0.51500000000000001</v>
      </c>
      <c r="AJ81" s="14">
        <f t="shared" si="110"/>
        <v>0.51500000000000001</v>
      </c>
      <c r="AK81" s="14">
        <f t="shared" si="110"/>
        <v>0.51500000000000001</v>
      </c>
      <c r="AL81" s="14">
        <f t="shared" si="110"/>
        <v>0.51500000000000001</v>
      </c>
      <c r="AM81" s="14">
        <f t="shared" si="110"/>
        <v>0.51500000000000001</v>
      </c>
      <c r="AN81" s="14">
        <f t="shared" si="110"/>
        <v>0.51500000000000001</v>
      </c>
      <c r="AO81" s="14">
        <f t="shared" si="110"/>
        <v>0.51500000000000001</v>
      </c>
      <c r="AP81" s="14">
        <f t="shared" si="110"/>
        <v>0.51500000000000001</v>
      </c>
      <c r="AR81" s="10">
        <f>SUM(C81:F81)</f>
        <v>2.9000000000000001E-2</v>
      </c>
      <c r="AS81" s="10">
        <f>SUM(G81:J81)</f>
        <v>0.41900000000000004</v>
      </c>
      <c r="AT81" s="10">
        <f>SUM(K81:N81)</f>
        <v>0.86599999999999999</v>
      </c>
      <c r="AU81" s="10">
        <f>SUM(O81:R81)</f>
        <v>1.786</v>
      </c>
      <c r="AV81" s="10">
        <f>SUM(S81:V81)</f>
        <v>2.06</v>
      </c>
      <c r="AW81" s="10">
        <f>SUM(W81:Z81)</f>
        <v>2.06</v>
      </c>
      <c r="AX81" s="10">
        <f>SUM(AA81:AD81)</f>
        <v>2.06</v>
      </c>
      <c r="AY81" s="10">
        <f>SUM(AE81:AH81)</f>
        <v>2.06</v>
      </c>
      <c r="AZ81" s="10">
        <f>SUM(AI81:AL81)</f>
        <v>2.06</v>
      </c>
      <c r="BA81" s="10">
        <f>SUM(AM81:AP81)</f>
        <v>2.06</v>
      </c>
      <c r="BC81" s="14">
        <v>0.51100000000000012</v>
      </c>
      <c r="BD81" s="14">
        <f t="shared" si="69"/>
        <v>3.9999999999998925E-3</v>
      </c>
      <c r="BE81" s="41">
        <f t="shared" si="70"/>
        <v>7.8277886497062459E-3</v>
      </c>
    </row>
    <row r="82" spans="1:57" ht="15" customHeight="1" x14ac:dyDescent="0.25">
      <c r="B82" s="10" t="s">
        <v>12</v>
      </c>
      <c r="C82" s="17">
        <v>-5.2999999999999999E-2</v>
      </c>
      <c r="D82" s="17">
        <v>-0.06</v>
      </c>
      <c r="E82" s="17">
        <v>-6.2E-2</v>
      </c>
      <c r="F82" s="17">
        <f>-0.236-SUM(C82:E82)</f>
        <v>-6.0999999999999999E-2</v>
      </c>
      <c r="G82" s="17">
        <v>-6.8000000000000005E-2</v>
      </c>
      <c r="H82" s="17">
        <v>-6.5000000000000002E-2</v>
      </c>
      <c r="I82" s="17">
        <v>-6.5000000000000002E-2</v>
      </c>
      <c r="J82" s="17">
        <v>-0.26200000000000001</v>
      </c>
      <c r="K82" s="17">
        <v>-6.6000000000000003E-2</v>
      </c>
      <c r="L82" s="17">
        <v>-6.5000000000000002E-2</v>
      </c>
      <c r="M82" s="17">
        <v>-6.3E-2</v>
      </c>
      <c r="N82" s="17">
        <f>-0.257-SUM(K82:M82)</f>
        <v>-6.3E-2</v>
      </c>
      <c r="O82" s="17">
        <v>-6.4000000000000001E-2</v>
      </c>
      <c r="P82" s="17">
        <v>-6.0999999999999999E-2</v>
      </c>
      <c r="Q82" s="17">
        <v>-6.0999999999999999E-2</v>
      </c>
      <c r="R82" s="17">
        <f>-0.247-SUM(O82:Q82)</f>
        <v>-6.0999999999999999E-2</v>
      </c>
      <c r="S82" s="17">
        <v>-6.3E-2</v>
      </c>
      <c r="T82" s="14">
        <f t="shared" ref="S82:AP82" si="111">S82</f>
        <v>-6.3E-2</v>
      </c>
      <c r="U82" s="14">
        <f t="shared" si="111"/>
        <v>-6.3E-2</v>
      </c>
      <c r="V82" s="14">
        <f t="shared" si="111"/>
        <v>-6.3E-2</v>
      </c>
      <c r="W82" s="14">
        <f t="shared" si="111"/>
        <v>-6.3E-2</v>
      </c>
      <c r="X82" s="14">
        <f t="shared" si="111"/>
        <v>-6.3E-2</v>
      </c>
      <c r="Y82" s="14">
        <f t="shared" si="111"/>
        <v>-6.3E-2</v>
      </c>
      <c r="Z82" s="14">
        <f t="shared" si="111"/>
        <v>-6.3E-2</v>
      </c>
      <c r="AA82" s="14">
        <f t="shared" si="111"/>
        <v>-6.3E-2</v>
      </c>
      <c r="AB82" s="14">
        <f t="shared" si="111"/>
        <v>-6.3E-2</v>
      </c>
      <c r="AC82" s="14">
        <f t="shared" si="111"/>
        <v>-6.3E-2</v>
      </c>
      <c r="AD82" s="14">
        <f t="shared" si="111"/>
        <v>-6.3E-2</v>
      </c>
      <c r="AE82" s="14">
        <f t="shared" si="111"/>
        <v>-6.3E-2</v>
      </c>
      <c r="AF82" s="14">
        <f t="shared" si="111"/>
        <v>-6.3E-2</v>
      </c>
      <c r="AG82" s="14">
        <f t="shared" si="111"/>
        <v>-6.3E-2</v>
      </c>
      <c r="AH82" s="14">
        <f t="shared" si="111"/>
        <v>-6.3E-2</v>
      </c>
      <c r="AI82" s="14">
        <f t="shared" si="111"/>
        <v>-6.3E-2</v>
      </c>
      <c r="AJ82" s="14">
        <f t="shared" si="111"/>
        <v>-6.3E-2</v>
      </c>
      <c r="AK82" s="14">
        <f t="shared" si="111"/>
        <v>-6.3E-2</v>
      </c>
      <c r="AL82" s="14">
        <f t="shared" si="111"/>
        <v>-6.3E-2</v>
      </c>
      <c r="AM82" s="14">
        <f t="shared" si="111"/>
        <v>-6.3E-2</v>
      </c>
      <c r="AN82" s="14">
        <f t="shared" si="111"/>
        <v>-6.3E-2</v>
      </c>
      <c r="AO82" s="14">
        <f t="shared" si="111"/>
        <v>-6.3E-2</v>
      </c>
      <c r="AP82" s="14">
        <f t="shared" si="111"/>
        <v>-6.3E-2</v>
      </c>
      <c r="AR82" s="10">
        <f>SUM(C82:F82)</f>
        <v>-0.23599999999999999</v>
      </c>
      <c r="AS82" s="10">
        <f>SUM(G82:J82)</f>
        <v>-0.46</v>
      </c>
      <c r="AT82" s="10">
        <f>SUM(K82:N82)</f>
        <v>-0.25700000000000001</v>
      </c>
      <c r="AU82" s="10">
        <f>SUM(O82:R82)</f>
        <v>-0.247</v>
      </c>
      <c r="AV82" s="10">
        <f>SUM(S82:V82)</f>
        <v>-0.252</v>
      </c>
      <c r="AW82" s="10">
        <f>SUM(W82:Z82)</f>
        <v>-0.252</v>
      </c>
      <c r="AX82" s="10">
        <f>SUM(AA82:AD82)</f>
        <v>-0.252</v>
      </c>
      <c r="AY82" s="10">
        <f>SUM(AE82:AH82)</f>
        <v>-0.252</v>
      </c>
      <c r="AZ82" s="10">
        <f>SUM(AI82:AL82)</f>
        <v>-0.252</v>
      </c>
      <c r="BA82" s="10">
        <f>SUM(AM82:AP82)</f>
        <v>-0.252</v>
      </c>
      <c r="BC82" s="14">
        <v>-6.0999999999999999E-2</v>
      </c>
      <c r="BD82" s="14">
        <f t="shared" si="69"/>
        <v>-2.0000000000000018E-3</v>
      </c>
      <c r="BE82" s="41">
        <f t="shared" si="70"/>
        <v>3.2786885245901669E-2</v>
      </c>
    </row>
    <row r="83" spans="1:57" ht="15" customHeight="1" x14ac:dyDescent="0.25">
      <c r="B83" s="10" t="s">
        <v>13</v>
      </c>
      <c r="C83" s="17">
        <v>0.13500000000000001</v>
      </c>
      <c r="D83" s="17">
        <v>4.0000000000000001E-3</v>
      </c>
      <c r="E83" s="17">
        <v>2.1999999999999999E-2</v>
      </c>
      <c r="F83" s="17">
        <f>0.107-SUM(C83:E83)</f>
        <v>-5.4000000000000006E-2</v>
      </c>
      <c r="G83" s="17">
        <v>-1.2999999999999999E-2</v>
      </c>
      <c r="H83" s="17">
        <v>-5.0000000000000001E-3</v>
      </c>
      <c r="I83" s="17">
        <v>-1.0999999999999999E-2</v>
      </c>
      <c r="J83" s="17">
        <v>-4.8000000000000001E-2</v>
      </c>
      <c r="K83" s="17">
        <v>-1.4999999999999999E-2</v>
      </c>
      <c r="L83" s="17">
        <v>5.8999999999999997E-2</v>
      </c>
      <c r="M83" s="17">
        <v>-6.6000000000000003E-2</v>
      </c>
      <c r="N83" s="17">
        <f>0.237-SUM(K83:M83)</f>
        <v>0.25900000000000001</v>
      </c>
      <c r="O83" s="17">
        <v>7.4999999999999997E-2</v>
      </c>
      <c r="P83" s="17">
        <v>0.189</v>
      </c>
      <c r="Q83" s="17">
        <v>3.5999999999999997E-2</v>
      </c>
      <c r="R83" s="17">
        <f>1.034-SUM(O83:Q83)</f>
        <v>0.73399999999999999</v>
      </c>
      <c r="S83" s="17">
        <v>-0.18</v>
      </c>
      <c r="T83" s="14">
        <f t="shared" ref="T83:AP83" si="112">S83</f>
        <v>-0.18</v>
      </c>
      <c r="U83" s="14">
        <f t="shared" si="112"/>
        <v>-0.18</v>
      </c>
      <c r="V83" s="14">
        <f t="shared" si="112"/>
        <v>-0.18</v>
      </c>
      <c r="W83" s="14">
        <f t="shared" si="112"/>
        <v>-0.18</v>
      </c>
      <c r="X83" s="14">
        <f t="shared" si="112"/>
        <v>-0.18</v>
      </c>
      <c r="Y83" s="14">
        <f t="shared" si="112"/>
        <v>-0.18</v>
      </c>
      <c r="Z83" s="14">
        <f t="shared" si="112"/>
        <v>-0.18</v>
      </c>
      <c r="AA83" s="14">
        <f t="shared" si="112"/>
        <v>-0.18</v>
      </c>
      <c r="AB83" s="14">
        <f t="shared" si="112"/>
        <v>-0.18</v>
      </c>
      <c r="AC83" s="14">
        <f t="shared" si="112"/>
        <v>-0.18</v>
      </c>
      <c r="AD83" s="14">
        <f t="shared" si="112"/>
        <v>-0.18</v>
      </c>
      <c r="AE83" s="14">
        <f t="shared" si="112"/>
        <v>-0.18</v>
      </c>
      <c r="AF83" s="14">
        <f t="shared" si="112"/>
        <v>-0.18</v>
      </c>
      <c r="AG83" s="14">
        <f t="shared" si="112"/>
        <v>-0.18</v>
      </c>
      <c r="AH83" s="14">
        <f t="shared" si="112"/>
        <v>-0.18</v>
      </c>
      <c r="AI83" s="14">
        <f t="shared" si="112"/>
        <v>-0.18</v>
      </c>
      <c r="AJ83" s="14">
        <f t="shared" si="112"/>
        <v>-0.18</v>
      </c>
      <c r="AK83" s="14">
        <f t="shared" si="112"/>
        <v>-0.18</v>
      </c>
      <c r="AL83" s="14">
        <f t="shared" si="112"/>
        <v>-0.18</v>
      </c>
      <c r="AM83" s="14">
        <f t="shared" si="112"/>
        <v>-0.18</v>
      </c>
      <c r="AN83" s="14">
        <f t="shared" si="112"/>
        <v>-0.18</v>
      </c>
      <c r="AO83" s="14">
        <f t="shared" si="112"/>
        <v>-0.18</v>
      </c>
      <c r="AP83" s="14">
        <f t="shared" si="112"/>
        <v>-0.18</v>
      </c>
      <c r="AR83" s="10">
        <f>SUM(C83:F83)</f>
        <v>0.107</v>
      </c>
      <c r="AS83" s="10">
        <f>SUM(G83:J83)</f>
        <v>-7.6999999999999999E-2</v>
      </c>
      <c r="AT83" s="10">
        <f>SUM(K83:N83)</f>
        <v>0.23699999999999999</v>
      </c>
      <c r="AU83" s="10">
        <f>SUM(O83:R83)</f>
        <v>1.034</v>
      </c>
      <c r="AV83" s="10">
        <f>SUM(S83:V83)</f>
        <v>-0.72</v>
      </c>
      <c r="AW83" s="10">
        <f>SUM(W83:Z83)</f>
        <v>-0.72</v>
      </c>
      <c r="AX83" s="10">
        <f>SUM(AA83:AD83)</f>
        <v>-0.72</v>
      </c>
      <c r="AY83" s="10">
        <f>SUM(AE83:AH83)</f>
        <v>-0.72</v>
      </c>
      <c r="AZ83" s="10">
        <f>SUM(AI83:AL83)</f>
        <v>-0.72</v>
      </c>
      <c r="BA83" s="10">
        <f>SUM(AM83:AP83)</f>
        <v>-0.72</v>
      </c>
      <c r="BC83" s="14">
        <v>0.4</v>
      </c>
      <c r="BD83" s="14">
        <f t="shared" si="69"/>
        <v>-0.58000000000000007</v>
      </c>
      <c r="BE83" s="41">
        <f t="shared" si="70"/>
        <v>-1.4500000000000002</v>
      </c>
    </row>
    <row r="84" spans="1:57" ht="15" customHeight="1" x14ac:dyDescent="0.25">
      <c r="B84" s="8" t="s">
        <v>14</v>
      </c>
      <c r="C84" s="8">
        <f t="shared" ref="C84:AP84" si="113">C73+C81+C82+C83</f>
        <v>2.0439999999999996</v>
      </c>
      <c r="D84" s="8">
        <f t="shared" si="113"/>
        <v>2.3939999999999997</v>
      </c>
      <c r="E84" s="8">
        <f t="shared" si="113"/>
        <v>2.6380000000000003</v>
      </c>
      <c r="F84" s="8">
        <f t="shared" si="113"/>
        <v>2.8649999999999989</v>
      </c>
      <c r="G84" s="8">
        <f t="shared" si="113"/>
        <v>1.8050000000000004</v>
      </c>
      <c r="H84" s="8">
        <f t="shared" si="113"/>
        <v>0.47500000000000059</v>
      </c>
      <c r="I84" s="8">
        <f t="shared" si="113"/>
        <v>0.61299999999999988</v>
      </c>
      <c r="J84" s="8">
        <f t="shared" si="113"/>
        <v>1.2130000000000001</v>
      </c>
      <c r="K84" s="8">
        <f t="shared" si="113"/>
        <v>2.2089999999999996</v>
      </c>
      <c r="L84" s="8">
        <f t="shared" si="113"/>
        <v>6.9809999999999999</v>
      </c>
      <c r="M84" s="8">
        <f t="shared" si="113"/>
        <v>10.522</v>
      </c>
      <c r="N84" s="8">
        <f t="shared" si="113"/>
        <v>14.106000000000002</v>
      </c>
      <c r="O84" s="8">
        <f t="shared" si="113"/>
        <v>17.279</v>
      </c>
      <c r="P84" s="8">
        <f t="shared" si="113"/>
        <v>19.214000000000002</v>
      </c>
      <c r="Q84" s="8">
        <f t="shared" si="113"/>
        <v>22.316000000000003</v>
      </c>
      <c r="R84" s="8">
        <f t="shared" si="113"/>
        <v>25.216999999999985</v>
      </c>
      <c r="S84" s="8">
        <f t="shared" si="113"/>
        <v>21.91</v>
      </c>
      <c r="T84" s="8">
        <f t="shared" si="113"/>
        <v>24.252287608226379</v>
      </c>
      <c r="U84" s="8">
        <f t="shared" si="113"/>
        <v>27.582222455199986</v>
      </c>
      <c r="V84" s="8">
        <f t="shared" si="113"/>
        <v>30.357548697812625</v>
      </c>
      <c r="W84" s="8">
        <f t="shared" si="113"/>
        <v>31.863903625802912</v>
      </c>
      <c r="X84" s="8">
        <f t="shared" si="113"/>
        <v>36.605897570579415</v>
      </c>
      <c r="Y84" s="8">
        <f t="shared" si="113"/>
        <v>40.407365081477728</v>
      </c>
      <c r="Z84" s="8">
        <f t="shared" si="113"/>
        <v>43.310253800366148</v>
      </c>
      <c r="AA84" s="8">
        <f t="shared" si="113"/>
        <v>43.314549704099711</v>
      </c>
      <c r="AB84" s="8">
        <f t="shared" si="113"/>
        <v>50.475933010616195</v>
      </c>
      <c r="AC84" s="8">
        <f t="shared" si="113"/>
        <v>55.714539372878811</v>
      </c>
      <c r="AD84" s="8">
        <f t="shared" si="113"/>
        <v>59.917233054763436</v>
      </c>
      <c r="AE84" s="8">
        <f t="shared" si="113"/>
        <v>57.524070438017041</v>
      </c>
      <c r="AF84" s="8">
        <f t="shared" si="113"/>
        <v>67.378256612901907</v>
      </c>
      <c r="AG84" s="8">
        <f t="shared" si="113"/>
        <v>74.366231647686462</v>
      </c>
      <c r="AH84" s="8">
        <f t="shared" si="113"/>
        <v>80.17967300596689</v>
      </c>
      <c r="AI84" s="8">
        <f t="shared" si="113"/>
        <v>76.917344857784727</v>
      </c>
      <c r="AJ84" s="8">
        <f t="shared" si="113"/>
        <v>90.080829784377002</v>
      </c>
      <c r="AK84" s="8">
        <f t="shared" si="113"/>
        <v>99.415918640419505</v>
      </c>
      <c r="AL84" s="8">
        <f t="shared" si="113"/>
        <v>107.42801747880694</v>
      </c>
      <c r="AM84" s="8">
        <f t="shared" si="113"/>
        <v>103.53484702102008</v>
      </c>
      <c r="AN84" s="8">
        <f t="shared" si="113"/>
        <v>120.69007273371636</v>
      </c>
      <c r="AO84" s="8">
        <f t="shared" si="113"/>
        <v>133.18883137641129</v>
      </c>
      <c r="AP84" s="8">
        <f t="shared" si="113"/>
        <v>144.17731546317856</v>
      </c>
      <c r="AR84" s="8">
        <f t="shared" ref="AR84:BA84" si="114">AR73+AR81+AR82+AR83</f>
        <v>9.9410000000000007</v>
      </c>
      <c r="AS84" s="8">
        <f t="shared" si="114"/>
        <v>5.4590000000000005</v>
      </c>
      <c r="AT84" s="8">
        <f t="shared" si="114"/>
        <v>33.818000000000005</v>
      </c>
      <c r="AU84" s="8">
        <f t="shared" si="114"/>
        <v>84.025999999999982</v>
      </c>
      <c r="AV84" s="8">
        <f t="shared" si="114"/>
        <v>104.10205876123898</v>
      </c>
      <c r="AW84" s="8">
        <f t="shared" si="114"/>
        <v>152.18742007822618</v>
      </c>
      <c r="AX84" s="8">
        <f t="shared" si="114"/>
        <v>209.42225514235815</v>
      </c>
      <c r="AY84" s="8">
        <f t="shared" si="114"/>
        <v>279.44823170457227</v>
      </c>
      <c r="AZ84" s="8">
        <f t="shared" si="114"/>
        <v>373.84211076138814</v>
      </c>
      <c r="BA84" s="8">
        <f t="shared" si="114"/>
        <v>501.59106659432626</v>
      </c>
      <c r="BC84" s="8">
        <v>26.3757809524</v>
      </c>
      <c r="BD84" s="8">
        <f t="shared" si="69"/>
        <v>-4.4657809523999994</v>
      </c>
      <c r="BE84" s="41">
        <f t="shared" si="70"/>
        <v>-0.16931369579006331</v>
      </c>
    </row>
    <row r="85" spans="1:57" ht="15" customHeight="1" x14ac:dyDescent="0.25">
      <c r="B85" s="10" t="s">
        <v>98</v>
      </c>
      <c r="C85" s="17">
        <v>0.13200000000000001</v>
      </c>
      <c r="D85" s="17">
        <v>0.02</v>
      </c>
      <c r="E85" s="17">
        <v>0.17399999999999999</v>
      </c>
      <c r="F85" s="17">
        <f>0.189-SUM(C85:E85)</f>
        <v>-0.13699999999999996</v>
      </c>
      <c r="G85" s="17">
        <v>0.187</v>
      </c>
      <c r="H85" s="17">
        <v>-0.18099999999999999</v>
      </c>
      <c r="I85" s="17">
        <v>-6.7000000000000004E-2</v>
      </c>
      <c r="J85" s="17">
        <v>-0.187</v>
      </c>
      <c r="K85" s="17">
        <v>0.16600000000000001</v>
      </c>
      <c r="L85" s="17">
        <v>0.79300000000000004</v>
      </c>
      <c r="M85" s="17">
        <v>1.2789999999999999</v>
      </c>
      <c r="N85" s="17">
        <f>4.058-SUM(K85:M85)</f>
        <v>1.8199999999999998</v>
      </c>
      <c r="O85" s="17">
        <v>2.3980000000000001</v>
      </c>
      <c r="P85" s="17">
        <v>2.6150000000000002</v>
      </c>
      <c r="Q85" s="17">
        <v>3.0070000000000001</v>
      </c>
      <c r="R85" s="17">
        <f>11.146-SUM(O85:Q85)</f>
        <v>3.1260000000000012</v>
      </c>
      <c r="S85" s="17">
        <v>3.1349999999999998</v>
      </c>
      <c r="T85" s="15">
        <f t="shared" ref="S85:AP85" si="115">T84*T86</f>
        <v>4.0016274553573528</v>
      </c>
      <c r="U85" s="15">
        <f t="shared" si="115"/>
        <v>3.7236000314519981</v>
      </c>
      <c r="V85" s="15">
        <f t="shared" si="115"/>
        <v>4.0982690742047048</v>
      </c>
      <c r="W85" s="15">
        <f t="shared" si="115"/>
        <v>4.3016269894833936</v>
      </c>
      <c r="X85" s="15">
        <f t="shared" si="115"/>
        <v>4.9417961720282211</v>
      </c>
      <c r="Y85" s="15">
        <f t="shared" si="115"/>
        <v>5.4549942859994935</v>
      </c>
      <c r="Z85" s="15">
        <f t="shared" si="115"/>
        <v>5.8468842630494304</v>
      </c>
      <c r="AA85" s="15">
        <f t="shared" si="115"/>
        <v>5.8474642100534613</v>
      </c>
      <c r="AB85" s="15">
        <f t="shared" si="115"/>
        <v>6.8142509564331872</v>
      </c>
      <c r="AC85" s="15">
        <f t="shared" si="115"/>
        <v>7.5214628153386398</v>
      </c>
      <c r="AD85" s="15">
        <f t="shared" si="115"/>
        <v>8.0888264623930652</v>
      </c>
      <c r="AE85" s="15">
        <f t="shared" si="115"/>
        <v>7.7657495091323012</v>
      </c>
      <c r="AF85" s="15">
        <f t="shared" si="115"/>
        <v>9.0960646427417586</v>
      </c>
      <c r="AG85" s="15">
        <f t="shared" si="115"/>
        <v>10.039441272437672</v>
      </c>
      <c r="AH85" s="15">
        <f t="shared" si="115"/>
        <v>10.82425585580553</v>
      </c>
      <c r="AI85" s="15">
        <f t="shared" si="115"/>
        <v>10.383841555800938</v>
      </c>
      <c r="AJ85" s="15">
        <f t="shared" si="115"/>
        <v>12.160912020890896</v>
      </c>
      <c r="AK85" s="15">
        <f t="shared" si="115"/>
        <v>13.421149016456635</v>
      </c>
      <c r="AL85" s="15">
        <f t="shared" si="115"/>
        <v>14.502782359638937</v>
      </c>
      <c r="AM85" s="15">
        <f t="shared" si="115"/>
        <v>13.977204347837713</v>
      </c>
      <c r="AN85" s="15">
        <f t="shared" si="115"/>
        <v>16.293159819051709</v>
      </c>
      <c r="AO85" s="15">
        <f t="shared" si="115"/>
        <v>17.980492235815525</v>
      </c>
      <c r="AP85" s="15">
        <f t="shared" si="115"/>
        <v>19.463937587529106</v>
      </c>
      <c r="AR85" s="10">
        <f>SUM(C85:F85)</f>
        <v>0.189</v>
      </c>
      <c r="AS85" s="10">
        <f>SUM(G85:J85)</f>
        <v>-0.248</v>
      </c>
      <c r="AT85" s="10">
        <f>SUM(K85:N85)</f>
        <v>4.0579999999999998</v>
      </c>
      <c r="AU85" s="10">
        <f>SUM(O85:R85)</f>
        <v>11.146000000000001</v>
      </c>
      <c r="AV85" s="10">
        <f>SUM(S85:V85)</f>
        <v>14.958496561014055</v>
      </c>
      <c r="AW85" s="10">
        <f>SUM(W85:Z85)</f>
        <v>20.545301710560537</v>
      </c>
      <c r="AX85" s="10">
        <f>SUM(AA85:AD85)</f>
        <v>28.272004444218354</v>
      </c>
      <c r="AY85" s="10">
        <f>SUM(AE85:AH85)</f>
        <v>37.725511280117267</v>
      </c>
      <c r="AZ85" s="10">
        <f>SUM(AI85:AL85)</f>
        <v>50.468684952787406</v>
      </c>
      <c r="BA85" s="10">
        <f>SUM(AM85:AP85)</f>
        <v>67.714793990234057</v>
      </c>
      <c r="BC85" s="15">
        <v>3.5607304285740002</v>
      </c>
      <c r="BD85" s="15">
        <f t="shared" si="69"/>
        <v>-0.42573042857400045</v>
      </c>
      <c r="BE85" s="41">
        <f t="shared" si="70"/>
        <v>-0.11956266758011692</v>
      </c>
    </row>
    <row r="86" spans="1:57" x14ac:dyDescent="0.25">
      <c r="B86" s="22" t="s">
        <v>22</v>
      </c>
      <c r="C86" s="6">
        <f>C85/C84</f>
        <v>6.4579256360078288E-2</v>
      </c>
      <c r="D86" s="6">
        <f t="shared" ref="D86:S86" si="116">D85/D84</f>
        <v>8.3542188805346713E-3</v>
      </c>
      <c r="E86" s="6">
        <f t="shared" si="116"/>
        <v>6.5959059893858973E-2</v>
      </c>
      <c r="F86" s="6">
        <f t="shared" si="116"/>
        <v>-4.7818499127399654E-2</v>
      </c>
      <c r="G86" s="6">
        <f t="shared" si="116"/>
        <v>0.10360110803324098</v>
      </c>
      <c r="H86" s="6">
        <f t="shared" si="116"/>
        <v>-0.38105263157894687</v>
      </c>
      <c r="I86" s="6">
        <f t="shared" si="116"/>
        <v>-0.10929853181076675</v>
      </c>
      <c r="J86" s="6">
        <f t="shared" si="116"/>
        <v>-0.15416323165704862</v>
      </c>
      <c r="K86" s="6">
        <f t="shared" si="116"/>
        <v>7.5147125396106851E-2</v>
      </c>
      <c r="L86" s="6">
        <f t="shared" si="116"/>
        <v>0.11359404096834265</v>
      </c>
      <c r="M86" s="6">
        <f t="shared" si="116"/>
        <v>0.12155483748336816</v>
      </c>
      <c r="N86" s="6">
        <f t="shared" si="116"/>
        <v>0.12902311073302139</v>
      </c>
      <c r="O86" s="6">
        <f t="shared" si="116"/>
        <v>0.13878117946640431</v>
      </c>
      <c r="P86" s="6">
        <f t="shared" si="116"/>
        <v>0.1360986780472572</v>
      </c>
      <c r="Q86" s="6">
        <f t="shared" si="116"/>
        <v>0.13474637031726114</v>
      </c>
      <c r="R86" s="6">
        <f t="shared" si="116"/>
        <v>0.12396399254471202</v>
      </c>
      <c r="S86" s="6">
        <f t="shared" si="116"/>
        <v>0.1430853491556367</v>
      </c>
      <c r="T86" s="32">
        <v>0.16500000000000001</v>
      </c>
      <c r="U86" s="32">
        <v>0.13500000000000001</v>
      </c>
      <c r="V86" s="32">
        <v>0.13500000000000001</v>
      </c>
      <c r="W86" s="32">
        <v>0.13500000000000001</v>
      </c>
      <c r="X86" s="32">
        <v>0.13500000000000001</v>
      </c>
      <c r="Y86" s="32">
        <v>0.13500000000000001</v>
      </c>
      <c r="Z86" s="32">
        <v>0.13500000000000001</v>
      </c>
      <c r="AA86" s="32">
        <v>0.13500000000000001</v>
      </c>
      <c r="AB86" s="32">
        <v>0.13500000000000001</v>
      </c>
      <c r="AC86" s="32">
        <v>0.13500000000000001</v>
      </c>
      <c r="AD86" s="32">
        <v>0.13500000000000001</v>
      </c>
      <c r="AE86" s="32">
        <v>0.13500000000000001</v>
      </c>
      <c r="AF86" s="32">
        <v>0.13500000000000001</v>
      </c>
      <c r="AG86" s="32">
        <v>0.13500000000000001</v>
      </c>
      <c r="AH86" s="32">
        <v>0.13500000000000001</v>
      </c>
      <c r="AI86" s="32">
        <v>0.13500000000000001</v>
      </c>
      <c r="AJ86" s="32">
        <v>0.13500000000000001</v>
      </c>
      <c r="AK86" s="32">
        <v>0.13500000000000001</v>
      </c>
      <c r="AL86" s="32">
        <v>0.13500000000000001</v>
      </c>
      <c r="AM86" s="32">
        <v>0.13500000000000001</v>
      </c>
      <c r="AN86" s="32">
        <v>0.13500000000000001</v>
      </c>
      <c r="AO86" s="32">
        <v>0.13500000000000001</v>
      </c>
      <c r="AP86" s="32">
        <v>0.13500000000000001</v>
      </c>
      <c r="AR86" s="6">
        <f t="shared" ref="AR86:BA86" si="117">AR85/AR84</f>
        <v>1.9012171813700834E-2</v>
      </c>
      <c r="AS86" s="6">
        <f t="shared" si="117"/>
        <v>-4.5429565854552108E-2</v>
      </c>
      <c r="AT86" s="6">
        <f t="shared" si="117"/>
        <v>0.11999526879176768</v>
      </c>
      <c r="AU86" s="6">
        <f t="shared" si="117"/>
        <v>0.1326494180372742</v>
      </c>
      <c r="AV86" s="6">
        <f t="shared" si="117"/>
        <v>0.14369068910848143</v>
      </c>
      <c r="AW86" s="6">
        <f t="shared" si="117"/>
        <v>0.13500000000000001</v>
      </c>
      <c r="AX86" s="6">
        <f t="shared" si="117"/>
        <v>0.13500000000000001</v>
      </c>
      <c r="AY86" s="6">
        <f t="shared" si="117"/>
        <v>0.13500000000000004</v>
      </c>
      <c r="AZ86" s="6">
        <f t="shared" si="117"/>
        <v>0.13500000000000001</v>
      </c>
      <c r="BA86" s="6">
        <f t="shared" si="117"/>
        <v>0.13500000000000001</v>
      </c>
      <c r="BC86" s="32">
        <v>0.13500000000000001</v>
      </c>
      <c r="BD86" s="32">
        <f t="shared" si="69"/>
        <v>8.0853491556366897E-3</v>
      </c>
      <c r="BE86" s="41">
        <f t="shared" si="70"/>
        <v>5.989147522693844E-2</v>
      </c>
    </row>
    <row r="87" spans="1:57" x14ac:dyDescent="0.25">
      <c r="B87" s="8" t="s">
        <v>15</v>
      </c>
      <c r="C87" s="8">
        <f t="shared" ref="C87:N87" si="118">C84-C85</f>
        <v>1.9119999999999995</v>
      </c>
      <c r="D87" s="8">
        <f t="shared" si="118"/>
        <v>2.3739999999999997</v>
      </c>
      <c r="E87" s="8">
        <f t="shared" si="118"/>
        <v>2.4640000000000004</v>
      </c>
      <c r="F87" s="8">
        <f t="shared" si="118"/>
        <v>3.0019999999999989</v>
      </c>
      <c r="G87" s="8">
        <f t="shared" si="118"/>
        <v>1.6180000000000003</v>
      </c>
      <c r="H87" s="8">
        <f t="shared" si="118"/>
        <v>0.65600000000000058</v>
      </c>
      <c r="I87" s="8">
        <f t="shared" si="118"/>
        <v>0.67999999999999994</v>
      </c>
      <c r="J87" s="8">
        <f t="shared" si="118"/>
        <v>1.4000000000000001</v>
      </c>
      <c r="K87" s="8">
        <f t="shared" si="118"/>
        <v>2.0429999999999997</v>
      </c>
      <c r="L87" s="8">
        <f t="shared" si="118"/>
        <v>6.1879999999999997</v>
      </c>
      <c r="M87" s="8">
        <f t="shared" si="118"/>
        <v>9.2430000000000003</v>
      </c>
      <c r="N87" s="8">
        <f t="shared" si="118"/>
        <v>12.286000000000001</v>
      </c>
      <c r="O87" s="8">
        <f>O84-O85</f>
        <v>14.881</v>
      </c>
      <c r="P87" s="8">
        <f t="shared" ref="P87:AP87" si="119">P84-P85</f>
        <v>16.599000000000004</v>
      </c>
      <c r="Q87" s="8">
        <f t="shared" si="119"/>
        <v>19.309000000000001</v>
      </c>
      <c r="R87" s="8">
        <f t="shared" si="119"/>
        <v>22.090999999999983</v>
      </c>
      <c r="S87" s="8">
        <f t="shared" si="119"/>
        <v>18.774999999999999</v>
      </c>
      <c r="T87" s="8">
        <f t="shared" si="119"/>
        <v>20.250660152869024</v>
      </c>
      <c r="U87" s="8">
        <f t="shared" si="119"/>
        <v>23.858622423747988</v>
      </c>
      <c r="V87" s="8">
        <f t="shared" si="119"/>
        <v>26.25927962360792</v>
      </c>
      <c r="W87" s="8">
        <f t="shared" si="119"/>
        <v>27.562276636319517</v>
      </c>
      <c r="X87" s="8">
        <f t="shared" si="119"/>
        <v>31.664101398551196</v>
      </c>
      <c r="Y87" s="8">
        <f t="shared" si="119"/>
        <v>34.952370795478231</v>
      </c>
      <c r="Z87" s="8">
        <f t="shared" si="119"/>
        <v>37.463369537316716</v>
      </c>
      <c r="AA87" s="8">
        <f t="shared" si="119"/>
        <v>37.467085494046252</v>
      </c>
      <c r="AB87" s="8">
        <f t="shared" si="119"/>
        <v>43.661682054183011</v>
      </c>
      <c r="AC87" s="8">
        <f t="shared" si="119"/>
        <v>48.193076557540174</v>
      </c>
      <c r="AD87" s="8">
        <f t="shared" si="119"/>
        <v>51.828406592370371</v>
      </c>
      <c r="AE87" s="8">
        <f t="shared" si="119"/>
        <v>49.758320928884743</v>
      </c>
      <c r="AF87" s="8">
        <f t="shared" si="119"/>
        <v>58.282191970160149</v>
      </c>
      <c r="AG87" s="8">
        <f t="shared" si="119"/>
        <v>64.326790375248791</v>
      </c>
      <c r="AH87" s="8">
        <f t="shared" si="119"/>
        <v>69.355417150161358</v>
      </c>
      <c r="AI87" s="8">
        <f t="shared" si="119"/>
        <v>66.533503301983785</v>
      </c>
      <c r="AJ87" s="8">
        <f t="shared" si="119"/>
        <v>77.919917763486112</v>
      </c>
      <c r="AK87" s="8">
        <f t="shared" si="119"/>
        <v>85.994769623962867</v>
      </c>
      <c r="AL87" s="8">
        <f t="shared" si="119"/>
        <v>92.925235119167994</v>
      </c>
      <c r="AM87" s="8">
        <f t="shared" si="119"/>
        <v>89.557642673182372</v>
      </c>
      <c r="AN87" s="8">
        <f t="shared" si="119"/>
        <v>104.39691291466465</v>
      </c>
      <c r="AO87" s="8">
        <f t="shared" si="119"/>
        <v>115.20833914059577</v>
      </c>
      <c r="AP87" s="8">
        <f t="shared" si="119"/>
        <v>124.71337787564946</v>
      </c>
      <c r="AR87" s="8">
        <f t="shared" ref="AR87:BA87" si="120">AR84-AR85</f>
        <v>9.7520000000000007</v>
      </c>
      <c r="AS87" s="8">
        <f t="shared" si="120"/>
        <v>5.7070000000000007</v>
      </c>
      <c r="AT87" s="8">
        <f t="shared" si="120"/>
        <v>29.760000000000005</v>
      </c>
      <c r="AU87" s="8">
        <f t="shared" si="120"/>
        <v>72.879999999999981</v>
      </c>
      <c r="AV87" s="8">
        <f t="shared" si="120"/>
        <v>89.14356220022492</v>
      </c>
      <c r="AW87" s="8">
        <f t="shared" si="120"/>
        <v>131.64211836766566</v>
      </c>
      <c r="AX87" s="8">
        <f t="shared" si="120"/>
        <v>181.15025069813981</v>
      </c>
      <c r="AY87" s="8">
        <f t="shared" si="120"/>
        <v>241.72272042445499</v>
      </c>
      <c r="AZ87" s="8">
        <f t="shared" si="120"/>
        <v>323.37342580860076</v>
      </c>
      <c r="BA87" s="8">
        <f t="shared" si="120"/>
        <v>433.87627260409221</v>
      </c>
      <c r="BC87" s="8">
        <v>22.815050523825999</v>
      </c>
      <c r="BD87" s="8">
        <f t="shared" si="69"/>
        <v>-4.0400505238260003</v>
      </c>
      <c r="BE87" s="41">
        <f t="shared" si="70"/>
        <v>-0.17707830712918793</v>
      </c>
    </row>
    <row r="88" spans="1:57" x14ac:dyDescent="0.25">
      <c r="B88" s="22" t="s">
        <v>91</v>
      </c>
      <c r="C88" s="10">
        <f>C75</f>
        <v>-0.42899999999999999</v>
      </c>
      <c r="D88" s="10">
        <f t="shared" ref="D88:Q88" si="121">D75</f>
        <v>-0.46500000000000002</v>
      </c>
      <c r="E88" s="10">
        <f t="shared" si="121"/>
        <v>-0.55900000000000005</v>
      </c>
      <c r="F88" s="10">
        <f t="shared" si="121"/>
        <v>-0.55099999999999993</v>
      </c>
      <c r="G88" s="10">
        <f t="shared" si="121"/>
        <v>-0.57799999999999996</v>
      </c>
      <c r="H88" s="10">
        <f t="shared" si="121"/>
        <v>-0.64900000000000002</v>
      </c>
      <c r="I88" s="10">
        <f t="shared" si="121"/>
        <v>-0.745</v>
      </c>
      <c r="J88" s="10">
        <f t="shared" si="121"/>
        <v>-0.73799999999999999</v>
      </c>
      <c r="K88" s="10">
        <f t="shared" si="121"/>
        <v>-0.73499999999999999</v>
      </c>
      <c r="L88" s="10">
        <f t="shared" si="121"/>
        <v>-0.84199999999999997</v>
      </c>
      <c r="M88" s="10">
        <f t="shared" si="121"/>
        <v>-0.97899999999999998</v>
      </c>
      <c r="N88" s="10">
        <f t="shared" si="121"/>
        <v>-0.99299999999999988</v>
      </c>
      <c r="O88" s="10">
        <f t="shared" si="121"/>
        <v>-1.0109999999999999</v>
      </c>
      <c r="P88" s="10">
        <f t="shared" si="121"/>
        <v>-1.1539999999999999</v>
      </c>
      <c r="Q88" s="10">
        <f t="shared" si="121"/>
        <v>-1.252</v>
      </c>
      <c r="R88" s="10">
        <f t="shared" ref="R88:AP88" si="122">R75</f>
        <v>-1.3200000000000003</v>
      </c>
      <c r="S88" s="10">
        <f t="shared" si="122"/>
        <v>-1.2</v>
      </c>
      <c r="T88" s="10">
        <f t="shared" si="122"/>
        <v>-1.2</v>
      </c>
      <c r="U88" s="10">
        <f t="shared" si="122"/>
        <v>-1.2</v>
      </c>
      <c r="V88" s="10">
        <f t="shared" si="122"/>
        <v>-1.2</v>
      </c>
      <c r="W88" s="10">
        <f t="shared" si="122"/>
        <v>-1.2</v>
      </c>
      <c r="X88" s="10">
        <f t="shared" si="122"/>
        <v>-1.2</v>
      </c>
      <c r="Y88" s="10">
        <f t="shared" si="122"/>
        <v>-1.2</v>
      </c>
      <c r="Z88" s="10">
        <f t="shared" si="122"/>
        <v>-1.2</v>
      </c>
      <c r="AA88" s="10">
        <f t="shared" si="122"/>
        <v>-1.2</v>
      </c>
      <c r="AB88" s="10">
        <f t="shared" si="122"/>
        <v>-1.2</v>
      </c>
      <c r="AC88" s="10">
        <f t="shared" si="122"/>
        <v>-1.2</v>
      </c>
      <c r="AD88" s="10">
        <f t="shared" si="122"/>
        <v>-1.2</v>
      </c>
      <c r="AE88" s="10">
        <f t="shared" si="122"/>
        <v>-1.2</v>
      </c>
      <c r="AF88" s="10">
        <f t="shared" si="122"/>
        <v>-1.2</v>
      </c>
      <c r="AG88" s="10">
        <f t="shared" si="122"/>
        <v>-1.2</v>
      </c>
      <c r="AH88" s="10">
        <f t="shared" si="122"/>
        <v>-1.2</v>
      </c>
      <c r="AI88" s="10">
        <f t="shared" si="122"/>
        <v>-1.2</v>
      </c>
      <c r="AJ88" s="10">
        <f t="shared" si="122"/>
        <v>-1.2</v>
      </c>
      <c r="AK88" s="10">
        <f t="shared" si="122"/>
        <v>-1.2</v>
      </c>
      <c r="AL88" s="10">
        <f t="shared" si="122"/>
        <v>-1.2</v>
      </c>
      <c r="AM88" s="10">
        <f t="shared" si="122"/>
        <v>-1.2</v>
      </c>
      <c r="AN88" s="10">
        <f t="shared" si="122"/>
        <v>-1.2</v>
      </c>
      <c r="AO88" s="10">
        <f t="shared" si="122"/>
        <v>-1.2</v>
      </c>
      <c r="AP88" s="10">
        <f t="shared" si="122"/>
        <v>-1.2</v>
      </c>
      <c r="AR88" s="10">
        <f>SUM(C88:F88)</f>
        <v>-2.004</v>
      </c>
      <c r="AS88" s="10">
        <f>SUM(G88:J88)</f>
        <v>-2.71</v>
      </c>
      <c r="AT88" s="10">
        <f>SUM(K88:N88)</f>
        <v>-3.5489999999999999</v>
      </c>
      <c r="AU88" s="10">
        <f>SUM(O88:R88)</f>
        <v>-4.7370000000000001</v>
      </c>
      <c r="AV88" s="10">
        <f>SUM(S88:V88)</f>
        <v>-4.8</v>
      </c>
      <c r="AW88" s="10">
        <f>SUM(W88:Z88)</f>
        <v>-4.8</v>
      </c>
      <c r="AX88" s="10">
        <f>SUM(AA88:AD88)</f>
        <v>-4.8</v>
      </c>
      <c r="AY88" s="10">
        <f>SUM(AE88:AH88)</f>
        <v>-4.8</v>
      </c>
      <c r="AZ88" s="10">
        <f>SUM(AI88:AL88)</f>
        <v>-4.8</v>
      </c>
      <c r="BA88" s="10">
        <f>SUM(AM88:AP88)</f>
        <v>-4.8</v>
      </c>
      <c r="BC88" s="10">
        <v>-1.2</v>
      </c>
      <c r="BD88" s="10">
        <f t="shared" si="69"/>
        <v>0</v>
      </c>
      <c r="BE88" s="41">
        <f t="shared" si="70"/>
        <v>0</v>
      </c>
    </row>
    <row r="89" spans="1:57" x14ac:dyDescent="0.25">
      <c r="B89" s="22" t="s">
        <v>90</v>
      </c>
      <c r="C89" s="10">
        <f t="shared" ref="C89:Q89" si="123">C76</f>
        <v>-0.16700000000000001</v>
      </c>
      <c r="D89" s="10">
        <f t="shared" si="123"/>
        <v>-0.158</v>
      </c>
      <c r="E89" s="10">
        <f t="shared" si="123"/>
        <v>-0.156</v>
      </c>
      <c r="F89" s="10">
        <f t="shared" si="123"/>
        <v>-0.15500000000000003</v>
      </c>
      <c r="G89" s="10">
        <f t="shared" si="123"/>
        <v>-0.14899999999999999</v>
      </c>
      <c r="H89" s="10">
        <f t="shared" si="123"/>
        <v>-0.17499999999999999</v>
      </c>
      <c r="I89" s="10">
        <f t="shared" si="123"/>
        <v>-0.17399999999999999</v>
      </c>
      <c r="J89" s="10">
        <f t="shared" si="123"/>
        <v>-0.1760000000000001</v>
      </c>
      <c r="K89" s="10">
        <f t="shared" si="123"/>
        <v>-0.17299999999999999</v>
      </c>
      <c r="L89" s="10">
        <f t="shared" si="123"/>
        <v>-0.13700000000000001</v>
      </c>
      <c r="M89" s="10">
        <f t="shared" si="123"/>
        <v>-0.13500000000000001</v>
      </c>
      <c r="N89" s="10">
        <f t="shared" si="123"/>
        <v>-0.13799999999999996</v>
      </c>
      <c r="O89" s="10">
        <f t="shared" si="123"/>
        <v>-0.14000000000000001</v>
      </c>
      <c r="P89" s="10">
        <f t="shared" si="123"/>
        <v>-0.14399999999999999</v>
      </c>
      <c r="Q89" s="10">
        <f t="shared" si="123"/>
        <v>-0.155</v>
      </c>
      <c r="R89" s="10">
        <f t="shared" ref="R89:AP89" si="124">R76</f>
        <v>-0.16299999999999992</v>
      </c>
      <c r="S89" s="10">
        <f t="shared" si="124"/>
        <v>-0.15</v>
      </c>
      <c r="T89" s="10">
        <f t="shared" si="124"/>
        <v>-0.15</v>
      </c>
      <c r="U89" s="10">
        <f t="shared" si="124"/>
        <v>-0.15</v>
      </c>
      <c r="V89" s="10">
        <f t="shared" si="124"/>
        <v>-0.15</v>
      </c>
      <c r="W89" s="10">
        <f t="shared" si="124"/>
        <v>-0.15</v>
      </c>
      <c r="X89" s="10">
        <f t="shared" si="124"/>
        <v>-0.15</v>
      </c>
      <c r="Y89" s="10">
        <f t="shared" si="124"/>
        <v>-0.15</v>
      </c>
      <c r="Z89" s="10">
        <f t="shared" si="124"/>
        <v>-0.15</v>
      </c>
      <c r="AA89" s="10">
        <f t="shared" si="124"/>
        <v>-0.15</v>
      </c>
      <c r="AB89" s="10">
        <f t="shared" si="124"/>
        <v>-0.15</v>
      </c>
      <c r="AC89" s="10">
        <f t="shared" si="124"/>
        <v>-0.15</v>
      </c>
      <c r="AD89" s="10">
        <f t="shared" si="124"/>
        <v>-0.15</v>
      </c>
      <c r="AE89" s="10">
        <f t="shared" si="124"/>
        <v>-0.15</v>
      </c>
      <c r="AF89" s="10">
        <f t="shared" si="124"/>
        <v>-0.15</v>
      </c>
      <c r="AG89" s="10">
        <f t="shared" si="124"/>
        <v>-0.15</v>
      </c>
      <c r="AH89" s="10">
        <f t="shared" si="124"/>
        <v>-0.15</v>
      </c>
      <c r="AI89" s="10">
        <f t="shared" si="124"/>
        <v>-0.15</v>
      </c>
      <c r="AJ89" s="10">
        <f t="shared" si="124"/>
        <v>-0.15</v>
      </c>
      <c r="AK89" s="10">
        <f t="shared" si="124"/>
        <v>-0.15</v>
      </c>
      <c r="AL89" s="10">
        <f t="shared" si="124"/>
        <v>-0.15</v>
      </c>
      <c r="AM89" s="10">
        <f t="shared" si="124"/>
        <v>-0.15</v>
      </c>
      <c r="AN89" s="10">
        <f t="shared" si="124"/>
        <v>-0.15</v>
      </c>
      <c r="AO89" s="10">
        <f t="shared" si="124"/>
        <v>-0.15</v>
      </c>
      <c r="AP89" s="10">
        <f t="shared" si="124"/>
        <v>-0.15</v>
      </c>
      <c r="AR89" s="10">
        <f>SUM(C89:F89)</f>
        <v>-0.63600000000000001</v>
      </c>
      <c r="AS89" s="10">
        <f>SUM(G89:J89)</f>
        <v>-0.67400000000000004</v>
      </c>
      <c r="AT89" s="10">
        <f>SUM(K89:N89)</f>
        <v>-0.58299999999999996</v>
      </c>
      <c r="AU89" s="10">
        <f>SUM(O89:R89)</f>
        <v>-0.60199999999999998</v>
      </c>
      <c r="AV89" s="10">
        <f>SUM(S89:V89)</f>
        <v>-0.6</v>
      </c>
      <c r="AW89" s="10">
        <f>SUM(W89:Z89)</f>
        <v>-0.6</v>
      </c>
      <c r="AX89" s="10">
        <f>SUM(AA89:AD89)</f>
        <v>-0.6</v>
      </c>
      <c r="AY89" s="10">
        <f>SUM(AE89:AH89)</f>
        <v>-0.6</v>
      </c>
      <c r="AZ89" s="10">
        <f>SUM(AI89:AL89)</f>
        <v>-0.6</v>
      </c>
      <c r="BA89" s="10">
        <f>SUM(AM89:AP89)</f>
        <v>-0.6</v>
      </c>
      <c r="BC89" s="10">
        <v>-0.15</v>
      </c>
      <c r="BD89" s="10">
        <f t="shared" si="69"/>
        <v>0</v>
      </c>
      <c r="BE89" s="41">
        <f t="shared" si="70"/>
        <v>0</v>
      </c>
    </row>
    <row r="90" spans="1:57" x14ac:dyDescent="0.25">
      <c r="B90" s="22" t="s">
        <v>53</v>
      </c>
      <c r="C90" s="17">
        <f>0.128</f>
        <v>0.128</v>
      </c>
      <c r="D90" s="17">
        <f>0.252-0.001</f>
        <v>0.251</v>
      </c>
      <c r="E90" s="17">
        <v>1.9E-2</v>
      </c>
      <c r="F90" s="17">
        <f>-0.053-0.007</f>
        <v>-0.06</v>
      </c>
      <c r="G90" s="17">
        <f>-0.025-1.353</f>
        <v>-1.3779999999999999</v>
      </c>
      <c r="H90" s="17">
        <v>-8.9999999999999993E-3</v>
      </c>
      <c r="I90" s="17">
        <v>-2.8000000000000001E-2</v>
      </c>
      <c r="J90" s="17">
        <f t="shared" ref="J90:Q90" si="125">J78</f>
        <v>-3.7999999999999999E-2</v>
      </c>
      <c r="K90" s="17">
        <f t="shared" si="125"/>
        <v>4.0000000000000001E-3</v>
      </c>
      <c r="L90" s="17">
        <f t="shared" si="125"/>
        <v>5.0000000000000001E-3</v>
      </c>
      <c r="M90" s="17">
        <f t="shared" si="125"/>
        <v>0</v>
      </c>
      <c r="N90" s="17">
        <f t="shared" si="125"/>
        <v>9.9999999999999915E-4</v>
      </c>
      <c r="O90" s="17">
        <f t="shared" si="125"/>
        <v>1E-3</v>
      </c>
      <c r="P90" s="17">
        <f t="shared" si="125"/>
        <v>3.0000000000000001E-3</v>
      </c>
      <c r="Q90" s="17">
        <f t="shared" si="125"/>
        <v>0</v>
      </c>
      <c r="R90" s="17">
        <v>0.72699999999998699</v>
      </c>
      <c r="S90" s="10">
        <f t="shared" ref="S90:AP90" si="126">S78</f>
        <v>-1E-3</v>
      </c>
      <c r="T90" s="10">
        <f t="shared" si="126"/>
        <v>-1E-3</v>
      </c>
      <c r="U90" s="10">
        <f t="shared" si="126"/>
        <v>-1E-3</v>
      </c>
      <c r="V90" s="10">
        <f t="shared" si="126"/>
        <v>-1E-3</v>
      </c>
      <c r="W90" s="10">
        <f t="shared" si="126"/>
        <v>-1E-3</v>
      </c>
      <c r="X90" s="10">
        <f t="shared" si="126"/>
        <v>-1E-3</v>
      </c>
      <c r="Y90" s="10">
        <f t="shared" si="126"/>
        <v>-1E-3</v>
      </c>
      <c r="Z90" s="10">
        <f t="shared" si="126"/>
        <v>-1E-3</v>
      </c>
      <c r="AA90" s="10">
        <f t="shared" si="126"/>
        <v>-1E-3</v>
      </c>
      <c r="AB90" s="10">
        <f t="shared" si="126"/>
        <v>-1E-3</v>
      </c>
      <c r="AC90" s="10">
        <f t="shared" si="126"/>
        <v>-1E-3</v>
      </c>
      <c r="AD90" s="10">
        <f t="shared" si="126"/>
        <v>-1E-3</v>
      </c>
      <c r="AE90" s="10">
        <f t="shared" si="126"/>
        <v>-1E-3</v>
      </c>
      <c r="AF90" s="10">
        <f t="shared" si="126"/>
        <v>-1E-3</v>
      </c>
      <c r="AG90" s="10">
        <f t="shared" si="126"/>
        <v>-1E-3</v>
      </c>
      <c r="AH90" s="10">
        <f t="shared" si="126"/>
        <v>-1E-3</v>
      </c>
      <c r="AI90" s="10">
        <f t="shared" si="126"/>
        <v>-1E-3</v>
      </c>
      <c r="AJ90" s="10">
        <f t="shared" si="126"/>
        <v>-1E-3</v>
      </c>
      <c r="AK90" s="10">
        <f t="shared" si="126"/>
        <v>-1E-3</v>
      </c>
      <c r="AL90" s="10">
        <f t="shared" si="126"/>
        <v>-1E-3</v>
      </c>
      <c r="AM90" s="10">
        <f t="shared" si="126"/>
        <v>-1E-3</v>
      </c>
      <c r="AN90" s="10">
        <f t="shared" si="126"/>
        <v>-1E-3</v>
      </c>
      <c r="AO90" s="10">
        <f t="shared" si="126"/>
        <v>-1E-3</v>
      </c>
      <c r="AP90" s="10">
        <f t="shared" si="126"/>
        <v>-1E-3</v>
      </c>
      <c r="AR90" s="10">
        <f>SUM(C90:F90)</f>
        <v>0.33800000000000002</v>
      </c>
      <c r="AS90" s="10">
        <f>SUM(G90:J90)</f>
        <v>-1.4529999999999998</v>
      </c>
      <c r="AT90" s="10">
        <f>SUM(K90:N90)</f>
        <v>0.01</v>
      </c>
      <c r="AU90" s="10">
        <f>SUM(O90:R90)</f>
        <v>0.73099999999998699</v>
      </c>
      <c r="AV90" s="10">
        <f>SUM(S90:V90)</f>
        <v>-4.0000000000000001E-3</v>
      </c>
      <c r="AW90" s="10">
        <f>SUM(W90:Z90)</f>
        <v>-4.0000000000000001E-3</v>
      </c>
      <c r="AX90" s="10">
        <f>SUM(AA90:AD90)</f>
        <v>-4.0000000000000001E-3</v>
      </c>
      <c r="AY90" s="10">
        <f>SUM(AE90:AH90)</f>
        <v>-4.0000000000000001E-3</v>
      </c>
      <c r="AZ90" s="10">
        <f>SUM(AI90:AL90)</f>
        <v>-4.0000000000000001E-3</v>
      </c>
      <c r="BA90" s="10">
        <f>SUM(AM90:AP90)</f>
        <v>-4.0000000000000001E-3</v>
      </c>
      <c r="BC90" s="10">
        <v>-1E-3</v>
      </c>
      <c r="BD90" s="10">
        <f t="shared" si="69"/>
        <v>0</v>
      </c>
      <c r="BE90" s="41">
        <f t="shared" si="70"/>
        <v>0</v>
      </c>
    </row>
    <row r="91" spans="1:57" x14ac:dyDescent="0.25">
      <c r="B91" s="22" t="s">
        <v>92</v>
      </c>
      <c r="C91" s="17">
        <v>6.7000000000000004E-2</v>
      </c>
      <c r="D91" s="17">
        <v>0.127</v>
      </c>
      <c r="E91" s="17">
        <v>0.187</v>
      </c>
      <c r="F91" s="17">
        <v>0.33</v>
      </c>
      <c r="G91" s="17">
        <v>0.28000000000000003</v>
      </c>
      <c r="H91" s="17">
        <v>0.19700000000000001</v>
      </c>
      <c r="I91" s="17">
        <v>0.17100000000000001</v>
      </c>
      <c r="J91" s="17">
        <v>0.218</v>
      </c>
      <c r="K91" s="17">
        <v>0.25700000000000001</v>
      </c>
      <c r="L91" s="17">
        <v>0.36299999999999999</v>
      </c>
      <c r="M91" s="17">
        <v>0.433</v>
      </c>
      <c r="N91" s="17">
        <v>0.32100000000000001</v>
      </c>
      <c r="O91" s="17">
        <v>0.72499999999999998</v>
      </c>
      <c r="P91" s="17">
        <v>0.75</v>
      </c>
      <c r="Q91" s="17">
        <v>0.67</v>
      </c>
      <c r="R91" s="17">
        <v>0.78100000000000003</v>
      </c>
      <c r="S91" s="14">
        <f>R91</f>
        <v>0.78100000000000003</v>
      </c>
      <c r="T91" s="14">
        <f>S91</f>
        <v>0.78100000000000003</v>
      </c>
      <c r="U91" s="14">
        <f t="shared" ref="U91:AP91" si="127">T91</f>
        <v>0.78100000000000003</v>
      </c>
      <c r="V91" s="14">
        <f t="shared" si="127"/>
        <v>0.78100000000000003</v>
      </c>
      <c r="W91" s="14">
        <f t="shared" si="127"/>
        <v>0.78100000000000003</v>
      </c>
      <c r="X91" s="14">
        <f t="shared" si="127"/>
        <v>0.78100000000000003</v>
      </c>
      <c r="Y91" s="14">
        <f t="shared" si="127"/>
        <v>0.78100000000000003</v>
      </c>
      <c r="Z91" s="14">
        <f t="shared" si="127"/>
        <v>0.78100000000000003</v>
      </c>
      <c r="AA91" s="14">
        <f t="shared" si="127"/>
        <v>0.78100000000000003</v>
      </c>
      <c r="AB91" s="14">
        <f t="shared" si="127"/>
        <v>0.78100000000000003</v>
      </c>
      <c r="AC91" s="14">
        <f t="shared" si="127"/>
        <v>0.78100000000000003</v>
      </c>
      <c r="AD91" s="14">
        <f t="shared" si="127"/>
        <v>0.78100000000000003</v>
      </c>
      <c r="AE91" s="14">
        <f t="shared" si="127"/>
        <v>0.78100000000000003</v>
      </c>
      <c r="AF91" s="14">
        <f t="shared" si="127"/>
        <v>0.78100000000000003</v>
      </c>
      <c r="AG91" s="14">
        <f t="shared" si="127"/>
        <v>0.78100000000000003</v>
      </c>
      <c r="AH91" s="14">
        <f t="shared" si="127"/>
        <v>0.78100000000000003</v>
      </c>
      <c r="AI91" s="14">
        <f t="shared" si="127"/>
        <v>0.78100000000000003</v>
      </c>
      <c r="AJ91" s="14">
        <f t="shared" si="127"/>
        <v>0.78100000000000003</v>
      </c>
      <c r="AK91" s="14">
        <f t="shared" si="127"/>
        <v>0.78100000000000003</v>
      </c>
      <c r="AL91" s="14">
        <f t="shared" si="127"/>
        <v>0.78100000000000003</v>
      </c>
      <c r="AM91" s="14">
        <f t="shared" si="127"/>
        <v>0.78100000000000003</v>
      </c>
      <c r="AN91" s="14">
        <f t="shared" si="127"/>
        <v>0.78100000000000003</v>
      </c>
      <c r="AO91" s="14">
        <f t="shared" si="127"/>
        <v>0.78100000000000003</v>
      </c>
      <c r="AP91" s="14">
        <f t="shared" si="127"/>
        <v>0.78100000000000003</v>
      </c>
      <c r="AR91" s="10">
        <f>SUM(C91:F91)</f>
        <v>0.71100000000000008</v>
      </c>
      <c r="AS91" s="10">
        <f>SUM(G91:J91)</f>
        <v>0.86599999999999999</v>
      </c>
      <c r="AT91" s="10">
        <f>SUM(K91:N91)</f>
        <v>1.3739999999999999</v>
      </c>
      <c r="AU91" s="10">
        <f>SUM(O91:R91)</f>
        <v>2.9260000000000002</v>
      </c>
      <c r="AV91" s="10">
        <f>SUM(S91:V91)</f>
        <v>3.1240000000000001</v>
      </c>
      <c r="AW91" s="10">
        <f>SUM(W91:Z91)</f>
        <v>3.1240000000000001</v>
      </c>
      <c r="AX91" s="10">
        <f>SUM(AA91:AD91)</f>
        <v>3.1240000000000001</v>
      </c>
      <c r="AY91" s="10">
        <f>SUM(AE91:AH91)</f>
        <v>3.1240000000000001</v>
      </c>
      <c r="AZ91" s="10">
        <f>SUM(AI91:AL91)</f>
        <v>3.1240000000000001</v>
      </c>
      <c r="BA91" s="10">
        <f>SUM(AM91:AP91)</f>
        <v>3.1240000000000001</v>
      </c>
      <c r="BC91" s="14">
        <v>0.78100000000000003</v>
      </c>
      <c r="BD91" s="14">
        <f t="shared" si="69"/>
        <v>0</v>
      </c>
      <c r="BE91" s="41">
        <f t="shared" si="70"/>
        <v>0</v>
      </c>
    </row>
    <row r="92" spans="1:57" x14ac:dyDescent="0.25">
      <c r="B92" s="8" t="s">
        <v>93</v>
      </c>
      <c r="C92" s="8">
        <f t="shared" ref="C92:R92" si="128">C87-SUM(C88:C91)</f>
        <v>2.3129999999999993</v>
      </c>
      <c r="D92" s="8">
        <f t="shared" si="128"/>
        <v>2.6189999999999998</v>
      </c>
      <c r="E92" s="8">
        <f t="shared" si="128"/>
        <v>2.9730000000000008</v>
      </c>
      <c r="F92" s="8">
        <f t="shared" si="128"/>
        <v>3.4379999999999988</v>
      </c>
      <c r="G92" s="8">
        <f t="shared" si="128"/>
        <v>3.4430000000000005</v>
      </c>
      <c r="H92" s="8">
        <f t="shared" si="128"/>
        <v>1.2920000000000007</v>
      </c>
      <c r="I92" s="8">
        <f t="shared" si="128"/>
        <v>1.456</v>
      </c>
      <c r="J92" s="8">
        <f t="shared" si="128"/>
        <v>2.1340000000000003</v>
      </c>
      <c r="K92" s="8">
        <f t="shared" si="128"/>
        <v>2.6899999999999995</v>
      </c>
      <c r="L92" s="8">
        <f t="shared" si="128"/>
        <v>6.7989999999999995</v>
      </c>
      <c r="M92" s="8">
        <f t="shared" si="128"/>
        <v>9.9239999999999995</v>
      </c>
      <c r="N92" s="8">
        <f t="shared" si="128"/>
        <v>13.095000000000001</v>
      </c>
      <c r="O92" s="8">
        <f t="shared" si="128"/>
        <v>15.306000000000001</v>
      </c>
      <c r="P92" s="8">
        <f t="shared" si="128"/>
        <v>17.144000000000005</v>
      </c>
      <c r="Q92" s="8">
        <f t="shared" si="128"/>
        <v>20.045999999999999</v>
      </c>
      <c r="R92" s="8">
        <f t="shared" si="128"/>
        <v>22.065999999999995</v>
      </c>
      <c r="S92" s="8">
        <f t="shared" ref="S92:AP92" si="129">S87-SUM(S88:S91)</f>
        <v>19.344999999999999</v>
      </c>
      <c r="T92" s="8">
        <f t="shared" si="129"/>
        <v>20.820660152869024</v>
      </c>
      <c r="U92" s="8">
        <f t="shared" si="129"/>
        <v>24.428622423747989</v>
      </c>
      <c r="V92" s="8">
        <f t="shared" si="129"/>
        <v>26.829279623607921</v>
      </c>
      <c r="W92" s="8">
        <f t="shared" si="129"/>
        <v>28.132276636319517</v>
      </c>
      <c r="X92" s="8">
        <f t="shared" si="129"/>
        <v>32.234101398551196</v>
      </c>
      <c r="Y92" s="8">
        <f t="shared" si="129"/>
        <v>35.522370795478231</v>
      </c>
      <c r="Z92" s="8">
        <f t="shared" si="129"/>
        <v>38.033369537316716</v>
      </c>
      <c r="AA92" s="8">
        <f t="shared" si="129"/>
        <v>38.037085494046252</v>
      </c>
      <c r="AB92" s="8">
        <f t="shared" si="129"/>
        <v>44.231682054183011</v>
      </c>
      <c r="AC92" s="8">
        <f t="shared" si="129"/>
        <v>48.763076557540174</v>
      </c>
      <c r="AD92" s="8">
        <f t="shared" si="129"/>
        <v>52.398406592370371</v>
      </c>
      <c r="AE92" s="8">
        <f t="shared" si="129"/>
        <v>50.328320928884743</v>
      </c>
      <c r="AF92" s="8">
        <f t="shared" si="129"/>
        <v>58.852191970160149</v>
      </c>
      <c r="AG92" s="8">
        <f t="shared" si="129"/>
        <v>64.896790375248784</v>
      </c>
      <c r="AH92" s="8">
        <f t="shared" si="129"/>
        <v>69.925417150161351</v>
      </c>
      <c r="AI92" s="8">
        <f t="shared" si="129"/>
        <v>67.103503301983778</v>
      </c>
      <c r="AJ92" s="8">
        <f t="shared" si="129"/>
        <v>78.489917763486105</v>
      </c>
      <c r="AK92" s="8">
        <f t="shared" si="129"/>
        <v>86.56476962396286</v>
      </c>
      <c r="AL92" s="8">
        <f t="shared" si="129"/>
        <v>93.495235119167987</v>
      </c>
      <c r="AM92" s="8">
        <f t="shared" si="129"/>
        <v>90.127642673182365</v>
      </c>
      <c r="AN92" s="8">
        <f t="shared" si="129"/>
        <v>104.96691291466465</v>
      </c>
      <c r="AO92" s="8">
        <f t="shared" si="129"/>
        <v>115.77833914059576</v>
      </c>
      <c r="AP92" s="8">
        <f t="shared" si="129"/>
        <v>125.28337787564945</v>
      </c>
      <c r="AR92" s="8">
        <f t="shared" ref="AR92:BA92" si="130">AR87-SUM(AR88:AR91)</f>
        <v>11.343</v>
      </c>
      <c r="AS92" s="8">
        <f t="shared" si="130"/>
        <v>9.6780000000000008</v>
      </c>
      <c r="AT92" s="8">
        <f t="shared" si="130"/>
        <v>32.508000000000003</v>
      </c>
      <c r="AU92" s="8">
        <f t="shared" si="130"/>
        <v>74.561999999999998</v>
      </c>
      <c r="AV92" s="8">
        <f t="shared" si="130"/>
        <v>91.423562200224922</v>
      </c>
      <c r="AW92" s="8">
        <f t="shared" si="130"/>
        <v>133.92211836766566</v>
      </c>
      <c r="AX92" s="8">
        <f t="shared" si="130"/>
        <v>183.43025069813982</v>
      </c>
      <c r="AY92" s="8">
        <f t="shared" si="130"/>
        <v>244.00272042445499</v>
      </c>
      <c r="AZ92" s="8">
        <f t="shared" si="130"/>
        <v>325.65342580860073</v>
      </c>
      <c r="BA92" s="8">
        <f t="shared" si="130"/>
        <v>436.15627260409218</v>
      </c>
      <c r="BC92" s="8">
        <v>23.385050523825999</v>
      </c>
      <c r="BD92" s="8">
        <f t="shared" si="69"/>
        <v>-4.0400505238260003</v>
      </c>
      <c r="BE92" s="41">
        <f t="shared" si="70"/>
        <v>-0.17276210370851114</v>
      </c>
    </row>
    <row r="93" spans="1:57" x14ac:dyDescent="0.25">
      <c r="B93" s="20" t="s">
        <v>7</v>
      </c>
      <c r="C93" s="29">
        <f t="shared" ref="C93:AP93" si="131">C92/C$14</f>
        <v>0.40858505564387909</v>
      </c>
      <c r="D93" s="29">
        <f t="shared" si="131"/>
        <v>0.40248962655601656</v>
      </c>
      <c r="E93" s="29">
        <f t="shared" si="131"/>
        <v>0.41855553991271305</v>
      </c>
      <c r="F93" s="29">
        <f t="shared" si="131"/>
        <v>0.44982336778751791</v>
      </c>
      <c r="G93" s="29">
        <f t="shared" si="131"/>
        <v>0.41541988416988423</v>
      </c>
      <c r="H93" s="29">
        <f t="shared" si="131"/>
        <v>0.19272076372315045</v>
      </c>
      <c r="I93" s="29">
        <f t="shared" si="131"/>
        <v>0.2454897993592986</v>
      </c>
      <c r="J93" s="29">
        <f t="shared" si="131"/>
        <v>0.35266898033382915</v>
      </c>
      <c r="K93" s="29">
        <f t="shared" si="131"/>
        <v>0.37402669632925467</v>
      </c>
      <c r="L93" s="29">
        <f t="shared" si="131"/>
        <v>0.50336862367661206</v>
      </c>
      <c r="M93" s="29">
        <f t="shared" si="131"/>
        <v>0.54768211920529797</v>
      </c>
      <c r="N93" s="29">
        <f t="shared" si="131"/>
        <v>0.5924535130977695</v>
      </c>
      <c r="O93" s="29">
        <f t="shared" si="131"/>
        <v>0.58769774228229155</v>
      </c>
      <c r="P93" s="29">
        <f t="shared" si="131"/>
        <v>0.57070572569906808</v>
      </c>
      <c r="Q93" s="29">
        <f t="shared" si="131"/>
        <v>0.57140413887463659</v>
      </c>
      <c r="R93" s="29">
        <f t="shared" si="131"/>
        <v>0.56103328163535127</v>
      </c>
      <c r="S93" s="29">
        <f t="shared" si="131"/>
        <v>0.43904044301211931</v>
      </c>
      <c r="T93" s="29">
        <f t="shared" si="131"/>
        <v>0.41299689276046592</v>
      </c>
      <c r="U93" s="29">
        <f t="shared" si="131"/>
        <v>0.42548123934273963</v>
      </c>
      <c r="V93" s="29">
        <f t="shared" si="131"/>
        <v>0.42418738777203829</v>
      </c>
      <c r="W93" s="29">
        <f t="shared" si="131"/>
        <v>0.42358030603300167</v>
      </c>
      <c r="X93" s="29">
        <f t="shared" si="131"/>
        <v>0.42199786767705294</v>
      </c>
      <c r="Y93" s="29">
        <f t="shared" si="131"/>
        <v>0.42099932721613353</v>
      </c>
      <c r="Z93" s="29">
        <f t="shared" si="131"/>
        <v>0.42035559963556463</v>
      </c>
      <c r="AA93" s="29">
        <f t="shared" si="131"/>
        <v>0.42035471134408148</v>
      </c>
      <c r="AB93" s="29">
        <f t="shared" si="131"/>
        <v>0.41908526374697758</v>
      </c>
      <c r="AC93" s="29">
        <f t="shared" si="131"/>
        <v>0.41836434137916573</v>
      </c>
      <c r="AD93" s="29">
        <f t="shared" si="131"/>
        <v>0.41787752803638822</v>
      </c>
      <c r="AE93" s="29">
        <f t="shared" si="131"/>
        <v>0.41814597522666125</v>
      </c>
      <c r="AF93" s="29">
        <f t="shared" si="131"/>
        <v>0.41716350331651214</v>
      </c>
      <c r="AG93" s="29">
        <f t="shared" si="131"/>
        <v>0.41662516223572621</v>
      </c>
      <c r="AH93" s="29">
        <f t="shared" si="131"/>
        <v>0.41624905299590365</v>
      </c>
      <c r="AI93" s="29">
        <f t="shared" si="131"/>
        <v>0.41645308907363565</v>
      </c>
      <c r="AJ93" s="29">
        <f t="shared" si="131"/>
        <v>0.41572056879882219</v>
      </c>
      <c r="AK93" s="29">
        <f t="shared" si="131"/>
        <v>0.4153189750651039</v>
      </c>
      <c r="AL93" s="29">
        <f t="shared" si="131"/>
        <v>0.41503009521981715</v>
      </c>
      <c r="AM93" s="29">
        <f t="shared" si="131"/>
        <v>0.41516486618836895</v>
      </c>
      <c r="AN93" s="29">
        <f t="shared" si="131"/>
        <v>0.41463640358602938</v>
      </c>
      <c r="AO93" s="29">
        <f t="shared" si="131"/>
        <v>0.41433728126682701</v>
      </c>
      <c r="AP93" s="29">
        <f t="shared" si="131"/>
        <v>0.41411722458627409</v>
      </c>
      <c r="AR93" s="29">
        <f t="shared" ref="AR93:BA93" si="132">AR92/AR$14</f>
        <v>0.42145351861484726</v>
      </c>
      <c r="AS93" s="29">
        <f t="shared" si="132"/>
        <v>0.35878994587380442</v>
      </c>
      <c r="AT93" s="29">
        <f t="shared" si="132"/>
        <v>0.53360034142017665</v>
      </c>
      <c r="AU93" s="29">
        <f t="shared" si="132"/>
        <v>0.57136945676912121</v>
      </c>
      <c r="AV93" s="29">
        <f t="shared" si="132"/>
        <v>0.42495241875855666</v>
      </c>
      <c r="AW93" s="29">
        <f t="shared" si="132"/>
        <v>0.42159571593709882</v>
      </c>
      <c r="AX93" s="29">
        <f t="shared" si="132"/>
        <v>0.41880991208503143</v>
      </c>
      <c r="AY93" s="29">
        <f t="shared" si="132"/>
        <v>0.41695977085590125</v>
      </c>
      <c r="AZ93" s="29">
        <f t="shared" si="132"/>
        <v>0.41556588316392307</v>
      </c>
      <c r="BA93" s="29">
        <f t="shared" si="132"/>
        <v>0.4145167230890649</v>
      </c>
      <c r="BC93" s="29">
        <v>0.53746134294547021</v>
      </c>
      <c r="BD93" s="29">
        <f t="shared" si="69"/>
        <v>-9.8420899933350903E-2</v>
      </c>
      <c r="BE93" s="41">
        <f t="shared" si="70"/>
        <v>-0.18312182117874939</v>
      </c>
    </row>
    <row r="94" spans="1:57" x14ac:dyDescent="0.25">
      <c r="B94" s="20" t="s">
        <v>4</v>
      </c>
      <c r="C94" s="6"/>
      <c r="D94" s="6"/>
      <c r="E94" s="6"/>
      <c r="F94" s="6"/>
      <c r="G94" s="6">
        <f>G92/C92-1</f>
        <v>0.48854301772589781</v>
      </c>
      <c r="H94" s="6">
        <f t="shared" ref="H94:AP94" si="133">H92/D92-1</f>
        <v>-0.50668193967163</v>
      </c>
      <c r="I94" s="6">
        <f t="shared" si="133"/>
        <v>-0.51025899764547611</v>
      </c>
      <c r="J94" s="6">
        <f t="shared" si="133"/>
        <v>-0.37929028504944706</v>
      </c>
      <c r="K94" s="6">
        <f t="shared" si="133"/>
        <v>-0.21870461806564068</v>
      </c>
      <c r="L94" s="6">
        <f t="shared" si="133"/>
        <v>4.2623839009287892</v>
      </c>
      <c r="M94" s="6">
        <f t="shared" si="133"/>
        <v>5.8159340659340657</v>
      </c>
      <c r="N94" s="6">
        <f t="shared" si="133"/>
        <v>5.1363636363636358</v>
      </c>
      <c r="O94" s="6">
        <f t="shared" si="133"/>
        <v>4.6899628252788119</v>
      </c>
      <c r="P94" s="6">
        <f t="shared" si="133"/>
        <v>1.5215472863656432</v>
      </c>
      <c r="Q94" s="6">
        <f t="shared" si="133"/>
        <v>1.0199516324062876</v>
      </c>
      <c r="R94" s="6">
        <f>R92/N92-1</f>
        <v>0.68507063764795673</v>
      </c>
      <c r="S94" s="6">
        <f>S92/O92-1</f>
        <v>0.2638834444008884</v>
      </c>
      <c r="T94" s="6">
        <f>T92/P92-1</f>
        <v>0.21445754508102066</v>
      </c>
      <c r="U94" s="6">
        <f>U92/Q92-1</f>
        <v>0.21862827615224933</v>
      </c>
      <c r="V94" s="6">
        <f>V92/R92-1</f>
        <v>0.21586511481953807</v>
      </c>
      <c r="W94" s="6">
        <f t="shared" si="133"/>
        <v>0.45424019831064966</v>
      </c>
      <c r="X94" s="6">
        <f t="shared" si="133"/>
        <v>0.54817864380296477</v>
      </c>
      <c r="Y94" s="6">
        <f t="shared" si="133"/>
        <v>0.45412910230032422</v>
      </c>
      <c r="Z94" s="6">
        <f t="shared" si="133"/>
        <v>0.41760681132302802</v>
      </c>
      <c r="AA94" s="6">
        <f t="shared" si="133"/>
        <v>0.35207988979247284</v>
      </c>
      <c r="AB94" s="6">
        <f t="shared" si="133"/>
        <v>0.37220149267666769</v>
      </c>
      <c r="AC94" s="6">
        <f t="shared" si="133"/>
        <v>0.3727427383238564</v>
      </c>
      <c r="AD94" s="6">
        <f t="shared" si="133"/>
        <v>0.37769561913149174</v>
      </c>
      <c r="AE94" s="6">
        <f t="shared" si="133"/>
        <v>0.323138202498779</v>
      </c>
      <c r="AF94" s="6">
        <f t="shared" si="133"/>
        <v>0.33054383728991543</v>
      </c>
      <c r="AG94" s="6">
        <f t="shared" si="133"/>
        <v>0.33085922703566317</v>
      </c>
      <c r="AH94" s="6">
        <f t="shared" si="133"/>
        <v>0.33449510581764619</v>
      </c>
      <c r="AI94" s="6">
        <f t="shared" si="133"/>
        <v>0.3333149619039113</v>
      </c>
      <c r="AJ94" s="6">
        <f t="shared" si="133"/>
        <v>0.33367874901384953</v>
      </c>
      <c r="AK94" s="6">
        <f t="shared" si="133"/>
        <v>0.33388368089430354</v>
      </c>
      <c r="AL94" s="6">
        <f t="shared" si="133"/>
        <v>0.33707082388070164</v>
      </c>
      <c r="AM94" s="6">
        <f t="shared" si="133"/>
        <v>0.34311382026633952</v>
      </c>
      <c r="AN94" s="6">
        <f t="shared" si="133"/>
        <v>0.33732988778204298</v>
      </c>
      <c r="AO94" s="6">
        <f t="shared" si="133"/>
        <v>0.3374764311571159</v>
      </c>
      <c r="AP94" s="6">
        <f t="shared" si="133"/>
        <v>0.33999746314306445</v>
      </c>
      <c r="AR94" s="6"/>
      <c r="AS94" s="6">
        <f>AS92/AR92-1</f>
        <v>-0.14678656440095206</v>
      </c>
      <c r="AT94" s="6">
        <f t="shared" ref="AT94:BA94" si="134">AT92/AS92-1</f>
        <v>2.3589584624922506</v>
      </c>
      <c r="AU94" s="6">
        <f t="shared" si="134"/>
        <v>1.2936507936507935</v>
      </c>
      <c r="AV94" s="6">
        <f t="shared" si="134"/>
        <v>0.22614149567105124</v>
      </c>
      <c r="AW94" s="6">
        <f t="shared" si="134"/>
        <v>0.46485342667315344</v>
      </c>
      <c r="AX94" s="6">
        <f t="shared" si="134"/>
        <v>0.36967853356796554</v>
      </c>
      <c r="AY94" s="6">
        <f t="shared" si="134"/>
        <v>0.33022072147737314</v>
      </c>
      <c r="AZ94" s="6">
        <f t="shared" si="134"/>
        <v>0.33463030757243284</v>
      </c>
      <c r="BA94" s="6">
        <f t="shared" si="134"/>
        <v>0.33932652948794195</v>
      </c>
      <c r="BC94" s="6">
        <v>0.52783552357415386</v>
      </c>
      <c r="BD94" s="6">
        <f t="shared" si="69"/>
        <v>-0.26395207917326546</v>
      </c>
      <c r="BE94" s="41">
        <f t="shared" si="70"/>
        <v>-0.50006501530241121</v>
      </c>
    </row>
    <row r="96" spans="1:57" s="14" customFormat="1" x14ac:dyDescent="0.25">
      <c r="A96" s="10"/>
      <c r="B96" s="10" t="s">
        <v>18</v>
      </c>
      <c r="C96" s="17">
        <v>2.484</v>
      </c>
      <c r="D96" s="17">
        <v>2.4929999999999999</v>
      </c>
      <c r="E96" s="17">
        <v>2.4990000000000001</v>
      </c>
      <c r="F96" s="17">
        <v>2.496</v>
      </c>
      <c r="G96" s="17">
        <v>2.5059999999999998</v>
      </c>
      <c r="H96" s="17">
        <v>2.4950000000000001</v>
      </c>
      <c r="I96" s="17">
        <v>2.4830000000000001</v>
      </c>
      <c r="J96" s="17">
        <v>2.4870000000000001</v>
      </c>
      <c r="K96" s="17">
        <v>2.4620000000000002</v>
      </c>
      <c r="L96" s="17">
        <v>24.577999999999999</v>
      </c>
      <c r="M96" s="17">
        <v>24.68</v>
      </c>
      <c r="N96" s="17">
        <v>24.69</v>
      </c>
      <c r="O96" s="17">
        <v>2.4620000000000002</v>
      </c>
      <c r="P96" s="17">
        <v>24.577999999999999</v>
      </c>
      <c r="Q96" s="17">
        <v>24.533000000000001</v>
      </c>
      <c r="R96" s="17">
        <v>24.555</v>
      </c>
      <c r="S96" s="17">
        <v>24.440999999999999</v>
      </c>
      <c r="T96" s="15">
        <f>S96-(R96-S96)</f>
        <v>24.326999999999998</v>
      </c>
      <c r="U96" s="15">
        <f t="shared" ref="U96:AP96" si="135">T96-(S96-T96)</f>
        <v>24.212999999999997</v>
      </c>
      <c r="V96" s="15">
        <f t="shared" si="135"/>
        <v>24.098999999999997</v>
      </c>
      <c r="W96" s="15">
        <f t="shared" si="135"/>
        <v>23.984999999999996</v>
      </c>
      <c r="X96" s="15">
        <f t="shared" si="135"/>
        <v>23.870999999999995</v>
      </c>
      <c r="Y96" s="15">
        <f t="shared" si="135"/>
        <v>23.756999999999994</v>
      </c>
      <c r="Z96" s="15">
        <f t="shared" si="135"/>
        <v>23.642999999999994</v>
      </c>
      <c r="AA96" s="15">
        <f t="shared" si="135"/>
        <v>23.528999999999993</v>
      </c>
      <c r="AB96" s="15">
        <f t="shared" si="135"/>
        <v>23.414999999999992</v>
      </c>
      <c r="AC96" s="15">
        <f t="shared" si="135"/>
        <v>23.300999999999991</v>
      </c>
      <c r="AD96" s="15">
        <f t="shared" si="135"/>
        <v>23.186999999999991</v>
      </c>
      <c r="AE96" s="15">
        <f t="shared" si="135"/>
        <v>23.07299999999999</v>
      </c>
      <c r="AF96" s="15">
        <f t="shared" si="135"/>
        <v>22.958999999999989</v>
      </c>
      <c r="AG96" s="15">
        <f t="shared" si="135"/>
        <v>22.844999999999988</v>
      </c>
      <c r="AH96" s="15">
        <f t="shared" si="135"/>
        <v>22.730999999999987</v>
      </c>
      <c r="AI96" s="15">
        <f t="shared" si="135"/>
        <v>22.616999999999987</v>
      </c>
      <c r="AJ96" s="15">
        <f t="shared" si="135"/>
        <v>22.502999999999986</v>
      </c>
      <c r="AK96" s="15">
        <f t="shared" si="135"/>
        <v>22.388999999999985</v>
      </c>
      <c r="AL96" s="15">
        <f t="shared" si="135"/>
        <v>22.274999999999984</v>
      </c>
      <c r="AM96" s="15">
        <f t="shared" si="135"/>
        <v>22.160999999999984</v>
      </c>
      <c r="AN96" s="15">
        <f t="shared" si="135"/>
        <v>22.046999999999983</v>
      </c>
      <c r="AO96" s="15">
        <f t="shared" si="135"/>
        <v>21.932999999999982</v>
      </c>
      <c r="AP96" s="15">
        <f t="shared" si="135"/>
        <v>21.818999999999981</v>
      </c>
      <c r="AR96" s="10">
        <f>AVERAGE(C96:F96)</f>
        <v>2.4930000000000003</v>
      </c>
      <c r="AS96" s="10">
        <f>AVERAGE(G96:J96)</f>
        <v>2.49275</v>
      </c>
      <c r="AT96" s="10">
        <f>AVERAGE(K96:N96)</f>
        <v>19.102499999999999</v>
      </c>
      <c r="AU96" s="10">
        <f>AVERAGE(O96:R96)</f>
        <v>19.032</v>
      </c>
      <c r="AV96" s="10">
        <f>AVERAGE(S96:V96)</f>
        <v>24.269999999999996</v>
      </c>
      <c r="AW96" s="10">
        <f>AVERAGE(W96:Z96)</f>
        <v>23.813999999999993</v>
      </c>
      <c r="AX96" s="10">
        <f>AVERAGE(AA96:AD96)</f>
        <v>23.35799999999999</v>
      </c>
      <c r="AY96" s="10">
        <f>AVERAGE(AE96:AH96)</f>
        <v>22.901999999999987</v>
      </c>
      <c r="AZ96" s="10">
        <f>AVERAGE(AI96:AL96)</f>
        <v>22.445999999999984</v>
      </c>
      <c r="BA96" s="10">
        <f>AVERAGE(AM96:AP96)</f>
        <v>21.989999999999981</v>
      </c>
      <c r="BC96" s="15">
        <v>24.576999999999998</v>
      </c>
      <c r="BD96" s="15">
        <f t="shared" ref="BD96:BD97" si="136">S96-BC96</f>
        <v>-0.13599999999999923</v>
      </c>
      <c r="BE96" s="41">
        <f t="shared" ref="BE96:BE97" si="137">BD96/BC96</f>
        <v>-5.5336290027260954E-3</v>
      </c>
    </row>
    <row r="97" spans="1:57" s="14" customFormat="1" x14ac:dyDescent="0.25">
      <c r="A97" s="10"/>
      <c r="B97" s="10" t="s">
        <v>19</v>
      </c>
      <c r="C97" s="17">
        <v>2.528</v>
      </c>
      <c r="D97" s="17">
        <v>2.532</v>
      </c>
      <c r="E97" s="17">
        <v>2.5379999999999998</v>
      </c>
      <c r="F97" s="17">
        <v>2.5350000000000001</v>
      </c>
      <c r="G97" s="17">
        <v>2.5369999999999999</v>
      </c>
      <c r="H97" s="17">
        <v>2.516</v>
      </c>
      <c r="I97" s="17">
        <v>2.4990000000000001</v>
      </c>
      <c r="J97" s="17">
        <v>2.5070000000000001</v>
      </c>
      <c r="K97" s="17">
        <v>2.4889999999999999</v>
      </c>
      <c r="L97" s="17">
        <v>24.847999999999999</v>
      </c>
      <c r="M97" s="17">
        <v>24.94</v>
      </c>
      <c r="N97" s="17">
        <v>24.94</v>
      </c>
      <c r="O97" s="17">
        <v>2.4889999999999999</v>
      </c>
      <c r="P97" s="17">
        <v>24.847999999999999</v>
      </c>
      <c r="Q97" s="17">
        <v>24.774000000000001</v>
      </c>
      <c r="R97" s="17">
        <v>24.803999999999998</v>
      </c>
      <c r="S97" s="17">
        <v>24.611000000000001</v>
      </c>
      <c r="T97" s="15">
        <f>S97-(R97-S97)</f>
        <v>24.418000000000003</v>
      </c>
      <c r="U97" s="15">
        <f t="shared" ref="U97:AP97" si="138">T97-(S97-T97)</f>
        <v>24.225000000000005</v>
      </c>
      <c r="V97" s="15">
        <f t="shared" si="138"/>
        <v>24.032000000000007</v>
      </c>
      <c r="W97" s="15">
        <f t="shared" si="138"/>
        <v>23.839000000000009</v>
      </c>
      <c r="X97" s="15">
        <f t="shared" si="138"/>
        <v>23.646000000000011</v>
      </c>
      <c r="Y97" s="15">
        <f t="shared" si="138"/>
        <v>23.453000000000014</v>
      </c>
      <c r="Z97" s="15">
        <f t="shared" si="138"/>
        <v>23.260000000000016</v>
      </c>
      <c r="AA97" s="15">
        <f t="shared" si="138"/>
        <v>23.067000000000018</v>
      </c>
      <c r="AB97" s="15">
        <f t="shared" si="138"/>
        <v>22.87400000000002</v>
      </c>
      <c r="AC97" s="15">
        <f t="shared" si="138"/>
        <v>22.681000000000022</v>
      </c>
      <c r="AD97" s="15">
        <f t="shared" si="138"/>
        <v>22.488000000000024</v>
      </c>
      <c r="AE97" s="15">
        <f t="shared" si="138"/>
        <v>22.295000000000027</v>
      </c>
      <c r="AF97" s="15">
        <f t="shared" si="138"/>
        <v>22.102000000000029</v>
      </c>
      <c r="AG97" s="15">
        <f t="shared" si="138"/>
        <v>21.909000000000031</v>
      </c>
      <c r="AH97" s="15">
        <f t="shared" si="138"/>
        <v>21.716000000000033</v>
      </c>
      <c r="AI97" s="15">
        <f t="shared" si="138"/>
        <v>21.523000000000035</v>
      </c>
      <c r="AJ97" s="15">
        <f t="shared" si="138"/>
        <v>21.330000000000037</v>
      </c>
      <c r="AK97" s="15">
        <f t="shared" si="138"/>
        <v>21.13700000000004</v>
      </c>
      <c r="AL97" s="15">
        <f t="shared" si="138"/>
        <v>20.944000000000042</v>
      </c>
      <c r="AM97" s="15">
        <f t="shared" si="138"/>
        <v>20.751000000000044</v>
      </c>
      <c r="AN97" s="15">
        <f t="shared" si="138"/>
        <v>20.558000000000046</v>
      </c>
      <c r="AO97" s="15">
        <f t="shared" si="138"/>
        <v>20.365000000000048</v>
      </c>
      <c r="AP97" s="15">
        <f t="shared" si="138"/>
        <v>20.17200000000005</v>
      </c>
      <c r="AR97" s="10">
        <f>AVERAGE(C97:F97)</f>
        <v>2.5332500000000002</v>
      </c>
      <c r="AS97" s="10">
        <f>AVERAGE(G97:J97)</f>
        <v>2.5147499999999998</v>
      </c>
      <c r="AT97" s="10">
        <f>AVERAGE(K97:N97)</f>
        <v>19.30425</v>
      </c>
      <c r="AU97" s="10">
        <f>AVERAGE(O97:R97)</f>
        <v>19.228750000000002</v>
      </c>
      <c r="AV97" s="10">
        <f>AVERAGE(S97:V97)</f>
        <v>24.321500000000004</v>
      </c>
      <c r="AW97" s="10">
        <f>AVERAGE(W97:Z97)</f>
        <v>23.549500000000013</v>
      </c>
      <c r="AX97" s="10">
        <f>AVERAGE(AA97:AD97)</f>
        <v>22.777500000000021</v>
      </c>
      <c r="AY97" s="10">
        <f>AVERAGE(AE97:AH97)</f>
        <v>22.00550000000003</v>
      </c>
      <c r="AZ97" s="10">
        <f>AVERAGE(AI97:AL97)</f>
        <v>21.233500000000038</v>
      </c>
      <c r="BA97" s="10">
        <f>AVERAGE(AM97:AP97)</f>
        <v>20.461500000000047</v>
      </c>
      <c r="BC97" s="15">
        <v>24.833999999999996</v>
      </c>
      <c r="BD97" s="15">
        <f t="shared" si="136"/>
        <v>-0.22299999999999542</v>
      </c>
      <c r="BE97" s="41">
        <f t="shared" si="137"/>
        <v>-8.979624708061346E-3</v>
      </c>
    </row>
    <row r="99" spans="1:57" x14ac:dyDescent="0.25">
      <c r="B99" s="8" t="s">
        <v>20</v>
      </c>
      <c r="C99" s="7">
        <f t="shared" ref="C99:E100" si="139">C$87/C96</f>
        <v>0.76972624798711731</v>
      </c>
      <c r="D99" s="7">
        <f t="shared" si="139"/>
        <v>0.95226634576815072</v>
      </c>
      <c r="E99" s="7">
        <f t="shared" si="139"/>
        <v>0.9859943977591038</v>
      </c>
      <c r="F99" s="7">
        <f t="shared" ref="F99:Q99" si="140">F$87/F96</f>
        <v>1.2027243589743586</v>
      </c>
      <c r="G99" s="7">
        <f t="shared" si="140"/>
        <v>0.64565043894652852</v>
      </c>
      <c r="H99" s="7">
        <f t="shared" si="140"/>
        <v>0.26292585170340704</v>
      </c>
      <c r="I99" s="7">
        <f t="shared" si="140"/>
        <v>0.27386226339105918</v>
      </c>
      <c r="J99" s="7">
        <f t="shared" si="140"/>
        <v>0.56292722155207076</v>
      </c>
      <c r="K99" s="7">
        <f t="shared" si="140"/>
        <v>0.82981316003249372</v>
      </c>
      <c r="L99" s="7">
        <f t="shared" si="140"/>
        <v>0.25176987549841323</v>
      </c>
      <c r="M99" s="7">
        <f t="shared" si="140"/>
        <v>0.37451377633711508</v>
      </c>
      <c r="N99" s="7">
        <f t="shared" si="140"/>
        <v>0.49761036857027141</v>
      </c>
      <c r="O99" s="7">
        <f t="shared" si="140"/>
        <v>6.0442729488220959</v>
      </c>
      <c r="P99" s="7">
        <f t="shared" si="140"/>
        <v>0.67536007811864285</v>
      </c>
      <c r="Q99" s="7">
        <f t="shared" si="140"/>
        <v>0.78706232421636169</v>
      </c>
      <c r="R99" s="7">
        <f t="shared" ref="R99:AP99" si="141">R$87/R96</f>
        <v>0.8996538383221333</v>
      </c>
      <c r="S99" s="7">
        <f t="shared" si="141"/>
        <v>0.76817642485986659</v>
      </c>
      <c r="T99" s="7">
        <f t="shared" si="141"/>
        <v>0.83243557170506122</v>
      </c>
      <c r="U99" s="7">
        <f t="shared" si="141"/>
        <v>0.98536416072969024</v>
      </c>
      <c r="V99" s="7">
        <f t="shared" si="141"/>
        <v>1.0896418782359403</v>
      </c>
      <c r="W99" s="7">
        <f t="shared" si="141"/>
        <v>1.1491464096860338</v>
      </c>
      <c r="X99" s="7">
        <f t="shared" si="141"/>
        <v>1.3264673201186044</v>
      </c>
      <c r="Y99" s="7">
        <f t="shared" si="141"/>
        <v>1.4712451401893438</v>
      </c>
      <c r="Z99" s="7">
        <f t="shared" si="141"/>
        <v>1.5845438200446951</v>
      </c>
      <c r="AA99" s="7">
        <f t="shared" si="141"/>
        <v>1.5923790001294684</v>
      </c>
      <c r="AB99" s="7">
        <f t="shared" si="141"/>
        <v>1.8646885353057026</v>
      </c>
      <c r="AC99" s="7">
        <f t="shared" si="141"/>
        <v>2.0682836169065788</v>
      </c>
      <c r="AD99" s="7">
        <f t="shared" si="141"/>
        <v>2.2352355454509163</v>
      </c>
      <c r="AE99" s="7">
        <f t="shared" si="141"/>
        <v>2.1565605222071151</v>
      </c>
      <c r="AF99" s="7">
        <f t="shared" si="141"/>
        <v>2.5385335585243336</v>
      </c>
      <c r="AG99" s="7">
        <f t="shared" si="141"/>
        <v>2.815792968931881</v>
      </c>
      <c r="AH99" s="7">
        <f t="shared" si="141"/>
        <v>3.0511379679803525</v>
      </c>
      <c r="AI99" s="7">
        <f t="shared" si="141"/>
        <v>2.9417475041775578</v>
      </c>
      <c r="AJ99" s="7">
        <f t="shared" si="141"/>
        <v>3.462645770052267</v>
      </c>
      <c r="AK99" s="7">
        <f t="shared" si="141"/>
        <v>3.8409383904579446</v>
      </c>
      <c r="AL99" s="7">
        <f t="shared" si="141"/>
        <v>4.1717277270109117</v>
      </c>
      <c r="AM99" s="7">
        <f t="shared" si="141"/>
        <v>4.041227502061389</v>
      </c>
      <c r="AN99" s="7">
        <f t="shared" si="141"/>
        <v>4.7351981183228888</v>
      </c>
      <c r="AO99" s="7">
        <f t="shared" si="141"/>
        <v>5.2527396681072291</v>
      </c>
      <c r="AP99" s="7">
        <f t="shared" si="141"/>
        <v>5.7158154762202464</v>
      </c>
      <c r="AR99" s="7">
        <f>SUM(C99:F99)</f>
        <v>3.9107113504887305</v>
      </c>
      <c r="AS99" s="7">
        <f>SUM(G99:J99)</f>
        <v>1.7453657755930654</v>
      </c>
      <c r="AT99" s="7">
        <f>SUM(K99:N99)</f>
        <v>1.9537071804382933</v>
      </c>
      <c r="AU99" s="7">
        <f>SUM(O99:R99)</f>
        <v>8.4063491894792328</v>
      </c>
      <c r="AV99" s="7">
        <f>SUM(S99:V99)</f>
        <v>3.6756180355305581</v>
      </c>
      <c r="AW99" s="7">
        <f>SUM(W99:Z99)</f>
        <v>5.5314026900386768</v>
      </c>
      <c r="AX99" s="7">
        <f>SUM(AA99:AD99)</f>
        <v>7.7605866977926663</v>
      </c>
      <c r="AY99" s="7">
        <f>SUM(AE99:AH99)</f>
        <v>10.562025017643682</v>
      </c>
      <c r="AZ99" s="7">
        <f>SUM(AI99:AL99)</f>
        <v>14.417059391698682</v>
      </c>
      <c r="BA99" s="7">
        <f>SUM(AM99:AP99)</f>
        <v>19.744980764711752</v>
      </c>
      <c r="BC99" s="7">
        <v>0.92830900939195182</v>
      </c>
      <c r="BD99" s="7">
        <f t="shared" ref="BD99:BD101" si="142">S99-BC99</f>
        <v>-0.16013258453208523</v>
      </c>
      <c r="BE99" s="41">
        <f t="shared" ref="BE99:BE100" si="143">BD99/BC99</f>
        <v>-0.17249922483998412</v>
      </c>
    </row>
    <row r="100" spans="1:57" x14ac:dyDescent="0.25">
      <c r="B100" s="8" t="s">
        <v>21</v>
      </c>
      <c r="C100" s="7">
        <f t="shared" si="139"/>
        <v>0.75632911392405044</v>
      </c>
      <c r="D100" s="7">
        <f t="shared" si="139"/>
        <v>0.93759873617693512</v>
      </c>
      <c r="E100" s="7">
        <f t="shared" si="139"/>
        <v>0.97084318360914124</v>
      </c>
      <c r="F100" s="7">
        <f t="shared" ref="F100:Q100" si="144">F$87/F97</f>
        <v>1.1842209072978298</v>
      </c>
      <c r="G100" s="7">
        <f t="shared" si="144"/>
        <v>0.6377611351990542</v>
      </c>
      <c r="H100" s="7">
        <f t="shared" si="144"/>
        <v>0.26073131955484918</v>
      </c>
      <c r="I100" s="7">
        <f t="shared" si="144"/>
        <v>0.27210884353741494</v>
      </c>
      <c r="J100" s="7">
        <f t="shared" si="144"/>
        <v>0.55843637814120461</v>
      </c>
      <c r="K100" s="7">
        <f t="shared" si="144"/>
        <v>0.82081157091201273</v>
      </c>
      <c r="L100" s="7">
        <f t="shared" si="144"/>
        <v>0.24903412749517065</v>
      </c>
      <c r="M100" s="7">
        <f t="shared" si="144"/>
        <v>0.37060946271050521</v>
      </c>
      <c r="N100" s="7">
        <f t="shared" si="144"/>
        <v>0.49262229350441061</v>
      </c>
      <c r="O100" s="7">
        <f t="shared" si="144"/>
        <v>5.9787063077541189</v>
      </c>
      <c r="P100" s="7">
        <f t="shared" si="144"/>
        <v>0.66802157115260807</v>
      </c>
      <c r="Q100" s="7">
        <f t="shared" si="144"/>
        <v>0.77940582869136998</v>
      </c>
      <c r="R100" s="7">
        <f t="shared" ref="R100:AP100" si="145">R$87/R97</f>
        <v>0.89062248024512114</v>
      </c>
      <c r="S100" s="7">
        <f t="shared" si="145"/>
        <v>0.76287026126528779</v>
      </c>
      <c r="T100" s="7">
        <f t="shared" si="145"/>
        <v>0.82933328498931203</v>
      </c>
      <c r="U100" s="7">
        <f t="shared" si="145"/>
        <v>0.98487605464387962</v>
      </c>
      <c r="V100" s="7">
        <f t="shared" si="145"/>
        <v>1.092679744657453</v>
      </c>
      <c r="W100" s="7">
        <f t="shared" si="145"/>
        <v>1.1561842626083101</v>
      </c>
      <c r="X100" s="7">
        <f t="shared" si="145"/>
        <v>1.3390891228347788</v>
      </c>
      <c r="Y100" s="7">
        <f t="shared" si="145"/>
        <v>1.4903155585843266</v>
      </c>
      <c r="Z100" s="7">
        <f t="shared" si="145"/>
        <v>1.610634975808972</v>
      </c>
      <c r="AA100" s="7">
        <f t="shared" si="145"/>
        <v>1.6242721417629611</v>
      </c>
      <c r="AB100" s="7">
        <f t="shared" si="145"/>
        <v>1.9087908566137524</v>
      </c>
      <c r="AC100" s="7">
        <f t="shared" si="145"/>
        <v>2.1248215051161821</v>
      </c>
      <c r="AD100" s="7">
        <f t="shared" si="145"/>
        <v>2.3047139181950516</v>
      </c>
      <c r="AE100" s="7">
        <f t="shared" si="145"/>
        <v>2.2318152468663235</v>
      </c>
      <c r="AF100" s="7">
        <f t="shared" si="145"/>
        <v>2.6369646172364525</v>
      </c>
      <c r="AG100" s="7">
        <f t="shared" si="145"/>
        <v>2.9360897519397828</v>
      </c>
      <c r="AH100" s="7">
        <f t="shared" si="145"/>
        <v>3.1937473360729993</v>
      </c>
      <c r="AI100" s="7">
        <f t="shared" si="145"/>
        <v>3.0912746040042594</v>
      </c>
      <c r="AJ100" s="7">
        <f t="shared" si="145"/>
        <v>3.6530669368722912</v>
      </c>
      <c r="AK100" s="7">
        <f t="shared" si="145"/>
        <v>4.0684472547647585</v>
      </c>
      <c r="AL100" s="7">
        <f t="shared" si="145"/>
        <v>4.4368427768892191</v>
      </c>
      <c r="AM100" s="7">
        <f t="shared" si="145"/>
        <v>4.3158229807325998</v>
      </c>
      <c r="AN100" s="7">
        <f t="shared" si="145"/>
        <v>5.0781648465154401</v>
      </c>
      <c r="AO100" s="7">
        <f t="shared" si="145"/>
        <v>5.6571735399261227</v>
      </c>
      <c r="AP100" s="7">
        <f t="shared" si="145"/>
        <v>6.1824993989514745</v>
      </c>
      <c r="AR100" s="7">
        <f>SUM(C100:F100)</f>
        <v>3.8489919410079567</v>
      </c>
      <c r="AS100" s="7">
        <f>SUM(G100:J100)</f>
        <v>1.7290376764325228</v>
      </c>
      <c r="AT100" s="7">
        <f>SUM(K100:N100)</f>
        <v>1.9330774546220992</v>
      </c>
      <c r="AU100" s="7">
        <f>SUM(O100:R100)</f>
        <v>8.3167561878432181</v>
      </c>
      <c r="AV100" s="7">
        <f>SUM(S100:V100)</f>
        <v>3.6697593455559323</v>
      </c>
      <c r="AW100" s="7">
        <f>SUM(W100:Z100)</f>
        <v>5.5962239198363877</v>
      </c>
      <c r="AX100" s="7">
        <f>SUM(AA100:AD100)</f>
        <v>7.9625984216879466</v>
      </c>
      <c r="AY100" s="7">
        <f>SUM(AE100:AH100)</f>
        <v>10.998616952115558</v>
      </c>
      <c r="AZ100" s="7">
        <f>SUM(AI100:AL100)</f>
        <v>15.249631572530529</v>
      </c>
      <c r="BA100" s="7">
        <f>SUM(AM100:AP100)</f>
        <v>21.233660766125638</v>
      </c>
      <c r="BC100" s="7">
        <v>0.91870220358484345</v>
      </c>
      <c r="BD100" s="7">
        <f t="shared" si="142"/>
        <v>-0.15583194231955566</v>
      </c>
      <c r="BE100" s="41">
        <f t="shared" si="143"/>
        <v>-0.16962182273155324</v>
      </c>
    </row>
    <row r="101" spans="1:57" x14ac:dyDescent="0.25">
      <c r="B101" s="24" t="s">
        <v>97</v>
      </c>
      <c r="C101" s="9">
        <f t="shared" ref="C101:N101" si="146">C92/C97</f>
        <v>0.91495253164556933</v>
      </c>
      <c r="D101" s="9">
        <f t="shared" si="146"/>
        <v>1.0343601895734595</v>
      </c>
      <c r="E101" s="9">
        <f t="shared" si="146"/>
        <v>1.1713947990543738</v>
      </c>
      <c r="F101" s="9">
        <f t="shared" si="146"/>
        <v>1.3562130177514788</v>
      </c>
      <c r="G101" s="9">
        <f t="shared" si="146"/>
        <v>1.357114702404415</v>
      </c>
      <c r="H101" s="9">
        <f t="shared" si="146"/>
        <v>0.51351351351351382</v>
      </c>
      <c r="I101" s="9">
        <f t="shared" si="146"/>
        <v>0.58263305322128844</v>
      </c>
      <c r="J101" s="9">
        <f t="shared" si="146"/>
        <v>0.85121659353809342</v>
      </c>
      <c r="K101" s="9">
        <f t="shared" si="146"/>
        <v>1.0807553234230614</v>
      </c>
      <c r="L101" s="9">
        <f t="shared" si="146"/>
        <v>0.27362363168061815</v>
      </c>
      <c r="M101" s="9">
        <f t="shared" si="146"/>
        <v>0.39791499599037689</v>
      </c>
      <c r="N101" s="9">
        <f t="shared" si="146"/>
        <v>0.52506014434643145</v>
      </c>
      <c r="O101" s="9">
        <f>O92/O97</f>
        <v>6.1494576134993979</v>
      </c>
      <c r="P101" s="9">
        <f t="shared" ref="P101:AP101" si="147">P92/P97</f>
        <v>0.68995492594977492</v>
      </c>
      <c r="Q101" s="9">
        <f t="shared" si="147"/>
        <v>0.80915475902155476</v>
      </c>
      <c r="R101" s="9">
        <f t="shared" si="147"/>
        <v>0.8896145782938234</v>
      </c>
      <c r="S101" s="9">
        <f t="shared" si="147"/>
        <v>0.78603063670716344</v>
      </c>
      <c r="T101" s="9">
        <f t="shared" si="147"/>
        <v>0.85267672016008766</v>
      </c>
      <c r="U101" s="9">
        <f t="shared" si="147"/>
        <v>1.0084054664085855</v>
      </c>
      <c r="V101" s="9">
        <f t="shared" si="147"/>
        <v>1.1163981201567874</v>
      </c>
      <c r="W101" s="9">
        <f t="shared" si="147"/>
        <v>1.1800946615344396</v>
      </c>
      <c r="X101" s="9">
        <f t="shared" si="147"/>
        <v>1.3631946798000161</v>
      </c>
      <c r="Y101" s="9">
        <f t="shared" si="147"/>
        <v>1.5146194855872686</v>
      </c>
      <c r="Z101" s="9">
        <f t="shared" si="147"/>
        <v>1.6351405648029531</v>
      </c>
      <c r="AA101" s="9">
        <f t="shared" si="147"/>
        <v>1.6489827673319557</v>
      </c>
      <c r="AB101" s="9">
        <f t="shared" si="147"/>
        <v>1.9337099787611687</v>
      </c>
      <c r="AC101" s="9">
        <f t="shared" si="147"/>
        <v>2.1499526721723083</v>
      </c>
      <c r="AD101" s="9">
        <f t="shared" si="147"/>
        <v>2.330060769849267</v>
      </c>
      <c r="AE101" s="9">
        <f t="shared" si="147"/>
        <v>2.2573815173305531</v>
      </c>
      <c r="AF101" s="9">
        <f t="shared" si="147"/>
        <v>2.6627541385467413</v>
      </c>
      <c r="AG101" s="9">
        <f t="shared" si="147"/>
        <v>2.9621064574032907</v>
      </c>
      <c r="AH101" s="9">
        <f t="shared" si="147"/>
        <v>3.219995263868173</v>
      </c>
      <c r="AI101" s="9">
        <f t="shared" si="147"/>
        <v>3.1177579009424181</v>
      </c>
      <c r="AJ101" s="9">
        <f t="shared" si="147"/>
        <v>3.6797898623293936</v>
      </c>
      <c r="AK101" s="9">
        <f t="shared" si="147"/>
        <v>4.0954141847926717</v>
      </c>
      <c r="AL101" s="9">
        <f t="shared" si="147"/>
        <v>4.4640582085164153</v>
      </c>
      <c r="AM101" s="9">
        <f t="shared" si="147"/>
        <v>4.3432915364648537</v>
      </c>
      <c r="AN101" s="9">
        <f t="shared" si="147"/>
        <v>5.1058912790477873</v>
      </c>
      <c r="AO101" s="9">
        <f t="shared" si="147"/>
        <v>5.685162737078099</v>
      </c>
      <c r="AP101" s="9">
        <f t="shared" si="147"/>
        <v>6.2107563888384458</v>
      </c>
      <c r="AR101" s="9">
        <f>SUM(C101:F101)</f>
        <v>4.4769205380248813</v>
      </c>
      <c r="AS101" s="9">
        <f>SUM(G101:J101)</f>
        <v>3.3044778626773104</v>
      </c>
      <c r="AT101" s="9">
        <f>SUM(K101:N101)</f>
        <v>2.2773540954404878</v>
      </c>
      <c r="AU101" s="9">
        <f>SUM(O101:R101)</f>
        <v>8.5381818767645505</v>
      </c>
      <c r="AV101" s="9">
        <f>SUM(S101:V101)</f>
        <v>3.7635109434326242</v>
      </c>
      <c r="AW101" s="9">
        <f>SUM(W101:Z101)</f>
        <v>5.6930493917246778</v>
      </c>
      <c r="AX101" s="9">
        <f>SUM(AA101:AD101)</f>
        <v>8.0627061881146993</v>
      </c>
      <c r="AY101" s="9">
        <f>SUM(AE101:AH101)</f>
        <v>11.102237377148757</v>
      </c>
      <c r="AZ101" s="9">
        <f>SUM(AI101:AL101)</f>
        <v>15.357020156580898</v>
      </c>
      <c r="BA101" s="9">
        <f>SUM(AM101:AP101)</f>
        <v>21.345101941429185</v>
      </c>
      <c r="BC101" s="9">
        <v>0.94165460754715324</v>
      </c>
      <c r="BD101" s="9">
        <f t="shared" si="142"/>
        <v>-0.1556239708399898</v>
      </c>
      <c r="BE101" s="42">
        <f>BD101/BC101</f>
        <v>-0.16526651023920885</v>
      </c>
    </row>
    <row r="102" spans="1:57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BC102" s="8"/>
      <c r="BD102" s="8"/>
    </row>
    <row r="103" spans="1:57" x14ac:dyDescent="0.25">
      <c r="B103" s="8" t="s">
        <v>1</v>
      </c>
    </row>
    <row r="104" spans="1:57" x14ac:dyDescent="0.25">
      <c r="B104" s="8"/>
    </row>
    <row r="105" spans="1:57" x14ac:dyDescent="0.25">
      <c r="B105" s="8" t="s">
        <v>26</v>
      </c>
    </row>
    <row r="106" spans="1:57" x14ac:dyDescent="0.25">
      <c r="B106" s="23" t="s">
        <v>37</v>
      </c>
    </row>
    <row r="107" spans="1:57" x14ac:dyDescent="0.25">
      <c r="B107" s="22" t="s">
        <v>23</v>
      </c>
      <c r="C107" s="17">
        <v>0.97799999999999998</v>
      </c>
      <c r="D107" s="17">
        <v>5.6280000000000001</v>
      </c>
      <c r="E107" s="17">
        <v>1.288</v>
      </c>
      <c r="F107" s="17">
        <v>1.99</v>
      </c>
      <c r="G107" s="17">
        <v>3.887</v>
      </c>
      <c r="H107" s="17">
        <v>3.0129999999999999</v>
      </c>
      <c r="I107" s="17">
        <v>2.8</v>
      </c>
      <c r="J107" s="17">
        <v>3.3889999999999998</v>
      </c>
      <c r="K107" s="17">
        <v>5.0789999999999997</v>
      </c>
      <c r="L107" s="17">
        <v>5.7830000000000004</v>
      </c>
      <c r="M107" s="17">
        <v>5.5190000000000001</v>
      </c>
      <c r="N107" s="17">
        <v>7.28</v>
      </c>
      <c r="O107" s="17">
        <v>7.5869999999999997</v>
      </c>
      <c r="P107" s="17">
        <v>8.5630000000000006</v>
      </c>
      <c r="Q107" s="17">
        <v>9.1069999999999993</v>
      </c>
      <c r="R107" s="17">
        <v>8.5890000000000004</v>
      </c>
      <c r="S107" s="15">
        <f>R107+S186</f>
        <v>19.373999999999995</v>
      </c>
      <c r="T107" s="15">
        <f t="shared" ref="T107:AP107" si="148">S107+T186</f>
        <v>30.906660152869016</v>
      </c>
      <c r="U107" s="15">
        <f t="shared" si="148"/>
        <v>46.047282576617</v>
      </c>
      <c r="V107" s="15">
        <f t="shared" si="148"/>
        <v>63.588562200224914</v>
      </c>
      <c r="W107" s="15">
        <f t="shared" si="148"/>
        <v>82.43283883654442</v>
      </c>
      <c r="X107" s="15">
        <f t="shared" si="148"/>
        <v>105.37894023509561</v>
      </c>
      <c r="Y107" s="15">
        <f t="shared" si="148"/>
        <v>131.61331103057384</v>
      </c>
      <c r="Z107" s="15">
        <f t="shared" si="148"/>
        <v>160.35868056789056</v>
      </c>
      <c r="AA107" s="15">
        <f t="shared" si="148"/>
        <v>189.10776606193681</v>
      </c>
      <c r="AB107" s="15">
        <f t="shared" si="148"/>
        <v>224.05144811611984</v>
      </c>
      <c r="AC107" s="15">
        <f t="shared" si="148"/>
        <v>263.52652467365999</v>
      </c>
      <c r="AD107" s="15">
        <f t="shared" si="148"/>
        <v>306.63693126603039</v>
      </c>
      <c r="AE107" s="15">
        <f t="shared" si="148"/>
        <v>347.67725219491513</v>
      </c>
      <c r="AF107" s="15">
        <f t="shared" si="148"/>
        <v>397.24144416507528</v>
      </c>
      <c r="AG107" s="15">
        <f t="shared" si="148"/>
        <v>452.8502345403241</v>
      </c>
      <c r="AH107" s="15">
        <f t="shared" si="148"/>
        <v>513.48765169048545</v>
      </c>
      <c r="AI107" s="15">
        <f t="shared" si="148"/>
        <v>571.30315499246922</v>
      </c>
      <c r="AJ107" s="15">
        <f t="shared" si="148"/>
        <v>640.50507275595533</v>
      </c>
      <c r="AK107" s="15">
        <f t="shared" si="148"/>
        <v>717.7818423799182</v>
      </c>
      <c r="AL107" s="15">
        <f t="shared" si="148"/>
        <v>801.98907749908619</v>
      </c>
      <c r="AM107" s="15">
        <f t="shared" si="148"/>
        <v>882.8287201722685</v>
      </c>
      <c r="AN107" s="15">
        <f t="shared" si="148"/>
        <v>978.5076330869332</v>
      </c>
      <c r="AO107" s="15">
        <f t="shared" si="148"/>
        <v>1084.9979722275289</v>
      </c>
      <c r="AP107" s="15">
        <f t="shared" si="148"/>
        <v>1200.9933501031783</v>
      </c>
      <c r="AR107" s="10">
        <f>F107</f>
        <v>1.99</v>
      </c>
      <c r="AS107" s="10">
        <f>J107</f>
        <v>3.3889999999999998</v>
      </c>
      <c r="AT107" s="10">
        <f>N107</f>
        <v>7.28</v>
      </c>
      <c r="AU107" s="10">
        <f>R107</f>
        <v>8.5890000000000004</v>
      </c>
      <c r="AV107" s="10">
        <f>V107</f>
        <v>63.588562200224914</v>
      </c>
      <c r="AW107" s="10">
        <f>Z107</f>
        <v>160.35868056789056</v>
      </c>
      <c r="AX107" s="10">
        <f>AD107</f>
        <v>306.63693126603039</v>
      </c>
      <c r="AY107" s="10">
        <f>AH107</f>
        <v>513.48765169048545</v>
      </c>
      <c r="AZ107" s="10">
        <f>AL107</f>
        <v>801.98907749908619</v>
      </c>
      <c r="BA107" s="10">
        <f>AP107</f>
        <v>1200.9933501031783</v>
      </c>
      <c r="BC107" s="15">
        <v>23.414050523825999</v>
      </c>
      <c r="BD107" s="15"/>
    </row>
    <row r="108" spans="1:57" x14ac:dyDescent="0.25">
      <c r="B108" s="22" t="s">
        <v>102</v>
      </c>
      <c r="C108" s="17">
        <v>11.689</v>
      </c>
      <c r="D108" s="17">
        <v>14.026</v>
      </c>
      <c r="E108" s="17">
        <v>18.010000000000002</v>
      </c>
      <c r="F108" s="17">
        <v>19.218</v>
      </c>
      <c r="G108" s="17">
        <v>16.451000000000001</v>
      </c>
      <c r="H108" s="17">
        <v>14.023999999999999</v>
      </c>
      <c r="I108" s="17">
        <v>10.343</v>
      </c>
      <c r="J108" s="17">
        <v>9.907</v>
      </c>
      <c r="K108" s="17">
        <v>10.241</v>
      </c>
      <c r="L108" s="17">
        <v>10.24</v>
      </c>
      <c r="M108" s="17">
        <v>12.762</v>
      </c>
      <c r="N108" s="17">
        <v>18.704000000000001</v>
      </c>
      <c r="O108" s="17">
        <v>23.850999999999999</v>
      </c>
      <c r="P108" s="17">
        <v>26.236999999999998</v>
      </c>
      <c r="Q108" s="17">
        <v>29.38</v>
      </c>
      <c r="R108" s="17">
        <v>34.621000000000002</v>
      </c>
      <c r="S108" s="15">
        <f t="shared" ref="S108:T111" si="149">R108</f>
        <v>34.621000000000002</v>
      </c>
      <c r="T108" s="15">
        <f t="shared" si="149"/>
        <v>34.621000000000002</v>
      </c>
      <c r="U108" s="15">
        <f t="shared" ref="U108:AP109" si="150">T108</f>
        <v>34.621000000000002</v>
      </c>
      <c r="V108" s="15">
        <f t="shared" si="150"/>
        <v>34.621000000000002</v>
      </c>
      <c r="W108" s="15">
        <f t="shared" si="150"/>
        <v>34.621000000000002</v>
      </c>
      <c r="X108" s="15">
        <f t="shared" si="150"/>
        <v>34.621000000000002</v>
      </c>
      <c r="Y108" s="15">
        <f t="shared" si="150"/>
        <v>34.621000000000002</v>
      </c>
      <c r="Z108" s="15">
        <f t="shared" si="150"/>
        <v>34.621000000000002</v>
      </c>
      <c r="AA108" s="15">
        <f t="shared" si="150"/>
        <v>34.621000000000002</v>
      </c>
      <c r="AB108" s="15">
        <f t="shared" si="150"/>
        <v>34.621000000000002</v>
      </c>
      <c r="AC108" s="15">
        <f t="shared" si="150"/>
        <v>34.621000000000002</v>
      </c>
      <c r="AD108" s="15">
        <f t="shared" si="150"/>
        <v>34.621000000000002</v>
      </c>
      <c r="AE108" s="15">
        <f t="shared" si="150"/>
        <v>34.621000000000002</v>
      </c>
      <c r="AF108" s="15">
        <f t="shared" si="150"/>
        <v>34.621000000000002</v>
      </c>
      <c r="AG108" s="15">
        <f t="shared" si="150"/>
        <v>34.621000000000002</v>
      </c>
      <c r="AH108" s="15">
        <f t="shared" si="150"/>
        <v>34.621000000000002</v>
      </c>
      <c r="AI108" s="15">
        <f t="shared" si="150"/>
        <v>34.621000000000002</v>
      </c>
      <c r="AJ108" s="15">
        <f t="shared" si="150"/>
        <v>34.621000000000002</v>
      </c>
      <c r="AK108" s="15">
        <f t="shared" si="150"/>
        <v>34.621000000000002</v>
      </c>
      <c r="AL108" s="15">
        <f t="shared" si="150"/>
        <v>34.621000000000002</v>
      </c>
      <c r="AM108" s="15">
        <f t="shared" si="150"/>
        <v>34.621000000000002</v>
      </c>
      <c r="AN108" s="15">
        <f t="shared" si="150"/>
        <v>34.621000000000002</v>
      </c>
      <c r="AO108" s="15">
        <f t="shared" si="150"/>
        <v>34.621000000000002</v>
      </c>
      <c r="AP108" s="15">
        <f t="shared" si="150"/>
        <v>34.621000000000002</v>
      </c>
      <c r="AR108" s="10">
        <f>F108</f>
        <v>19.218</v>
      </c>
      <c r="AS108" s="10">
        <f>J108</f>
        <v>9.907</v>
      </c>
      <c r="AT108" s="10">
        <f>N108</f>
        <v>18.704000000000001</v>
      </c>
      <c r="AU108" s="10">
        <f>R108</f>
        <v>34.621000000000002</v>
      </c>
      <c r="AV108" s="10">
        <f>V108</f>
        <v>34.621000000000002</v>
      </c>
      <c r="AW108" s="10">
        <f>Z108</f>
        <v>34.621000000000002</v>
      </c>
      <c r="AX108" s="10">
        <f>AD108</f>
        <v>34.621000000000002</v>
      </c>
      <c r="AY108" s="10">
        <f>AH108</f>
        <v>34.621000000000002</v>
      </c>
      <c r="AZ108" s="10">
        <f>AL108</f>
        <v>34.621000000000002</v>
      </c>
      <c r="BA108" s="10">
        <f>AP108</f>
        <v>34.621000000000002</v>
      </c>
      <c r="BC108" s="15">
        <v>34.621000000000002</v>
      </c>
      <c r="BD108" s="15"/>
    </row>
    <row r="109" spans="1:57" x14ac:dyDescent="0.25">
      <c r="B109" s="22" t="s">
        <v>24</v>
      </c>
      <c r="C109" s="17">
        <v>3.024</v>
      </c>
      <c r="D109" s="17">
        <v>3.5859999999999999</v>
      </c>
      <c r="E109" s="17">
        <v>3.9540000000000002</v>
      </c>
      <c r="F109" s="17">
        <v>4.6500000000000004</v>
      </c>
      <c r="G109" s="17">
        <v>5.4379999999999997</v>
      </c>
      <c r="H109" s="17">
        <v>5.3170000000000002</v>
      </c>
      <c r="I109" s="17">
        <v>4.9080000000000004</v>
      </c>
      <c r="J109" s="17">
        <v>3.827</v>
      </c>
      <c r="K109" s="17">
        <v>4.08</v>
      </c>
      <c r="L109" s="17">
        <v>7.0659999999999998</v>
      </c>
      <c r="M109" s="17">
        <v>8.3089999999999993</v>
      </c>
      <c r="N109" s="17">
        <v>9.9990000000000006</v>
      </c>
      <c r="O109" s="17">
        <v>12.365</v>
      </c>
      <c r="P109" s="17">
        <v>14.132</v>
      </c>
      <c r="Q109" s="17">
        <v>17.693000000000001</v>
      </c>
      <c r="R109" s="17">
        <v>23.065000000000001</v>
      </c>
      <c r="S109" s="15">
        <f t="shared" si="149"/>
        <v>23.065000000000001</v>
      </c>
      <c r="T109" s="15">
        <f t="shared" si="149"/>
        <v>23.065000000000001</v>
      </c>
      <c r="U109" s="15">
        <f t="shared" si="150"/>
        <v>23.065000000000001</v>
      </c>
      <c r="V109" s="15">
        <f t="shared" si="150"/>
        <v>23.065000000000001</v>
      </c>
      <c r="W109" s="15">
        <f t="shared" si="150"/>
        <v>23.065000000000001</v>
      </c>
      <c r="X109" s="15">
        <f t="shared" si="150"/>
        <v>23.065000000000001</v>
      </c>
      <c r="Y109" s="15">
        <f t="shared" si="150"/>
        <v>23.065000000000001</v>
      </c>
      <c r="Z109" s="15">
        <f t="shared" si="150"/>
        <v>23.065000000000001</v>
      </c>
      <c r="AA109" s="15">
        <f t="shared" si="150"/>
        <v>23.065000000000001</v>
      </c>
      <c r="AB109" s="15">
        <f t="shared" si="150"/>
        <v>23.065000000000001</v>
      </c>
      <c r="AC109" s="15">
        <f t="shared" si="150"/>
        <v>23.065000000000001</v>
      </c>
      <c r="AD109" s="15">
        <f t="shared" si="150"/>
        <v>23.065000000000001</v>
      </c>
      <c r="AE109" s="15">
        <f t="shared" si="150"/>
        <v>23.065000000000001</v>
      </c>
      <c r="AF109" s="15">
        <f t="shared" si="150"/>
        <v>23.065000000000001</v>
      </c>
      <c r="AG109" s="15">
        <f t="shared" si="150"/>
        <v>23.065000000000001</v>
      </c>
      <c r="AH109" s="15">
        <f t="shared" si="150"/>
        <v>23.065000000000001</v>
      </c>
      <c r="AI109" s="15">
        <f t="shared" si="150"/>
        <v>23.065000000000001</v>
      </c>
      <c r="AJ109" s="15">
        <f t="shared" si="150"/>
        <v>23.065000000000001</v>
      </c>
      <c r="AK109" s="15">
        <f t="shared" si="150"/>
        <v>23.065000000000001</v>
      </c>
      <c r="AL109" s="15">
        <f t="shared" si="150"/>
        <v>23.065000000000001</v>
      </c>
      <c r="AM109" s="15">
        <f t="shared" si="150"/>
        <v>23.065000000000001</v>
      </c>
      <c r="AN109" s="15">
        <f t="shared" si="150"/>
        <v>23.065000000000001</v>
      </c>
      <c r="AO109" s="15">
        <f t="shared" si="150"/>
        <v>23.065000000000001</v>
      </c>
      <c r="AP109" s="15">
        <f t="shared" si="150"/>
        <v>23.065000000000001</v>
      </c>
      <c r="AR109" s="10">
        <f>F109</f>
        <v>4.6500000000000004</v>
      </c>
      <c r="AS109" s="10">
        <f>J109</f>
        <v>3.827</v>
      </c>
      <c r="AT109" s="10">
        <f>N109</f>
        <v>9.9990000000000006</v>
      </c>
      <c r="AU109" s="10">
        <f>R109</f>
        <v>23.065000000000001</v>
      </c>
      <c r="AV109" s="10">
        <f>V109</f>
        <v>23.065000000000001</v>
      </c>
      <c r="AW109" s="10">
        <f>Z109</f>
        <v>23.065000000000001</v>
      </c>
      <c r="AX109" s="10">
        <f>AD109</f>
        <v>23.065000000000001</v>
      </c>
      <c r="AY109" s="10">
        <f>AH109</f>
        <v>23.065000000000001</v>
      </c>
      <c r="AZ109" s="10">
        <f>AL109</f>
        <v>23.065000000000001</v>
      </c>
      <c r="BA109" s="10">
        <f>AP109</f>
        <v>23.065000000000001</v>
      </c>
      <c r="BC109" s="15">
        <v>23.065000000000001</v>
      </c>
      <c r="BD109" s="15"/>
    </row>
    <row r="110" spans="1:57" x14ac:dyDescent="0.25">
      <c r="B110" s="22" t="s">
        <v>103</v>
      </c>
      <c r="C110" s="17">
        <v>1.992</v>
      </c>
      <c r="D110" s="17">
        <v>2.1139999999999999</v>
      </c>
      <c r="E110" s="17">
        <v>2.2330000000000001</v>
      </c>
      <c r="F110" s="17">
        <v>2.605</v>
      </c>
      <c r="G110" s="17">
        <v>3.1629999999999998</v>
      </c>
      <c r="H110" s="17">
        <v>3.8889999999999998</v>
      </c>
      <c r="I110" s="17">
        <v>4.4539999999999997</v>
      </c>
      <c r="J110" s="17">
        <v>5.1589999999999998</v>
      </c>
      <c r="K110" s="17">
        <v>4.6109999999999998</v>
      </c>
      <c r="L110" s="17">
        <v>4.319</v>
      </c>
      <c r="M110" s="17">
        <v>4.7789999999999999</v>
      </c>
      <c r="N110" s="17">
        <v>5.282</v>
      </c>
      <c r="O110" s="17">
        <v>5.8639999999999999</v>
      </c>
      <c r="P110" s="17">
        <v>6.6749999999999998</v>
      </c>
      <c r="Q110" s="17">
        <v>7.6539999999999999</v>
      </c>
      <c r="R110" s="17">
        <v>10.08</v>
      </c>
      <c r="S110" s="15">
        <f t="shared" si="149"/>
        <v>10.08</v>
      </c>
      <c r="T110" s="15">
        <f t="shared" si="149"/>
        <v>10.08</v>
      </c>
      <c r="U110" s="15">
        <f t="shared" ref="U110:AP110" si="151">T110</f>
        <v>10.08</v>
      </c>
      <c r="V110" s="15">
        <f t="shared" si="151"/>
        <v>10.08</v>
      </c>
      <c r="W110" s="15">
        <f t="shared" si="151"/>
        <v>10.08</v>
      </c>
      <c r="X110" s="15">
        <f t="shared" si="151"/>
        <v>10.08</v>
      </c>
      <c r="Y110" s="15">
        <f t="shared" si="151"/>
        <v>10.08</v>
      </c>
      <c r="Z110" s="15">
        <f t="shared" si="151"/>
        <v>10.08</v>
      </c>
      <c r="AA110" s="15">
        <f t="shared" si="151"/>
        <v>10.08</v>
      </c>
      <c r="AB110" s="15">
        <f t="shared" si="151"/>
        <v>10.08</v>
      </c>
      <c r="AC110" s="15">
        <f t="shared" si="151"/>
        <v>10.08</v>
      </c>
      <c r="AD110" s="15">
        <f t="shared" si="151"/>
        <v>10.08</v>
      </c>
      <c r="AE110" s="15">
        <f t="shared" si="151"/>
        <v>10.08</v>
      </c>
      <c r="AF110" s="15">
        <f t="shared" si="151"/>
        <v>10.08</v>
      </c>
      <c r="AG110" s="15">
        <f t="shared" si="151"/>
        <v>10.08</v>
      </c>
      <c r="AH110" s="15">
        <f t="shared" si="151"/>
        <v>10.08</v>
      </c>
      <c r="AI110" s="15">
        <f t="shared" si="151"/>
        <v>10.08</v>
      </c>
      <c r="AJ110" s="15">
        <f t="shared" si="151"/>
        <v>10.08</v>
      </c>
      <c r="AK110" s="15">
        <f t="shared" si="151"/>
        <v>10.08</v>
      </c>
      <c r="AL110" s="15">
        <f t="shared" si="151"/>
        <v>10.08</v>
      </c>
      <c r="AM110" s="15">
        <f t="shared" si="151"/>
        <v>10.08</v>
      </c>
      <c r="AN110" s="15">
        <f t="shared" si="151"/>
        <v>10.08</v>
      </c>
      <c r="AO110" s="15">
        <f t="shared" si="151"/>
        <v>10.08</v>
      </c>
      <c r="AP110" s="15">
        <f t="shared" si="151"/>
        <v>10.08</v>
      </c>
      <c r="AR110" s="10">
        <f>F110</f>
        <v>2.605</v>
      </c>
      <c r="AS110" s="10">
        <f>J110</f>
        <v>5.1589999999999998</v>
      </c>
      <c r="AT110" s="10">
        <f>N110</f>
        <v>5.282</v>
      </c>
      <c r="AU110" s="10">
        <f>R110</f>
        <v>10.08</v>
      </c>
      <c r="AV110" s="10">
        <f>V110</f>
        <v>10.08</v>
      </c>
      <c r="AW110" s="10">
        <f>Z110</f>
        <v>10.08</v>
      </c>
      <c r="AX110" s="10">
        <f>AD110</f>
        <v>10.08</v>
      </c>
      <c r="AY110" s="10">
        <f>AH110</f>
        <v>10.08</v>
      </c>
      <c r="AZ110" s="10">
        <f>AL110</f>
        <v>10.08</v>
      </c>
      <c r="BA110" s="10">
        <f>AP110</f>
        <v>10.08</v>
      </c>
      <c r="BC110" s="15">
        <v>10.08</v>
      </c>
      <c r="BD110" s="15"/>
    </row>
    <row r="111" spans="1:57" x14ac:dyDescent="0.25">
      <c r="B111" s="22" t="s">
        <v>25</v>
      </c>
      <c r="C111" s="34">
        <v>0.44400000000000001</v>
      </c>
      <c r="D111" s="34">
        <v>0.45200000000000001</v>
      </c>
      <c r="E111" s="34">
        <v>0.32100000000000001</v>
      </c>
      <c r="F111" s="34">
        <v>0.36599999999999999</v>
      </c>
      <c r="G111" s="34">
        <v>0.63600000000000001</v>
      </c>
      <c r="H111" s="34">
        <v>1.175</v>
      </c>
      <c r="I111" s="34">
        <v>0.71799999999999997</v>
      </c>
      <c r="J111" s="34">
        <v>0.79100000000000004</v>
      </c>
      <c r="K111" s="34">
        <v>0.872</v>
      </c>
      <c r="L111" s="17">
        <v>1.389</v>
      </c>
      <c r="M111" s="34">
        <v>1.2889999999999999</v>
      </c>
      <c r="N111" s="17">
        <v>3.08</v>
      </c>
      <c r="O111" s="34">
        <v>4.0620000000000003</v>
      </c>
      <c r="P111" s="34">
        <v>4.0259999999999998</v>
      </c>
      <c r="Q111" s="34">
        <v>3.806</v>
      </c>
      <c r="R111" s="34">
        <v>3.7709999999999999</v>
      </c>
      <c r="S111" s="25">
        <f t="shared" si="149"/>
        <v>3.7709999999999999</v>
      </c>
      <c r="T111" s="25">
        <f t="shared" si="149"/>
        <v>3.7709999999999999</v>
      </c>
      <c r="U111" s="25">
        <f t="shared" ref="U111:AP111" si="152">T111</f>
        <v>3.7709999999999999</v>
      </c>
      <c r="V111" s="25">
        <f t="shared" si="152"/>
        <v>3.7709999999999999</v>
      </c>
      <c r="W111" s="25">
        <f t="shared" si="152"/>
        <v>3.7709999999999999</v>
      </c>
      <c r="X111" s="25">
        <f t="shared" si="152"/>
        <v>3.7709999999999999</v>
      </c>
      <c r="Y111" s="25">
        <f t="shared" si="152"/>
        <v>3.7709999999999999</v>
      </c>
      <c r="Z111" s="25">
        <f t="shared" si="152"/>
        <v>3.7709999999999999</v>
      </c>
      <c r="AA111" s="25">
        <f t="shared" si="152"/>
        <v>3.7709999999999999</v>
      </c>
      <c r="AB111" s="25">
        <f t="shared" si="152"/>
        <v>3.7709999999999999</v>
      </c>
      <c r="AC111" s="25">
        <f t="shared" si="152"/>
        <v>3.7709999999999999</v>
      </c>
      <c r="AD111" s="25">
        <f t="shared" si="152"/>
        <v>3.7709999999999999</v>
      </c>
      <c r="AE111" s="25">
        <f t="shared" si="152"/>
        <v>3.7709999999999999</v>
      </c>
      <c r="AF111" s="25">
        <f t="shared" si="152"/>
        <v>3.7709999999999999</v>
      </c>
      <c r="AG111" s="25">
        <f t="shared" si="152"/>
        <v>3.7709999999999999</v>
      </c>
      <c r="AH111" s="25">
        <f t="shared" si="152"/>
        <v>3.7709999999999999</v>
      </c>
      <c r="AI111" s="25">
        <f t="shared" si="152"/>
        <v>3.7709999999999999</v>
      </c>
      <c r="AJ111" s="25">
        <f t="shared" si="152"/>
        <v>3.7709999999999999</v>
      </c>
      <c r="AK111" s="25">
        <f t="shared" si="152"/>
        <v>3.7709999999999999</v>
      </c>
      <c r="AL111" s="25">
        <f t="shared" si="152"/>
        <v>3.7709999999999999</v>
      </c>
      <c r="AM111" s="25">
        <f t="shared" si="152"/>
        <v>3.7709999999999999</v>
      </c>
      <c r="AN111" s="25">
        <f t="shared" si="152"/>
        <v>3.7709999999999999</v>
      </c>
      <c r="AO111" s="25">
        <f t="shared" si="152"/>
        <v>3.7709999999999999</v>
      </c>
      <c r="AP111" s="25">
        <f t="shared" si="152"/>
        <v>3.7709999999999999</v>
      </c>
      <c r="AR111" s="37">
        <f>F111</f>
        <v>0.36599999999999999</v>
      </c>
      <c r="AS111" s="37">
        <f>J111</f>
        <v>0.79100000000000004</v>
      </c>
      <c r="AT111" s="37">
        <f>N111</f>
        <v>3.08</v>
      </c>
      <c r="AU111" s="37">
        <f>R111</f>
        <v>3.7709999999999999</v>
      </c>
      <c r="AV111" s="37">
        <f>V111</f>
        <v>3.7709999999999999</v>
      </c>
      <c r="AW111" s="37">
        <f>Z111</f>
        <v>3.7709999999999999</v>
      </c>
      <c r="AX111" s="37">
        <f>AD111</f>
        <v>3.7709999999999999</v>
      </c>
      <c r="AY111" s="37">
        <f>AH111</f>
        <v>3.7709999999999999</v>
      </c>
      <c r="AZ111" s="37">
        <f>AL111</f>
        <v>3.7709999999999999</v>
      </c>
      <c r="BA111" s="37">
        <f>AP111</f>
        <v>3.7709999999999999</v>
      </c>
      <c r="BC111" s="25">
        <v>3.7709999999999999</v>
      </c>
      <c r="BD111" s="25"/>
    </row>
    <row r="112" spans="1:57" x14ac:dyDescent="0.25">
      <c r="B112" s="23" t="s">
        <v>38</v>
      </c>
      <c r="C112" s="15">
        <f t="shared" ref="C112:AR112" si="153">SUM(C107:C111)</f>
        <v>18.126999999999999</v>
      </c>
      <c r="D112" s="15">
        <f t="shared" si="153"/>
        <v>25.806000000000001</v>
      </c>
      <c r="E112" s="15">
        <f t="shared" si="153"/>
        <v>25.806000000000004</v>
      </c>
      <c r="F112" s="15">
        <f t="shared" si="153"/>
        <v>28.828999999999997</v>
      </c>
      <c r="G112" s="15">
        <f t="shared" si="153"/>
        <v>29.574999999999999</v>
      </c>
      <c r="H112" s="15">
        <f t="shared" si="153"/>
        <v>27.417999999999999</v>
      </c>
      <c r="I112" s="15">
        <f t="shared" si="153"/>
        <v>23.223000000000003</v>
      </c>
      <c r="J112" s="15">
        <f t="shared" si="153"/>
        <v>23.072999999999997</v>
      </c>
      <c r="K112" s="15">
        <f t="shared" si="153"/>
        <v>24.882999999999999</v>
      </c>
      <c r="L112" s="15">
        <f t="shared" si="153"/>
        <v>28.796999999999997</v>
      </c>
      <c r="M112" s="15">
        <f t="shared" si="153"/>
        <v>32.657999999999994</v>
      </c>
      <c r="N112" s="15">
        <f t="shared" si="153"/>
        <v>44.344999999999999</v>
      </c>
      <c r="O112" s="15">
        <f t="shared" si="153"/>
        <v>53.728999999999992</v>
      </c>
      <c r="P112" s="15">
        <f t="shared" si="153"/>
        <v>59.632999999999996</v>
      </c>
      <c r="Q112" s="15">
        <f t="shared" si="153"/>
        <v>67.639999999999986</v>
      </c>
      <c r="R112" s="15">
        <f t="shared" si="153"/>
        <v>80.126000000000005</v>
      </c>
      <c r="S112" s="15">
        <f t="shared" si="153"/>
        <v>90.911000000000001</v>
      </c>
      <c r="T112" s="15">
        <f t="shared" si="153"/>
        <v>102.44366015286901</v>
      </c>
      <c r="U112" s="15">
        <f t="shared" si="153"/>
        <v>117.584282576617</v>
      </c>
      <c r="V112" s="15">
        <f t="shared" si="153"/>
        <v>135.12556220022492</v>
      </c>
      <c r="W112" s="15">
        <f t="shared" si="153"/>
        <v>153.96983883654443</v>
      </c>
      <c r="X112" s="15">
        <f t="shared" si="153"/>
        <v>176.9159402350956</v>
      </c>
      <c r="Y112" s="15">
        <f t="shared" si="153"/>
        <v>203.15031103057385</v>
      </c>
      <c r="Z112" s="15">
        <f t="shared" si="153"/>
        <v>231.89568056789057</v>
      </c>
      <c r="AA112" s="15">
        <f t="shared" si="153"/>
        <v>260.64476606193682</v>
      </c>
      <c r="AB112" s="15">
        <f t="shared" si="153"/>
        <v>295.58844811611982</v>
      </c>
      <c r="AC112" s="15">
        <f t="shared" si="153"/>
        <v>335.06352467365997</v>
      </c>
      <c r="AD112" s="15">
        <f t="shared" si="153"/>
        <v>378.17393126603037</v>
      </c>
      <c r="AE112" s="15">
        <f t="shared" si="153"/>
        <v>419.2142521949151</v>
      </c>
      <c r="AF112" s="15">
        <f t="shared" si="153"/>
        <v>468.77844416507526</v>
      </c>
      <c r="AG112" s="15">
        <f t="shared" si="153"/>
        <v>524.38723454032402</v>
      </c>
      <c r="AH112" s="15">
        <f t="shared" si="153"/>
        <v>585.02465169048548</v>
      </c>
      <c r="AI112" s="15">
        <f t="shared" si="153"/>
        <v>642.84015499246925</v>
      </c>
      <c r="AJ112" s="15">
        <f t="shared" si="153"/>
        <v>712.04207275595536</v>
      </c>
      <c r="AK112" s="15">
        <f t="shared" si="153"/>
        <v>789.31884237991824</v>
      </c>
      <c r="AL112" s="15">
        <f t="shared" si="153"/>
        <v>873.52607749908623</v>
      </c>
      <c r="AM112" s="15">
        <f t="shared" si="153"/>
        <v>954.36572017226854</v>
      </c>
      <c r="AN112" s="15">
        <f t="shared" si="153"/>
        <v>1050.0446330869331</v>
      </c>
      <c r="AO112" s="15">
        <f t="shared" si="153"/>
        <v>1156.5349722275289</v>
      </c>
      <c r="AP112" s="15">
        <f t="shared" si="153"/>
        <v>1272.5303501031783</v>
      </c>
      <c r="AR112" s="15">
        <f t="shared" si="153"/>
        <v>28.828999999999997</v>
      </c>
      <c r="AS112" s="15">
        <f t="shared" ref="AS112:BA112" si="154">SUM(AS107:AS111)</f>
        <v>23.072999999999997</v>
      </c>
      <c r="AT112" s="15">
        <f t="shared" si="154"/>
        <v>44.344999999999999</v>
      </c>
      <c r="AU112" s="15">
        <f t="shared" si="154"/>
        <v>80.126000000000005</v>
      </c>
      <c r="AV112" s="15">
        <f t="shared" si="154"/>
        <v>135.12556220022492</v>
      </c>
      <c r="AW112" s="15">
        <f t="shared" si="154"/>
        <v>231.89568056789057</v>
      </c>
      <c r="AX112" s="15">
        <f t="shared" si="154"/>
        <v>378.17393126603037</v>
      </c>
      <c r="AY112" s="15">
        <f t="shared" si="154"/>
        <v>585.02465169048548</v>
      </c>
      <c r="AZ112" s="15">
        <f t="shared" si="154"/>
        <v>873.52607749908623</v>
      </c>
      <c r="BA112" s="15">
        <f t="shared" si="154"/>
        <v>1272.5303501031783</v>
      </c>
      <c r="BC112" s="15">
        <v>94.951050523825998</v>
      </c>
      <c r="BD112" s="15"/>
    </row>
    <row r="113" spans="2:56" x14ac:dyDescent="0.25">
      <c r="B113" s="23" t="s">
        <v>27</v>
      </c>
      <c r="C113" s="17">
        <v>2.2679999999999998</v>
      </c>
      <c r="D113" s="17">
        <v>2.3639999999999999</v>
      </c>
      <c r="E113" s="17">
        <v>2.5089999999999999</v>
      </c>
      <c r="F113" s="17">
        <v>2.778</v>
      </c>
      <c r="G113" s="17">
        <v>2.9159999999999999</v>
      </c>
      <c r="H113" s="17">
        <v>3.2330000000000001</v>
      </c>
      <c r="I113" s="17">
        <v>3.774</v>
      </c>
      <c r="J113" s="17">
        <v>3.8069999999999999</v>
      </c>
      <c r="K113" s="17">
        <v>3.74</v>
      </c>
      <c r="L113" s="17">
        <v>3.7989999999999999</v>
      </c>
      <c r="M113" s="17">
        <v>3.8439999999999999</v>
      </c>
      <c r="N113" s="17">
        <v>3.9140000000000001</v>
      </c>
      <c r="O113" s="17">
        <v>4.0060000000000002</v>
      </c>
      <c r="P113" s="17">
        <v>4.8849999999999998</v>
      </c>
      <c r="Q113" s="17">
        <v>5.343</v>
      </c>
      <c r="R113" s="17">
        <v>6.2830000000000004</v>
      </c>
      <c r="S113" s="15">
        <f t="shared" ref="S113:AP113" si="155">R113-S169</f>
        <v>6.2830000000000004</v>
      </c>
      <c r="T113" s="15">
        <f t="shared" si="155"/>
        <v>6.2830000000000004</v>
      </c>
      <c r="U113" s="15">
        <f t="shared" si="155"/>
        <v>6.2830000000000004</v>
      </c>
      <c r="V113" s="15">
        <f t="shared" si="155"/>
        <v>6.2830000000000004</v>
      </c>
      <c r="W113" s="15">
        <f t="shared" si="155"/>
        <v>6.2830000000000004</v>
      </c>
      <c r="X113" s="15">
        <f t="shared" si="155"/>
        <v>6.2830000000000004</v>
      </c>
      <c r="Y113" s="15">
        <f t="shared" si="155"/>
        <v>6.2830000000000004</v>
      </c>
      <c r="Z113" s="15">
        <f t="shared" si="155"/>
        <v>6.2830000000000004</v>
      </c>
      <c r="AA113" s="15">
        <f t="shared" si="155"/>
        <v>6.2830000000000004</v>
      </c>
      <c r="AB113" s="15">
        <f t="shared" si="155"/>
        <v>6.2830000000000004</v>
      </c>
      <c r="AC113" s="15">
        <f t="shared" si="155"/>
        <v>6.2830000000000004</v>
      </c>
      <c r="AD113" s="15">
        <f t="shared" si="155"/>
        <v>6.2830000000000004</v>
      </c>
      <c r="AE113" s="15">
        <f t="shared" si="155"/>
        <v>6.2830000000000004</v>
      </c>
      <c r="AF113" s="15">
        <f t="shared" si="155"/>
        <v>6.2830000000000004</v>
      </c>
      <c r="AG113" s="15">
        <f t="shared" si="155"/>
        <v>6.2830000000000004</v>
      </c>
      <c r="AH113" s="15">
        <f t="shared" si="155"/>
        <v>6.2830000000000004</v>
      </c>
      <c r="AI113" s="15">
        <f t="shared" si="155"/>
        <v>6.2830000000000004</v>
      </c>
      <c r="AJ113" s="15">
        <f t="shared" si="155"/>
        <v>6.2830000000000004</v>
      </c>
      <c r="AK113" s="15">
        <f t="shared" si="155"/>
        <v>6.2830000000000004</v>
      </c>
      <c r="AL113" s="15">
        <f t="shared" si="155"/>
        <v>6.2830000000000004</v>
      </c>
      <c r="AM113" s="15">
        <f t="shared" si="155"/>
        <v>6.2830000000000004</v>
      </c>
      <c r="AN113" s="15">
        <f t="shared" si="155"/>
        <v>6.2830000000000004</v>
      </c>
      <c r="AO113" s="15">
        <f t="shared" si="155"/>
        <v>6.2830000000000004</v>
      </c>
      <c r="AP113" s="15">
        <f t="shared" si="155"/>
        <v>6.2830000000000004</v>
      </c>
      <c r="AR113" s="10">
        <f t="shared" ref="AR113:AR118" si="156">F113</f>
        <v>2.778</v>
      </c>
      <c r="AS113" s="10">
        <f t="shared" ref="AS113:AS118" si="157">J113</f>
        <v>3.8069999999999999</v>
      </c>
      <c r="AT113" s="10">
        <f t="shared" ref="AT113:AT118" si="158">N113</f>
        <v>3.9140000000000001</v>
      </c>
      <c r="AU113" s="10">
        <f t="shared" ref="AU113:AU118" si="159">R113</f>
        <v>6.2830000000000004</v>
      </c>
      <c r="AV113" s="10">
        <f t="shared" ref="AV113:AV118" si="160">V113</f>
        <v>6.2830000000000004</v>
      </c>
      <c r="AW113" s="10">
        <f t="shared" ref="AW113:AW118" si="161">Z113</f>
        <v>6.2830000000000004</v>
      </c>
      <c r="AX113" s="10">
        <f t="shared" ref="AX113:AX118" si="162">AD113</f>
        <v>6.2830000000000004</v>
      </c>
      <c r="AY113" s="10">
        <f t="shared" ref="AY113:AY118" si="163">AH113</f>
        <v>6.2830000000000004</v>
      </c>
      <c r="AZ113" s="10">
        <f t="shared" ref="AZ113:AZ118" si="164">AL113</f>
        <v>6.2830000000000004</v>
      </c>
      <c r="BA113" s="10">
        <f t="shared" ref="BA113:BA118" si="165">AP113</f>
        <v>6.2830000000000004</v>
      </c>
      <c r="BC113" s="15">
        <v>6.2830000000000004</v>
      </c>
      <c r="BD113" s="15"/>
    </row>
    <row r="114" spans="2:56" x14ac:dyDescent="0.25">
      <c r="B114" s="23" t="s">
        <v>104</v>
      </c>
      <c r="C114" s="17">
        <v>0.72699999999999998</v>
      </c>
      <c r="D114" s="17">
        <v>0.80100000000000005</v>
      </c>
      <c r="E114" s="17">
        <v>0.83</v>
      </c>
      <c r="F114" s="17">
        <v>0.82899999999999996</v>
      </c>
      <c r="G114" s="17">
        <v>0.85599999999999998</v>
      </c>
      <c r="H114" s="17">
        <v>0.85199999999999998</v>
      </c>
      <c r="I114" s="17">
        <v>0.92700000000000005</v>
      </c>
      <c r="J114" s="17">
        <v>1.038</v>
      </c>
      <c r="K114" s="17">
        <v>1.0940000000000001</v>
      </c>
      <c r="L114" s="17">
        <v>1.2350000000000001</v>
      </c>
      <c r="M114" s="17">
        <v>1.3160000000000001</v>
      </c>
      <c r="N114" s="17">
        <v>1.3460000000000001</v>
      </c>
      <c r="O114" s="17">
        <v>1.532</v>
      </c>
      <c r="P114" s="17">
        <v>1.556</v>
      </c>
      <c r="Q114" s="17">
        <v>1.7549999999999999</v>
      </c>
      <c r="R114" s="17">
        <v>1.7929999999999999</v>
      </c>
      <c r="S114" s="15">
        <f t="shared" ref="S114:AP114" si="166">R114-S170</f>
        <v>1.7929999999999999</v>
      </c>
      <c r="T114" s="15">
        <f t="shared" si="166"/>
        <v>1.7929999999999999</v>
      </c>
      <c r="U114" s="15">
        <f t="shared" si="166"/>
        <v>1.7929999999999999</v>
      </c>
      <c r="V114" s="15">
        <f t="shared" si="166"/>
        <v>1.7929999999999999</v>
      </c>
      <c r="W114" s="15">
        <f t="shared" si="166"/>
        <v>1.7929999999999999</v>
      </c>
      <c r="X114" s="15">
        <f t="shared" si="166"/>
        <v>1.7929999999999999</v>
      </c>
      <c r="Y114" s="15">
        <f t="shared" si="166"/>
        <v>1.7929999999999999</v>
      </c>
      <c r="Z114" s="15">
        <f t="shared" si="166"/>
        <v>1.7929999999999999</v>
      </c>
      <c r="AA114" s="15">
        <f t="shared" si="166"/>
        <v>1.7929999999999999</v>
      </c>
      <c r="AB114" s="15">
        <f t="shared" si="166"/>
        <v>1.7929999999999999</v>
      </c>
      <c r="AC114" s="15">
        <f t="shared" si="166"/>
        <v>1.7929999999999999</v>
      </c>
      <c r="AD114" s="15">
        <f t="shared" si="166"/>
        <v>1.7929999999999999</v>
      </c>
      <c r="AE114" s="15">
        <f t="shared" si="166"/>
        <v>1.7929999999999999</v>
      </c>
      <c r="AF114" s="15">
        <f t="shared" si="166"/>
        <v>1.7929999999999999</v>
      </c>
      <c r="AG114" s="15">
        <f t="shared" si="166"/>
        <v>1.7929999999999999</v>
      </c>
      <c r="AH114" s="15">
        <f t="shared" si="166"/>
        <v>1.7929999999999999</v>
      </c>
      <c r="AI114" s="15">
        <f t="shared" si="166"/>
        <v>1.7929999999999999</v>
      </c>
      <c r="AJ114" s="15">
        <f t="shared" si="166"/>
        <v>1.7929999999999999</v>
      </c>
      <c r="AK114" s="15">
        <f t="shared" si="166"/>
        <v>1.7929999999999999</v>
      </c>
      <c r="AL114" s="15">
        <f t="shared" si="166"/>
        <v>1.7929999999999999</v>
      </c>
      <c r="AM114" s="15">
        <f t="shared" si="166"/>
        <v>1.7929999999999999</v>
      </c>
      <c r="AN114" s="15">
        <f t="shared" si="166"/>
        <v>1.7929999999999999</v>
      </c>
      <c r="AO114" s="15">
        <f t="shared" si="166"/>
        <v>1.7929999999999999</v>
      </c>
      <c r="AP114" s="15">
        <f t="shared" si="166"/>
        <v>1.7929999999999999</v>
      </c>
      <c r="AR114" s="10">
        <f t="shared" si="156"/>
        <v>0.82899999999999996</v>
      </c>
      <c r="AS114" s="10">
        <f t="shared" si="157"/>
        <v>1.038</v>
      </c>
      <c r="AT114" s="10">
        <f t="shared" si="158"/>
        <v>1.3460000000000001</v>
      </c>
      <c r="AU114" s="10">
        <f t="shared" si="159"/>
        <v>1.7929999999999999</v>
      </c>
      <c r="AV114" s="10">
        <f t="shared" si="160"/>
        <v>1.7929999999999999</v>
      </c>
      <c r="AW114" s="10">
        <f t="shared" si="161"/>
        <v>1.7929999999999999</v>
      </c>
      <c r="AX114" s="10">
        <f t="shared" si="162"/>
        <v>1.7929999999999999</v>
      </c>
      <c r="AY114" s="10">
        <f t="shared" si="163"/>
        <v>1.7929999999999999</v>
      </c>
      <c r="AZ114" s="10">
        <f t="shared" si="164"/>
        <v>1.7929999999999999</v>
      </c>
      <c r="BA114" s="10">
        <f t="shared" si="165"/>
        <v>1.7929999999999999</v>
      </c>
      <c r="BC114" s="15">
        <v>1.7929999999999999</v>
      </c>
      <c r="BD114" s="15"/>
    </row>
    <row r="115" spans="2:56" x14ac:dyDescent="0.25">
      <c r="B115" s="23" t="s">
        <v>28</v>
      </c>
      <c r="C115" s="17">
        <v>4.1929999999999996</v>
      </c>
      <c r="D115" s="17">
        <v>4.1929999999999996</v>
      </c>
      <c r="E115" s="17">
        <v>4.3019999999999996</v>
      </c>
      <c r="F115" s="17">
        <v>4.3490000000000002</v>
      </c>
      <c r="G115" s="17">
        <v>4.3650000000000002</v>
      </c>
      <c r="H115" s="17">
        <v>4.3719999999999999</v>
      </c>
      <c r="I115" s="17">
        <v>4.3719999999999999</v>
      </c>
      <c r="J115" s="17">
        <v>4.3719999999999999</v>
      </c>
      <c r="K115" s="17">
        <v>4.43</v>
      </c>
      <c r="L115" s="17">
        <v>4.43</v>
      </c>
      <c r="M115" s="17">
        <v>4.43</v>
      </c>
      <c r="N115" s="17">
        <v>4.43</v>
      </c>
      <c r="O115" s="17">
        <v>4.4530000000000003</v>
      </c>
      <c r="P115" s="17">
        <v>4.6219999999999999</v>
      </c>
      <c r="Q115" s="17">
        <v>4.7240000000000002</v>
      </c>
      <c r="R115" s="17">
        <v>5.1879999999999997</v>
      </c>
      <c r="S115" s="15">
        <f t="shared" ref="S115:T118" si="167">R115</f>
        <v>5.1879999999999997</v>
      </c>
      <c r="T115" s="15">
        <f t="shared" si="167"/>
        <v>5.1879999999999997</v>
      </c>
      <c r="U115" s="15">
        <f t="shared" ref="U115:AP115" si="168">T115</f>
        <v>5.1879999999999997</v>
      </c>
      <c r="V115" s="15">
        <f t="shared" si="168"/>
        <v>5.1879999999999997</v>
      </c>
      <c r="W115" s="15">
        <f t="shared" si="168"/>
        <v>5.1879999999999997</v>
      </c>
      <c r="X115" s="15">
        <f t="shared" si="168"/>
        <v>5.1879999999999997</v>
      </c>
      <c r="Y115" s="15">
        <f t="shared" si="168"/>
        <v>5.1879999999999997</v>
      </c>
      <c r="Z115" s="15">
        <f t="shared" si="168"/>
        <v>5.1879999999999997</v>
      </c>
      <c r="AA115" s="15">
        <f t="shared" si="168"/>
        <v>5.1879999999999997</v>
      </c>
      <c r="AB115" s="15">
        <f t="shared" si="168"/>
        <v>5.1879999999999997</v>
      </c>
      <c r="AC115" s="15">
        <f t="shared" si="168"/>
        <v>5.1879999999999997</v>
      </c>
      <c r="AD115" s="15">
        <f t="shared" si="168"/>
        <v>5.1879999999999997</v>
      </c>
      <c r="AE115" s="15">
        <f t="shared" si="168"/>
        <v>5.1879999999999997</v>
      </c>
      <c r="AF115" s="15">
        <f t="shared" si="168"/>
        <v>5.1879999999999997</v>
      </c>
      <c r="AG115" s="15">
        <f t="shared" si="168"/>
        <v>5.1879999999999997</v>
      </c>
      <c r="AH115" s="15">
        <f t="shared" si="168"/>
        <v>5.1879999999999997</v>
      </c>
      <c r="AI115" s="15">
        <f t="shared" si="168"/>
        <v>5.1879999999999997</v>
      </c>
      <c r="AJ115" s="15">
        <f t="shared" si="168"/>
        <v>5.1879999999999997</v>
      </c>
      <c r="AK115" s="15">
        <f t="shared" si="168"/>
        <v>5.1879999999999997</v>
      </c>
      <c r="AL115" s="15">
        <f t="shared" si="168"/>
        <v>5.1879999999999997</v>
      </c>
      <c r="AM115" s="15">
        <f t="shared" si="168"/>
        <v>5.1879999999999997</v>
      </c>
      <c r="AN115" s="15">
        <f t="shared" si="168"/>
        <v>5.1879999999999997</v>
      </c>
      <c r="AO115" s="15">
        <f t="shared" si="168"/>
        <v>5.1879999999999997</v>
      </c>
      <c r="AP115" s="15">
        <f t="shared" si="168"/>
        <v>5.1879999999999997</v>
      </c>
      <c r="AR115" s="10">
        <f t="shared" si="156"/>
        <v>4.3490000000000002</v>
      </c>
      <c r="AS115" s="10">
        <f t="shared" si="157"/>
        <v>4.3719999999999999</v>
      </c>
      <c r="AT115" s="10">
        <f t="shared" si="158"/>
        <v>4.43</v>
      </c>
      <c r="AU115" s="10">
        <f t="shared" si="159"/>
        <v>5.1879999999999997</v>
      </c>
      <c r="AV115" s="10">
        <f t="shared" si="160"/>
        <v>5.1879999999999997</v>
      </c>
      <c r="AW115" s="10">
        <f t="shared" si="161"/>
        <v>5.1879999999999997</v>
      </c>
      <c r="AX115" s="10">
        <f t="shared" si="162"/>
        <v>5.1879999999999997</v>
      </c>
      <c r="AY115" s="10">
        <f t="shared" si="163"/>
        <v>5.1879999999999997</v>
      </c>
      <c r="AZ115" s="10">
        <f t="shared" si="164"/>
        <v>5.1879999999999997</v>
      </c>
      <c r="BA115" s="10">
        <f t="shared" si="165"/>
        <v>5.1879999999999997</v>
      </c>
      <c r="BC115" s="15">
        <v>5.1879999999999997</v>
      </c>
      <c r="BD115" s="15"/>
    </row>
    <row r="116" spans="2:56" x14ac:dyDescent="0.25">
      <c r="B116" s="23" t="s">
        <v>29</v>
      </c>
      <c r="C116" s="17">
        <v>2.613</v>
      </c>
      <c r="D116" s="17">
        <v>2.4780000000000002</v>
      </c>
      <c r="E116" s="17">
        <v>2.4540000000000002</v>
      </c>
      <c r="F116" s="17">
        <v>2.339</v>
      </c>
      <c r="G116" s="17">
        <v>2.2109999999999999</v>
      </c>
      <c r="H116" s="17">
        <v>2.036</v>
      </c>
      <c r="I116" s="17">
        <v>1.85</v>
      </c>
      <c r="J116" s="17">
        <v>1.6759999999999999</v>
      </c>
      <c r="K116" s="17">
        <v>1.5409999999999999</v>
      </c>
      <c r="L116" s="17">
        <v>1.395</v>
      </c>
      <c r="M116" s="17">
        <v>1.2509999999999999</v>
      </c>
      <c r="N116" s="17">
        <v>1.1120000000000001</v>
      </c>
      <c r="O116" s="17">
        <v>0.98599999999999999</v>
      </c>
      <c r="P116" s="17">
        <v>0.95199999999999996</v>
      </c>
      <c r="Q116" s="17">
        <v>0.83799999999999997</v>
      </c>
      <c r="R116" s="17">
        <v>0.80700000000000005</v>
      </c>
      <c r="S116" s="15">
        <f t="shared" si="167"/>
        <v>0.80700000000000005</v>
      </c>
      <c r="T116" s="15">
        <f t="shared" si="167"/>
        <v>0.80700000000000005</v>
      </c>
      <c r="U116" s="15">
        <f t="shared" ref="U116:AP117" si="169">T116</f>
        <v>0.80700000000000005</v>
      </c>
      <c r="V116" s="15">
        <f t="shared" si="169"/>
        <v>0.80700000000000005</v>
      </c>
      <c r="W116" s="15">
        <f t="shared" si="169"/>
        <v>0.80700000000000005</v>
      </c>
      <c r="X116" s="15">
        <f t="shared" si="169"/>
        <v>0.80700000000000005</v>
      </c>
      <c r="Y116" s="15">
        <f t="shared" si="169"/>
        <v>0.80700000000000005</v>
      </c>
      <c r="Z116" s="15">
        <f t="shared" si="169"/>
        <v>0.80700000000000005</v>
      </c>
      <c r="AA116" s="15">
        <f t="shared" si="169"/>
        <v>0.80700000000000005</v>
      </c>
      <c r="AB116" s="15">
        <f t="shared" si="169"/>
        <v>0.80700000000000005</v>
      </c>
      <c r="AC116" s="15">
        <f t="shared" si="169"/>
        <v>0.80700000000000005</v>
      </c>
      <c r="AD116" s="15">
        <f t="shared" si="169"/>
        <v>0.80700000000000005</v>
      </c>
      <c r="AE116" s="15">
        <f t="shared" si="169"/>
        <v>0.80700000000000005</v>
      </c>
      <c r="AF116" s="15">
        <f t="shared" si="169"/>
        <v>0.80700000000000005</v>
      </c>
      <c r="AG116" s="15">
        <f t="shared" si="169"/>
        <v>0.80700000000000005</v>
      </c>
      <c r="AH116" s="15">
        <f t="shared" si="169"/>
        <v>0.80700000000000005</v>
      </c>
      <c r="AI116" s="15">
        <f t="shared" si="169"/>
        <v>0.80700000000000005</v>
      </c>
      <c r="AJ116" s="15">
        <f t="shared" si="169"/>
        <v>0.80700000000000005</v>
      </c>
      <c r="AK116" s="15">
        <f t="shared" si="169"/>
        <v>0.80700000000000005</v>
      </c>
      <c r="AL116" s="15">
        <f t="shared" si="169"/>
        <v>0.80700000000000005</v>
      </c>
      <c r="AM116" s="15">
        <f t="shared" si="169"/>
        <v>0.80700000000000005</v>
      </c>
      <c r="AN116" s="15">
        <f t="shared" si="169"/>
        <v>0.80700000000000005</v>
      </c>
      <c r="AO116" s="15">
        <f t="shared" si="169"/>
        <v>0.80700000000000005</v>
      </c>
      <c r="AP116" s="15">
        <f t="shared" si="169"/>
        <v>0.80700000000000005</v>
      </c>
      <c r="AR116" s="10">
        <f t="shared" si="156"/>
        <v>2.339</v>
      </c>
      <c r="AS116" s="10">
        <f t="shared" si="157"/>
        <v>1.6759999999999999</v>
      </c>
      <c r="AT116" s="10">
        <f t="shared" si="158"/>
        <v>1.1120000000000001</v>
      </c>
      <c r="AU116" s="10">
        <f t="shared" si="159"/>
        <v>0.80700000000000005</v>
      </c>
      <c r="AV116" s="10">
        <f t="shared" si="160"/>
        <v>0.80700000000000005</v>
      </c>
      <c r="AW116" s="10">
        <f t="shared" si="161"/>
        <v>0.80700000000000005</v>
      </c>
      <c r="AX116" s="10">
        <f t="shared" si="162"/>
        <v>0.80700000000000005</v>
      </c>
      <c r="AY116" s="10">
        <f t="shared" si="163"/>
        <v>0.80700000000000005</v>
      </c>
      <c r="AZ116" s="10">
        <f t="shared" si="164"/>
        <v>0.80700000000000005</v>
      </c>
      <c r="BA116" s="10">
        <f t="shared" si="165"/>
        <v>0.80700000000000005</v>
      </c>
      <c r="BC116" s="15">
        <v>0.80700000000000005</v>
      </c>
      <c r="BD116" s="15"/>
    </row>
    <row r="117" spans="2:56" x14ac:dyDescent="0.25">
      <c r="B117" s="23" t="s">
        <v>105</v>
      </c>
      <c r="C117" s="17">
        <v>0.77800000000000002</v>
      </c>
      <c r="D117" s="17">
        <v>0.95799999999999996</v>
      </c>
      <c r="E117" s="17">
        <v>0.97</v>
      </c>
      <c r="F117" s="17">
        <v>1.222</v>
      </c>
      <c r="G117" s="17">
        <v>1.784</v>
      </c>
      <c r="H117" s="17">
        <v>2.2250000000000001</v>
      </c>
      <c r="I117" s="17">
        <v>2.762</v>
      </c>
      <c r="J117" s="17">
        <v>3.3959999999999999</v>
      </c>
      <c r="K117" s="17">
        <v>4.5679999999999996</v>
      </c>
      <c r="L117" s="17">
        <v>5.3979999999999997</v>
      </c>
      <c r="M117" s="17">
        <v>5.9820000000000002</v>
      </c>
      <c r="N117" s="17">
        <v>6.0810000000000004</v>
      </c>
      <c r="O117" s="17">
        <v>7.798</v>
      </c>
      <c r="P117" s="17">
        <v>9.5779999999999994</v>
      </c>
      <c r="Q117" s="17">
        <v>10.276</v>
      </c>
      <c r="R117" s="17">
        <v>10.978999999999999</v>
      </c>
      <c r="S117" s="15">
        <f t="shared" si="167"/>
        <v>10.978999999999999</v>
      </c>
      <c r="T117" s="15">
        <f t="shared" si="167"/>
        <v>10.978999999999999</v>
      </c>
      <c r="U117" s="15">
        <f t="shared" si="169"/>
        <v>10.978999999999999</v>
      </c>
      <c r="V117" s="15">
        <f t="shared" si="169"/>
        <v>10.978999999999999</v>
      </c>
      <c r="W117" s="15">
        <f t="shared" si="169"/>
        <v>10.978999999999999</v>
      </c>
      <c r="X117" s="15">
        <f t="shared" si="169"/>
        <v>10.978999999999999</v>
      </c>
      <c r="Y117" s="15">
        <f t="shared" si="169"/>
        <v>10.978999999999999</v>
      </c>
      <c r="Z117" s="15">
        <f t="shared" si="169"/>
        <v>10.978999999999999</v>
      </c>
      <c r="AA117" s="15">
        <f t="shared" si="169"/>
        <v>10.978999999999999</v>
      </c>
      <c r="AB117" s="15">
        <f t="shared" si="169"/>
        <v>10.978999999999999</v>
      </c>
      <c r="AC117" s="15">
        <f t="shared" si="169"/>
        <v>10.978999999999999</v>
      </c>
      <c r="AD117" s="15">
        <f t="shared" si="169"/>
        <v>10.978999999999999</v>
      </c>
      <c r="AE117" s="15">
        <f t="shared" si="169"/>
        <v>10.978999999999999</v>
      </c>
      <c r="AF117" s="15">
        <f t="shared" si="169"/>
        <v>10.978999999999999</v>
      </c>
      <c r="AG117" s="15">
        <f t="shared" si="169"/>
        <v>10.978999999999999</v>
      </c>
      <c r="AH117" s="15">
        <f t="shared" si="169"/>
        <v>10.978999999999999</v>
      </c>
      <c r="AI117" s="15">
        <f t="shared" si="169"/>
        <v>10.978999999999999</v>
      </c>
      <c r="AJ117" s="15">
        <f t="shared" si="169"/>
        <v>10.978999999999999</v>
      </c>
      <c r="AK117" s="15">
        <f t="shared" si="169"/>
        <v>10.978999999999999</v>
      </c>
      <c r="AL117" s="15">
        <f t="shared" si="169"/>
        <v>10.978999999999999</v>
      </c>
      <c r="AM117" s="15">
        <f t="shared" si="169"/>
        <v>10.978999999999999</v>
      </c>
      <c r="AN117" s="15">
        <f t="shared" si="169"/>
        <v>10.978999999999999</v>
      </c>
      <c r="AO117" s="15">
        <f t="shared" si="169"/>
        <v>10.978999999999999</v>
      </c>
      <c r="AP117" s="15">
        <f t="shared" si="169"/>
        <v>10.978999999999999</v>
      </c>
      <c r="AR117" s="10">
        <f t="shared" si="156"/>
        <v>1.222</v>
      </c>
      <c r="AS117" s="10">
        <f t="shared" si="157"/>
        <v>3.3959999999999999</v>
      </c>
      <c r="AT117" s="10">
        <f t="shared" si="158"/>
        <v>6.0810000000000004</v>
      </c>
      <c r="AU117" s="10">
        <f t="shared" si="159"/>
        <v>10.978999999999999</v>
      </c>
      <c r="AV117" s="10">
        <f t="shared" si="160"/>
        <v>10.978999999999999</v>
      </c>
      <c r="AW117" s="10">
        <f t="shared" si="161"/>
        <v>10.978999999999999</v>
      </c>
      <c r="AX117" s="10">
        <f t="shared" si="162"/>
        <v>10.978999999999999</v>
      </c>
      <c r="AY117" s="10">
        <f t="shared" si="163"/>
        <v>10.978999999999999</v>
      </c>
      <c r="AZ117" s="10">
        <f t="shared" si="164"/>
        <v>10.978999999999999</v>
      </c>
      <c r="BA117" s="10">
        <f t="shared" si="165"/>
        <v>10.978999999999999</v>
      </c>
      <c r="BC117" s="15">
        <v>10.978999999999999</v>
      </c>
      <c r="BD117" s="15"/>
    </row>
    <row r="118" spans="2:56" x14ac:dyDescent="0.25">
      <c r="B118" s="23" t="s">
        <v>30</v>
      </c>
      <c r="C118" s="17">
        <v>2.09</v>
      </c>
      <c r="D118" s="17">
        <v>2.0499999999999998</v>
      </c>
      <c r="E118" s="17">
        <v>3.7610000000000001</v>
      </c>
      <c r="F118" s="17">
        <v>3.8410000000000002</v>
      </c>
      <c r="G118" s="17">
        <v>3.5049999999999999</v>
      </c>
      <c r="H118" s="17">
        <v>3.34</v>
      </c>
      <c r="I118" s="17">
        <v>3.58</v>
      </c>
      <c r="J118" s="17">
        <v>3.82</v>
      </c>
      <c r="K118" s="17">
        <v>4.2039999999999997</v>
      </c>
      <c r="L118" s="17">
        <v>4.5010000000000003</v>
      </c>
      <c r="M118" s="17">
        <v>4.6669999999999998</v>
      </c>
      <c r="N118" s="17">
        <v>4.5</v>
      </c>
      <c r="O118" s="17">
        <v>4.5679999999999996</v>
      </c>
      <c r="P118" s="17">
        <v>4.0010000000000003</v>
      </c>
      <c r="Q118" s="17">
        <v>5.4370000000000003</v>
      </c>
      <c r="R118" s="17">
        <v>6.4249999999999998</v>
      </c>
      <c r="S118" s="15">
        <f t="shared" si="167"/>
        <v>6.4249999999999998</v>
      </c>
      <c r="T118" s="15">
        <f t="shared" si="167"/>
        <v>6.4249999999999998</v>
      </c>
      <c r="U118" s="15">
        <f t="shared" ref="U118:AP118" si="170">T118</f>
        <v>6.4249999999999998</v>
      </c>
      <c r="V118" s="15">
        <f t="shared" si="170"/>
        <v>6.4249999999999998</v>
      </c>
      <c r="W118" s="15">
        <f t="shared" si="170"/>
        <v>6.4249999999999998</v>
      </c>
      <c r="X118" s="15">
        <f t="shared" si="170"/>
        <v>6.4249999999999998</v>
      </c>
      <c r="Y118" s="15">
        <f t="shared" si="170"/>
        <v>6.4249999999999998</v>
      </c>
      <c r="Z118" s="15">
        <f t="shared" si="170"/>
        <v>6.4249999999999998</v>
      </c>
      <c r="AA118" s="15">
        <f t="shared" si="170"/>
        <v>6.4249999999999998</v>
      </c>
      <c r="AB118" s="15">
        <f t="shared" si="170"/>
        <v>6.4249999999999998</v>
      </c>
      <c r="AC118" s="15">
        <f t="shared" si="170"/>
        <v>6.4249999999999998</v>
      </c>
      <c r="AD118" s="15">
        <f t="shared" si="170"/>
        <v>6.4249999999999998</v>
      </c>
      <c r="AE118" s="15">
        <f t="shared" si="170"/>
        <v>6.4249999999999998</v>
      </c>
      <c r="AF118" s="15">
        <f t="shared" si="170"/>
        <v>6.4249999999999998</v>
      </c>
      <c r="AG118" s="15">
        <f t="shared" si="170"/>
        <v>6.4249999999999998</v>
      </c>
      <c r="AH118" s="15">
        <f t="shared" si="170"/>
        <v>6.4249999999999998</v>
      </c>
      <c r="AI118" s="15">
        <f t="shared" si="170"/>
        <v>6.4249999999999998</v>
      </c>
      <c r="AJ118" s="15">
        <f t="shared" si="170"/>
        <v>6.4249999999999998</v>
      </c>
      <c r="AK118" s="15">
        <f t="shared" si="170"/>
        <v>6.4249999999999998</v>
      </c>
      <c r="AL118" s="15">
        <f t="shared" si="170"/>
        <v>6.4249999999999998</v>
      </c>
      <c r="AM118" s="15">
        <f t="shared" si="170"/>
        <v>6.4249999999999998</v>
      </c>
      <c r="AN118" s="15">
        <f t="shared" si="170"/>
        <v>6.4249999999999998</v>
      </c>
      <c r="AO118" s="15">
        <f t="shared" si="170"/>
        <v>6.4249999999999998</v>
      </c>
      <c r="AP118" s="15">
        <f t="shared" si="170"/>
        <v>6.4249999999999998</v>
      </c>
      <c r="AR118" s="10">
        <f t="shared" si="156"/>
        <v>3.8410000000000002</v>
      </c>
      <c r="AS118" s="10">
        <f t="shared" si="157"/>
        <v>3.82</v>
      </c>
      <c r="AT118" s="10">
        <f t="shared" si="158"/>
        <v>4.5</v>
      </c>
      <c r="AU118" s="10">
        <f t="shared" si="159"/>
        <v>6.4249999999999998</v>
      </c>
      <c r="AV118" s="10">
        <f t="shared" si="160"/>
        <v>6.4249999999999998</v>
      </c>
      <c r="AW118" s="10">
        <f t="shared" si="161"/>
        <v>6.4249999999999998</v>
      </c>
      <c r="AX118" s="10">
        <f t="shared" si="162"/>
        <v>6.4249999999999998</v>
      </c>
      <c r="AY118" s="10">
        <f t="shared" si="163"/>
        <v>6.4249999999999998</v>
      </c>
      <c r="AZ118" s="10">
        <f t="shared" si="164"/>
        <v>6.4249999999999998</v>
      </c>
      <c r="BA118" s="10">
        <f t="shared" si="165"/>
        <v>6.4249999999999998</v>
      </c>
      <c r="BC118" s="15">
        <v>6.4249999999999998</v>
      </c>
      <c r="BD118" s="15"/>
    </row>
    <row r="119" spans="2:56" x14ac:dyDescent="0.25">
      <c r="B119" s="26" t="s">
        <v>31</v>
      </c>
      <c r="C119" s="21">
        <f t="shared" ref="C119:P119" si="171">SUM(C112:C118)</f>
        <v>30.795999999999996</v>
      </c>
      <c r="D119" s="21">
        <f t="shared" si="171"/>
        <v>38.65</v>
      </c>
      <c r="E119" s="21">
        <f t="shared" si="171"/>
        <v>40.632000000000005</v>
      </c>
      <c r="F119" s="21">
        <f t="shared" si="171"/>
        <v>44.186999999999998</v>
      </c>
      <c r="G119" s="21">
        <f t="shared" si="171"/>
        <v>45.212000000000003</v>
      </c>
      <c r="H119" s="21">
        <f t="shared" si="171"/>
        <v>43.475999999999999</v>
      </c>
      <c r="I119" s="21">
        <f t="shared" si="171"/>
        <v>40.488000000000007</v>
      </c>
      <c r="J119" s="21">
        <f t="shared" si="171"/>
        <v>41.181999999999995</v>
      </c>
      <c r="K119" s="21">
        <f t="shared" si="171"/>
        <v>44.459999999999994</v>
      </c>
      <c r="L119" s="21">
        <f t="shared" si="171"/>
        <v>49.555</v>
      </c>
      <c r="M119" s="21">
        <f t="shared" si="171"/>
        <v>54.147999999999996</v>
      </c>
      <c r="N119" s="21">
        <f t="shared" si="171"/>
        <v>65.728000000000009</v>
      </c>
      <c r="O119" s="21">
        <f t="shared" si="171"/>
        <v>77.072000000000003</v>
      </c>
      <c r="P119" s="21">
        <f t="shared" si="171"/>
        <v>85.227000000000004</v>
      </c>
      <c r="Q119" s="21">
        <f>SUM(Q112:Q118)</f>
        <v>96.012999999999977</v>
      </c>
      <c r="R119" s="21">
        <f>SUM(R112:R118)</f>
        <v>111.60100000000001</v>
      </c>
      <c r="S119" s="21">
        <f>SUM(S112:S118)</f>
        <v>122.38600000000001</v>
      </c>
      <c r="T119" s="21">
        <f t="shared" ref="T119:BA119" si="172">SUM(T112:T118)</f>
        <v>133.91866015286902</v>
      </c>
      <c r="U119" s="21">
        <f t="shared" si="172"/>
        <v>149.05928257661702</v>
      </c>
      <c r="V119" s="21">
        <f t="shared" si="172"/>
        <v>166.60056220022489</v>
      </c>
      <c r="W119" s="21">
        <f t="shared" si="172"/>
        <v>185.44483883654442</v>
      </c>
      <c r="X119" s="21">
        <f t="shared" si="172"/>
        <v>208.39094023509557</v>
      </c>
      <c r="Y119" s="21">
        <f t="shared" si="172"/>
        <v>234.62531103057381</v>
      </c>
      <c r="Z119" s="21">
        <f t="shared" si="172"/>
        <v>263.37068056789053</v>
      </c>
      <c r="AA119" s="21">
        <f t="shared" si="172"/>
        <v>292.11976606193684</v>
      </c>
      <c r="AB119" s="21">
        <f t="shared" si="172"/>
        <v>327.06344811611984</v>
      </c>
      <c r="AC119" s="21">
        <f t="shared" si="172"/>
        <v>366.53852467365999</v>
      </c>
      <c r="AD119" s="21">
        <f t="shared" si="172"/>
        <v>409.64893126603039</v>
      </c>
      <c r="AE119" s="21">
        <f t="shared" si="172"/>
        <v>450.68925219491513</v>
      </c>
      <c r="AF119" s="21">
        <f t="shared" si="172"/>
        <v>500.25344416507528</v>
      </c>
      <c r="AG119" s="21">
        <f t="shared" si="172"/>
        <v>555.86223454032404</v>
      </c>
      <c r="AH119" s="21">
        <f t="shared" si="172"/>
        <v>616.49965169048551</v>
      </c>
      <c r="AI119" s="21">
        <f t="shared" si="172"/>
        <v>674.31515499246927</v>
      </c>
      <c r="AJ119" s="21">
        <f t="shared" si="172"/>
        <v>743.51707275595538</v>
      </c>
      <c r="AK119" s="21">
        <f t="shared" si="172"/>
        <v>820.79384237991826</v>
      </c>
      <c r="AL119" s="21">
        <f t="shared" si="172"/>
        <v>905.00107749908625</v>
      </c>
      <c r="AM119" s="21">
        <f t="shared" si="172"/>
        <v>985.84072017226856</v>
      </c>
      <c r="AN119" s="21">
        <f t="shared" si="172"/>
        <v>1081.519633086933</v>
      </c>
      <c r="AO119" s="21">
        <f t="shared" si="172"/>
        <v>1188.0099722275288</v>
      </c>
      <c r="AP119" s="21">
        <f t="shared" si="172"/>
        <v>1304.0053501031782</v>
      </c>
      <c r="AR119" s="21">
        <f t="shared" si="172"/>
        <v>44.186999999999998</v>
      </c>
      <c r="AS119" s="21">
        <f t="shared" si="172"/>
        <v>41.181999999999995</v>
      </c>
      <c r="AT119" s="21">
        <f t="shared" si="172"/>
        <v>65.728000000000009</v>
      </c>
      <c r="AU119" s="21">
        <f t="shared" si="172"/>
        <v>111.60100000000001</v>
      </c>
      <c r="AV119" s="21">
        <f t="shared" si="172"/>
        <v>166.60056220022489</v>
      </c>
      <c r="AW119" s="21">
        <f t="shared" si="172"/>
        <v>263.37068056789053</v>
      </c>
      <c r="AX119" s="21">
        <f t="shared" si="172"/>
        <v>409.64893126603039</v>
      </c>
      <c r="AY119" s="21">
        <f t="shared" si="172"/>
        <v>616.49965169048551</v>
      </c>
      <c r="AZ119" s="21">
        <f t="shared" si="172"/>
        <v>905.00107749908625</v>
      </c>
      <c r="BA119" s="21">
        <f t="shared" si="172"/>
        <v>1304.0053501031782</v>
      </c>
      <c r="BC119" s="21">
        <v>126.42605052382601</v>
      </c>
      <c r="BD119" s="21"/>
    </row>
    <row r="120" spans="2:56" x14ac:dyDescent="0.2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BC120" s="15"/>
      <c r="BD120" s="15"/>
    </row>
    <row r="121" spans="2:56" x14ac:dyDescent="0.25">
      <c r="B121" s="26" t="s">
        <v>35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BC121" s="15"/>
      <c r="BD121" s="15"/>
    </row>
    <row r="122" spans="2:56" x14ac:dyDescent="0.25">
      <c r="B122" s="10" t="s">
        <v>36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BC122" s="15"/>
      <c r="BD122" s="15"/>
    </row>
    <row r="123" spans="2:56" x14ac:dyDescent="0.25">
      <c r="B123" s="22" t="s">
        <v>32</v>
      </c>
      <c r="C123" s="17">
        <v>1.218</v>
      </c>
      <c r="D123" s="17">
        <v>1.474</v>
      </c>
      <c r="E123" s="17">
        <v>1.6639999999999999</v>
      </c>
      <c r="F123" s="17">
        <v>1.7829999999999999</v>
      </c>
      <c r="G123" s="17">
        <v>1.9990000000000001</v>
      </c>
      <c r="H123" s="17">
        <v>2.4209999999999998</v>
      </c>
      <c r="I123" s="17">
        <v>1.4910000000000001</v>
      </c>
      <c r="J123" s="17">
        <v>1.1930000000000001</v>
      </c>
      <c r="K123" s="17">
        <v>1.141</v>
      </c>
      <c r="L123" s="17">
        <v>1.929</v>
      </c>
      <c r="M123" s="17">
        <v>2.38</v>
      </c>
      <c r="N123" s="17">
        <v>2.6989999999999998</v>
      </c>
      <c r="O123" s="17">
        <v>2.7149999999999999</v>
      </c>
      <c r="P123" s="17">
        <v>3.68</v>
      </c>
      <c r="Q123" s="17">
        <v>5.3529999999999998</v>
      </c>
      <c r="R123" s="17">
        <v>6.31</v>
      </c>
      <c r="S123" s="15">
        <f>R123</f>
        <v>6.31</v>
      </c>
      <c r="T123" s="15">
        <f>S123</f>
        <v>6.31</v>
      </c>
      <c r="U123" s="15">
        <f t="shared" ref="U123:AP123" si="173">T123</f>
        <v>6.31</v>
      </c>
      <c r="V123" s="15">
        <f t="shared" si="173"/>
        <v>6.31</v>
      </c>
      <c r="W123" s="15">
        <f t="shared" si="173"/>
        <v>6.31</v>
      </c>
      <c r="X123" s="15">
        <f t="shared" si="173"/>
        <v>6.31</v>
      </c>
      <c r="Y123" s="15">
        <f t="shared" si="173"/>
        <v>6.31</v>
      </c>
      <c r="Z123" s="15">
        <f t="shared" si="173"/>
        <v>6.31</v>
      </c>
      <c r="AA123" s="15">
        <f t="shared" si="173"/>
        <v>6.31</v>
      </c>
      <c r="AB123" s="15">
        <f t="shared" si="173"/>
        <v>6.31</v>
      </c>
      <c r="AC123" s="15">
        <f t="shared" si="173"/>
        <v>6.31</v>
      </c>
      <c r="AD123" s="15">
        <f t="shared" si="173"/>
        <v>6.31</v>
      </c>
      <c r="AE123" s="15">
        <f t="shared" si="173"/>
        <v>6.31</v>
      </c>
      <c r="AF123" s="15">
        <f t="shared" si="173"/>
        <v>6.31</v>
      </c>
      <c r="AG123" s="15">
        <f t="shared" si="173"/>
        <v>6.31</v>
      </c>
      <c r="AH123" s="15">
        <f t="shared" si="173"/>
        <v>6.31</v>
      </c>
      <c r="AI123" s="15">
        <f t="shared" si="173"/>
        <v>6.31</v>
      </c>
      <c r="AJ123" s="15">
        <f t="shared" si="173"/>
        <v>6.31</v>
      </c>
      <c r="AK123" s="15">
        <f t="shared" si="173"/>
        <v>6.31</v>
      </c>
      <c r="AL123" s="15">
        <f t="shared" si="173"/>
        <v>6.31</v>
      </c>
      <c r="AM123" s="15">
        <f t="shared" si="173"/>
        <v>6.31</v>
      </c>
      <c r="AN123" s="15">
        <f t="shared" si="173"/>
        <v>6.31</v>
      </c>
      <c r="AO123" s="15">
        <f t="shared" si="173"/>
        <v>6.31</v>
      </c>
      <c r="AP123" s="15">
        <f t="shared" si="173"/>
        <v>6.31</v>
      </c>
      <c r="AR123" s="10">
        <f t="shared" ref="AR123:AR129" si="174">F123</f>
        <v>1.7829999999999999</v>
      </c>
      <c r="AS123" s="10">
        <f t="shared" ref="AS123:AS129" si="175">J123</f>
        <v>1.1930000000000001</v>
      </c>
      <c r="AT123" s="10">
        <f t="shared" ref="AT123:AT129" si="176">N123</f>
        <v>2.6989999999999998</v>
      </c>
      <c r="AU123" s="10">
        <f t="shared" ref="AU123:AU129" si="177">R123</f>
        <v>6.31</v>
      </c>
      <c r="AV123" s="10">
        <f t="shared" ref="AV123:AV129" si="178">V123</f>
        <v>6.31</v>
      </c>
      <c r="AW123" s="10">
        <f t="shared" ref="AW123:AW129" si="179">Z123</f>
        <v>6.31</v>
      </c>
      <c r="AX123" s="10">
        <f t="shared" ref="AX123:AX129" si="180">AD123</f>
        <v>6.31</v>
      </c>
      <c r="AY123" s="10">
        <f t="shared" ref="AY123:AY129" si="181">AH123</f>
        <v>6.31</v>
      </c>
      <c r="AZ123" s="10">
        <f t="shared" ref="AZ123:AZ129" si="182">AL123</f>
        <v>6.31</v>
      </c>
      <c r="BA123" s="10">
        <f t="shared" ref="BA123:BA129" si="183">AP123</f>
        <v>6.31</v>
      </c>
      <c r="BC123" s="15">
        <v>6.31</v>
      </c>
      <c r="BD123" s="15"/>
    </row>
    <row r="124" spans="2:56" x14ac:dyDescent="0.25">
      <c r="B124" s="22" t="s">
        <v>33</v>
      </c>
      <c r="C124" s="17">
        <v>1.7869999999999999</v>
      </c>
      <c r="D124" s="17">
        <v>1.974</v>
      </c>
      <c r="E124" s="17">
        <v>1.948</v>
      </c>
      <c r="F124" s="17">
        <v>2.552</v>
      </c>
      <c r="G124" s="17">
        <v>3.5630000000000002</v>
      </c>
      <c r="H124" s="17">
        <v>3.903</v>
      </c>
      <c r="I124" s="17">
        <v>4.1150000000000002</v>
      </c>
      <c r="J124" s="17">
        <v>4.12</v>
      </c>
      <c r="K124" s="17">
        <v>4.8689999999999998</v>
      </c>
      <c r="L124" s="17">
        <v>7.1559999999999997</v>
      </c>
      <c r="M124" s="17">
        <v>5.4720000000000004</v>
      </c>
      <c r="N124" s="17">
        <v>6.6820000000000004</v>
      </c>
      <c r="O124" s="17">
        <v>11.257999999999999</v>
      </c>
      <c r="P124" s="17">
        <v>10.289</v>
      </c>
      <c r="Q124" s="17">
        <v>11.125999999999999</v>
      </c>
      <c r="R124" s="17">
        <v>11.737</v>
      </c>
      <c r="S124" s="15">
        <f>R124-R152</f>
        <v>12.465</v>
      </c>
      <c r="T124" s="15">
        <f>S124</f>
        <v>12.465</v>
      </c>
      <c r="U124" s="15">
        <f t="shared" ref="U124:AP124" si="184">T124</f>
        <v>12.465</v>
      </c>
      <c r="V124" s="15">
        <f t="shared" si="184"/>
        <v>12.465</v>
      </c>
      <c r="W124" s="15">
        <f t="shared" si="184"/>
        <v>12.465</v>
      </c>
      <c r="X124" s="15">
        <f t="shared" si="184"/>
        <v>12.465</v>
      </c>
      <c r="Y124" s="15">
        <f t="shared" si="184"/>
        <v>12.465</v>
      </c>
      <c r="Z124" s="15">
        <f t="shared" si="184"/>
        <v>12.465</v>
      </c>
      <c r="AA124" s="15">
        <f t="shared" si="184"/>
        <v>12.465</v>
      </c>
      <c r="AB124" s="15">
        <f t="shared" si="184"/>
        <v>12.465</v>
      </c>
      <c r="AC124" s="15">
        <f t="shared" si="184"/>
        <v>12.465</v>
      </c>
      <c r="AD124" s="15">
        <f t="shared" si="184"/>
        <v>12.465</v>
      </c>
      <c r="AE124" s="15">
        <f t="shared" si="184"/>
        <v>12.465</v>
      </c>
      <c r="AF124" s="15">
        <f t="shared" si="184"/>
        <v>12.465</v>
      </c>
      <c r="AG124" s="15">
        <f t="shared" si="184"/>
        <v>12.465</v>
      </c>
      <c r="AH124" s="15">
        <f t="shared" si="184"/>
        <v>12.465</v>
      </c>
      <c r="AI124" s="15">
        <f t="shared" si="184"/>
        <v>12.465</v>
      </c>
      <c r="AJ124" s="15">
        <f t="shared" si="184"/>
        <v>12.465</v>
      </c>
      <c r="AK124" s="15">
        <f t="shared" si="184"/>
        <v>12.465</v>
      </c>
      <c r="AL124" s="15">
        <f t="shared" si="184"/>
        <v>12.465</v>
      </c>
      <c r="AM124" s="15">
        <f t="shared" si="184"/>
        <v>12.465</v>
      </c>
      <c r="AN124" s="15">
        <f t="shared" si="184"/>
        <v>12.465</v>
      </c>
      <c r="AO124" s="15">
        <f t="shared" si="184"/>
        <v>12.465</v>
      </c>
      <c r="AP124" s="15">
        <f t="shared" si="184"/>
        <v>12.465</v>
      </c>
      <c r="AR124" s="10">
        <f t="shared" si="174"/>
        <v>2.552</v>
      </c>
      <c r="AS124" s="10">
        <f t="shared" si="175"/>
        <v>4.12</v>
      </c>
      <c r="AT124" s="10">
        <f t="shared" si="176"/>
        <v>6.6820000000000004</v>
      </c>
      <c r="AU124" s="10">
        <f t="shared" si="177"/>
        <v>11.737</v>
      </c>
      <c r="AV124" s="10">
        <f t="shared" si="178"/>
        <v>12.465</v>
      </c>
      <c r="AW124" s="10">
        <f t="shared" si="179"/>
        <v>12.465</v>
      </c>
      <c r="AX124" s="10">
        <f t="shared" si="180"/>
        <v>12.465</v>
      </c>
      <c r="AY124" s="10">
        <f t="shared" si="181"/>
        <v>12.465</v>
      </c>
      <c r="AZ124" s="10">
        <f t="shared" si="182"/>
        <v>12.465</v>
      </c>
      <c r="BA124" s="10">
        <f t="shared" si="183"/>
        <v>12.465</v>
      </c>
      <c r="BC124" s="15">
        <v>12.465</v>
      </c>
      <c r="BD124" s="15"/>
    </row>
    <row r="125" spans="2:56" x14ac:dyDescent="0.25">
      <c r="B125" s="22" t="s">
        <v>48</v>
      </c>
      <c r="C125" s="17">
        <v>0.999</v>
      </c>
      <c r="D125" s="17">
        <v>1</v>
      </c>
      <c r="E125" s="17">
        <v>0</v>
      </c>
      <c r="F125" s="17">
        <v>0</v>
      </c>
      <c r="G125" s="17">
        <v>0</v>
      </c>
      <c r="H125" s="17">
        <v>1.2490000000000001</v>
      </c>
      <c r="I125" s="17">
        <v>1.2490000000000001</v>
      </c>
      <c r="J125" s="17">
        <v>1.25</v>
      </c>
      <c r="K125" s="17">
        <v>1.25</v>
      </c>
      <c r="L125" s="17">
        <v>1.2490000000000001</v>
      </c>
      <c r="M125" s="17">
        <v>1.2490000000000001</v>
      </c>
      <c r="N125" s="17">
        <v>1.25</v>
      </c>
      <c r="O125" s="17">
        <v>1.25</v>
      </c>
      <c r="P125" s="17">
        <v>0</v>
      </c>
      <c r="Q125" s="17">
        <v>0</v>
      </c>
      <c r="R125" s="17">
        <v>0</v>
      </c>
      <c r="S125" s="15">
        <f>R125</f>
        <v>0</v>
      </c>
      <c r="T125" s="15">
        <f>S125</f>
        <v>0</v>
      </c>
      <c r="U125" s="15">
        <f t="shared" ref="U125:AP125" si="185">T125</f>
        <v>0</v>
      </c>
      <c r="V125" s="15">
        <f t="shared" si="185"/>
        <v>0</v>
      </c>
      <c r="W125" s="15">
        <f t="shared" si="185"/>
        <v>0</v>
      </c>
      <c r="X125" s="15">
        <f t="shared" si="185"/>
        <v>0</v>
      </c>
      <c r="Y125" s="15">
        <f t="shared" si="185"/>
        <v>0</v>
      </c>
      <c r="Z125" s="15">
        <f t="shared" si="185"/>
        <v>0</v>
      </c>
      <c r="AA125" s="15">
        <f t="shared" si="185"/>
        <v>0</v>
      </c>
      <c r="AB125" s="15">
        <f t="shared" si="185"/>
        <v>0</v>
      </c>
      <c r="AC125" s="15">
        <f t="shared" si="185"/>
        <v>0</v>
      </c>
      <c r="AD125" s="15">
        <f t="shared" si="185"/>
        <v>0</v>
      </c>
      <c r="AE125" s="15">
        <f t="shared" si="185"/>
        <v>0</v>
      </c>
      <c r="AF125" s="15">
        <f t="shared" si="185"/>
        <v>0</v>
      </c>
      <c r="AG125" s="15">
        <f t="shared" si="185"/>
        <v>0</v>
      </c>
      <c r="AH125" s="15">
        <f t="shared" si="185"/>
        <v>0</v>
      </c>
      <c r="AI125" s="15">
        <f t="shared" si="185"/>
        <v>0</v>
      </c>
      <c r="AJ125" s="15">
        <f t="shared" si="185"/>
        <v>0</v>
      </c>
      <c r="AK125" s="15">
        <f t="shared" si="185"/>
        <v>0</v>
      </c>
      <c r="AL125" s="15">
        <f t="shared" si="185"/>
        <v>0</v>
      </c>
      <c r="AM125" s="15">
        <f t="shared" si="185"/>
        <v>0</v>
      </c>
      <c r="AN125" s="15">
        <f t="shared" si="185"/>
        <v>0</v>
      </c>
      <c r="AO125" s="15">
        <f t="shared" si="185"/>
        <v>0</v>
      </c>
      <c r="AP125" s="15">
        <f t="shared" si="185"/>
        <v>0</v>
      </c>
      <c r="AR125" s="10">
        <f t="shared" si="174"/>
        <v>0</v>
      </c>
      <c r="AS125" s="10">
        <f t="shared" si="175"/>
        <v>1.25</v>
      </c>
      <c r="AT125" s="10">
        <f t="shared" si="176"/>
        <v>1.25</v>
      </c>
      <c r="AU125" s="10">
        <f t="shared" si="177"/>
        <v>0</v>
      </c>
      <c r="AV125" s="10">
        <f t="shared" si="178"/>
        <v>0</v>
      </c>
      <c r="AW125" s="10">
        <f t="shared" si="179"/>
        <v>0</v>
      </c>
      <c r="AX125" s="10">
        <f t="shared" si="180"/>
        <v>0</v>
      </c>
      <c r="AY125" s="10">
        <f t="shared" si="181"/>
        <v>0</v>
      </c>
      <c r="AZ125" s="10">
        <f t="shared" si="182"/>
        <v>0</v>
      </c>
      <c r="BA125" s="10">
        <f t="shared" si="183"/>
        <v>0</v>
      </c>
      <c r="BC125" s="15">
        <v>0</v>
      </c>
      <c r="BD125" s="15"/>
    </row>
    <row r="126" spans="2:56" x14ac:dyDescent="0.25">
      <c r="B126" s="10" t="s">
        <v>34</v>
      </c>
      <c r="C126" s="15">
        <f t="shared" ref="C126:AP126" si="186">SUM(C123:C125)</f>
        <v>4.0039999999999996</v>
      </c>
      <c r="D126" s="15">
        <f t="shared" si="186"/>
        <v>4.4480000000000004</v>
      </c>
      <c r="E126" s="15">
        <f t="shared" si="186"/>
        <v>3.6120000000000001</v>
      </c>
      <c r="F126" s="15">
        <f t="shared" si="186"/>
        <v>4.335</v>
      </c>
      <c r="G126" s="15">
        <f t="shared" si="186"/>
        <v>5.5620000000000003</v>
      </c>
      <c r="H126" s="15">
        <f t="shared" si="186"/>
        <v>7.5730000000000004</v>
      </c>
      <c r="I126" s="15">
        <f t="shared" si="186"/>
        <v>6.8550000000000004</v>
      </c>
      <c r="J126" s="15">
        <f t="shared" si="186"/>
        <v>6.5630000000000006</v>
      </c>
      <c r="K126" s="15">
        <f t="shared" si="186"/>
        <v>7.26</v>
      </c>
      <c r="L126" s="15">
        <f t="shared" si="186"/>
        <v>10.334</v>
      </c>
      <c r="M126" s="15">
        <f t="shared" si="186"/>
        <v>9.1010000000000009</v>
      </c>
      <c r="N126" s="15">
        <f t="shared" si="186"/>
        <v>10.631</v>
      </c>
      <c r="O126" s="15">
        <f t="shared" si="186"/>
        <v>15.222999999999999</v>
      </c>
      <c r="P126" s="15">
        <f t="shared" si="186"/>
        <v>13.968999999999999</v>
      </c>
      <c r="Q126" s="15">
        <f t="shared" si="186"/>
        <v>16.478999999999999</v>
      </c>
      <c r="R126" s="15">
        <f t="shared" si="186"/>
        <v>18.047000000000001</v>
      </c>
      <c r="S126" s="15">
        <f t="shared" si="186"/>
        <v>18.774999999999999</v>
      </c>
      <c r="T126" s="15">
        <f t="shared" si="186"/>
        <v>18.774999999999999</v>
      </c>
      <c r="U126" s="15">
        <f t="shared" si="186"/>
        <v>18.774999999999999</v>
      </c>
      <c r="V126" s="15">
        <f t="shared" si="186"/>
        <v>18.774999999999999</v>
      </c>
      <c r="W126" s="15">
        <f t="shared" si="186"/>
        <v>18.774999999999999</v>
      </c>
      <c r="X126" s="15">
        <f t="shared" si="186"/>
        <v>18.774999999999999</v>
      </c>
      <c r="Y126" s="15">
        <f t="shared" si="186"/>
        <v>18.774999999999999</v>
      </c>
      <c r="Z126" s="15">
        <f t="shared" si="186"/>
        <v>18.774999999999999</v>
      </c>
      <c r="AA126" s="15">
        <f t="shared" si="186"/>
        <v>18.774999999999999</v>
      </c>
      <c r="AB126" s="15">
        <f t="shared" si="186"/>
        <v>18.774999999999999</v>
      </c>
      <c r="AC126" s="15">
        <f t="shared" si="186"/>
        <v>18.774999999999999</v>
      </c>
      <c r="AD126" s="15">
        <f t="shared" si="186"/>
        <v>18.774999999999999</v>
      </c>
      <c r="AE126" s="15">
        <f t="shared" si="186"/>
        <v>18.774999999999999</v>
      </c>
      <c r="AF126" s="15">
        <f t="shared" si="186"/>
        <v>18.774999999999999</v>
      </c>
      <c r="AG126" s="15">
        <f t="shared" si="186"/>
        <v>18.774999999999999</v>
      </c>
      <c r="AH126" s="15">
        <f t="shared" si="186"/>
        <v>18.774999999999999</v>
      </c>
      <c r="AI126" s="15">
        <f t="shared" si="186"/>
        <v>18.774999999999999</v>
      </c>
      <c r="AJ126" s="15">
        <f t="shared" si="186"/>
        <v>18.774999999999999</v>
      </c>
      <c r="AK126" s="15">
        <f t="shared" si="186"/>
        <v>18.774999999999999</v>
      </c>
      <c r="AL126" s="15">
        <f t="shared" si="186"/>
        <v>18.774999999999999</v>
      </c>
      <c r="AM126" s="15">
        <f t="shared" si="186"/>
        <v>18.774999999999999</v>
      </c>
      <c r="AN126" s="15">
        <f t="shared" si="186"/>
        <v>18.774999999999999</v>
      </c>
      <c r="AO126" s="15">
        <f t="shared" si="186"/>
        <v>18.774999999999999</v>
      </c>
      <c r="AP126" s="15">
        <f t="shared" si="186"/>
        <v>18.774999999999999</v>
      </c>
      <c r="AR126" s="10">
        <f t="shared" si="174"/>
        <v>4.335</v>
      </c>
      <c r="AS126" s="10">
        <f t="shared" si="175"/>
        <v>6.5630000000000006</v>
      </c>
      <c r="AT126" s="10">
        <f t="shared" si="176"/>
        <v>10.631</v>
      </c>
      <c r="AU126" s="10">
        <f t="shared" si="177"/>
        <v>18.047000000000001</v>
      </c>
      <c r="AV126" s="10">
        <f t="shared" si="178"/>
        <v>18.774999999999999</v>
      </c>
      <c r="AW126" s="10">
        <f t="shared" si="179"/>
        <v>18.774999999999999</v>
      </c>
      <c r="AX126" s="10">
        <f t="shared" si="180"/>
        <v>18.774999999999999</v>
      </c>
      <c r="AY126" s="10">
        <f t="shared" si="181"/>
        <v>18.774999999999999</v>
      </c>
      <c r="AZ126" s="10">
        <f t="shared" si="182"/>
        <v>18.774999999999999</v>
      </c>
      <c r="BA126" s="10">
        <f t="shared" si="183"/>
        <v>18.774999999999999</v>
      </c>
      <c r="BC126" s="15">
        <v>18.774999999999999</v>
      </c>
      <c r="BD126" s="15"/>
    </row>
    <row r="127" spans="2:56" x14ac:dyDescent="0.25">
      <c r="B127" s="23" t="s">
        <v>39</v>
      </c>
      <c r="C127" s="17">
        <v>5.9640000000000004</v>
      </c>
      <c r="D127" s="17">
        <v>10.943</v>
      </c>
      <c r="E127" s="17">
        <v>10.944000000000001</v>
      </c>
      <c r="F127" s="17">
        <v>10.946</v>
      </c>
      <c r="G127" s="17">
        <v>10.946999999999999</v>
      </c>
      <c r="H127" s="17">
        <v>9.6999999999999993</v>
      </c>
      <c r="I127" s="17">
        <v>9.7010000000000005</v>
      </c>
      <c r="J127" s="17">
        <v>9.7029999999999994</v>
      </c>
      <c r="K127" s="17">
        <v>9.7040000000000006</v>
      </c>
      <c r="L127" s="17">
        <v>8.4559999999999995</v>
      </c>
      <c r="M127" s="17">
        <v>8.4570000000000007</v>
      </c>
      <c r="N127" s="17">
        <v>8.4589999999999996</v>
      </c>
      <c r="O127" s="17">
        <v>8.4600000000000009</v>
      </c>
      <c r="P127" s="17">
        <v>8.4610000000000003</v>
      </c>
      <c r="Q127" s="17">
        <v>8.4619999999999997</v>
      </c>
      <c r="R127" s="17">
        <v>8.4629999999999992</v>
      </c>
      <c r="S127" s="15">
        <f>R127</f>
        <v>8.4629999999999992</v>
      </c>
      <c r="T127" s="15">
        <f t="shared" ref="T127:AP127" si="187">S127</f>
        <v>8.4629999999999992</v>
      </c>
      <c r="U127" s="15">
        <f t="shared" si="187"/>
        <v>8.4629999999999992</v>
      </c>
      <c r="V127" s="15">
        <f t="shared" si="187"/>
        <v>8.4629999999999992</v>
      </c>
      <c r="W127" s="15">
        <f t="shared" si="187"/>
        <v>8.4629999999999992</v>
      </c>
      <c r="X127" s="15">
        <f t="shared" si="187"/>
        <v>8.4629999999999992</v>
      </c>
      <c r="Y127" s="15">
        <f t="shared" si="187"/>
        <v>8.4629999999999992</v>
      </c>
      <c r="Z127" s="15">
        <f t="shared" si="187"/>
        <v>8.4629999999999992</v>
      </c>
      <c r="AA127" s="15">
        <f t="shared" si="187"/>
        <v>8.4629999999999992</v>
      </c>
      <c r="AB127" s="15">
        <f t="shared" si="187"/>
        <v>8.4629999999999992</v>
      </c>
      <c r="AC127" s="15">
        <f t="shared" si="187"/>
        <v>8.4629999999999992</v>
      </c>
      <c r="AD127" s="15">
        <f t="shared" si="187"/>
        <v>8.4629999999999992</v>
      </c>
      <c r="AE127" s="15">
        <f t="shared" si="187"/>
        <v>8.4629999999999992</v>
      </c>
      <c r="AF127" s="15">
        <f t="shared" si="187"/>
        <v>8.4629999999999992</v>
      </c>
      <c r="AG127" s="15">
        <f t="shared" si="187"/>
        <v>8.4629999999999992</v>
      </c>
      <c r="AH127" s="15">
        <f t="shared" si="187"/>
        <v>8.4629999999999992</v>
      </c>
      <c r="AI127" s="15">
        <f t="shared" si="187"/>
        <v>8.4629999999999992</v>
      </c>
      <c r="AJ127" s="15">
        <f t="shared" si="187"/>
        <v>8.4629999999999992</v>
      </c>
      <c r="AK127" s="15">
        <f t="shared" si="187"/>
        <v>8.4629999999999992</v>
      </c>
      <c r="AL127" s="15">
        <f t="shared" si="187"/>
        <v>8.4629999999999992</v>
      </c>
      <c r="AM127" s="15">
        <f t="shared" si="187"/>
        <v>8.4629999999999992</v>
      </c>
      <c r="AN127" s="15">
        <f t="shared" si="187"/>
        <v>8.4629999999999992</v>
      </c>
      <c r="AO127" s="15">
        <f t="shared" si="187"/>
        <v>8.4629999999999992</v>
      </c>
      <c r="AP127" s="15">
        <f t="shared" si="187"/>
        <v>8.4629999999999992</v>
      </c>
      <c r="AR127" s="10">
        <f t="shared" si="174"/>
        <v>10.946</v>
      </c>
      <c r="AS127" s="10">
        <f t="shared" si="175"/>
        <v>9.7029999999999994</v>
      </c>
      <c r="AT127" s="10">
        <f t="shared" si="176"/>
        <v>8.4589999999999996</v>
      </c>
      <c r="AU127" s="10">
        <f t="shared" si="177"/>
        <v>8.4629999999999992</v>
      </c>
      <c r="AV127" s="10">
        <f t="shared" si="178"/>
        <v>8.4629999999999992</v>
      </c>
      <c r="AW127" s="10">
        <f t="shared" si="179"/>
        <v>8.4629999999999992</v>
      </c>
      <c r="AX127" s="10">
        <f t="shared" si="180"/>
        <v>8.4629999999999992</v>
      </c>
      <c r="AY127" s="10">
        <f t="shared" si="181"/>
        <v>8.4629999999999992</v>
      </c>
      <c r="AZ127" s="10">
        <f t="shared" si="182"/>
        <v>8.4629999999999992</v>
      </c>
      <c r="BA127" s="10">
        <f t="shared" si="183"/>
        <v>8.4629999999999992</v>
      </c>
      <c r="BC127" s="15">
        <v>8.4629999999999992</v>
      </c>
      <c r="BD127" s="15"/>
    </row>
    <row r="128" spans="2:56" x14ac:dyDescent="0.25">
      <c r="B128" s="23" t="s">
        <v>106</v>
      </c>
      <c r="C128" s="17">
        <v>0.64</v>
      </c>
      <c r="D128" s="17">
        <v>0.71599999999999997</v>
      </c>
      <c r="E128" s="17">
        <v>0.74299999999999999</v>
      </c>
      <c r="F128" s="17">
        <v>0.74099999999999999</v>
      </c>
      <c r="G128" s="17">
        <v>0.752</v>
      </c>
      <c r="H128" s="17">
        <v>0.74299999999999999</v>
      </c>
      <c r="I128" s="17">
        <v>0.79800000000000004</v>
      </c>
      <c r="J128" s="17">
        <v>0.90200000000000002</v>
      </c>
      <c r="K128" s="17">
        <v>0.93899999999999995</v>
      </c>
      <c r="L128" s="17">
        <v>1.0409999999999999</v>
      </c>
      <c r="M128" s="17">
        <v>1.091</v>
      </c>
      <c r="N128" s="17">
        <v>1.119</v>
      </c>
      <c r="O128" s="17">
        <v>1.2809999999999999</v>
      </c>
      <c r="P128" s="17">
        <v>1.304</v>
      </c>
      <c r="Q128" s="17">
        <v>1.49</v>
      </c>
      <c r="R128" s="17">
        <v>1.5189999999999999</v>
      </c>
      <c r="S128" s="15">
        <f>R128</f>
        <v>1.5189999999999999</v>
      </c>
      <c r="T128" s="15">
        <f t="shared" ref="T128:AP128" si="188">S128</f>
        <v>1.5189999999999999</v>
      </c>
      <c r="U128" s="15">
        <f t="shared" si="188"/>
        <v>1.5189999999999999</v>
      </c>
      <c r="V128" s="15">
        <f t="shared" si="188"/>
        <v>1.5189999999999999</v>
      </c>
      <c r="W128" s="15">
        <f t="shared" si="188"/>
        <v>1.5189999999999999</v>
      </c>
      <c r="X128" s="15">
        <f t="shared" si="188"/>
        <v>1.5189999999999999</v>
      </c>
      <c r="Y128" s="15">
        <f t="shared" si="188"/>
        <v>1.5189999999999999</v>
      </c>
      <c r="Z128" s="15">
        <f t="shared" si="188"/>
        <v>1.5189999999999999</v>
      </c>
      <c r="AA128" s="15">
        <f t="shared" si="188"/>
        <v>1.5189999999999999</v>
      </c>
      <c r="AB128" s="15">
        <f t="shared" si="188"/>
        <v>1.5189999999999999</v>
      </c>
      <c r="AC128" s="15">
        <f t="shared" si="188"/>
        <v>1.5189999999999999</v>
      </c>
      <c r="AD128" s="15">
        <f t="shared" si="188"/>
        <v>1.5189999999999999</v>
      </c>
      <c r="AE128" s="15">
        <f t="shared" si="188"/>
        <v>1.5189999999999999</v>
      </c>
      <c r="AF128" s="15">
        <f t="shared" si="188"/>
        <v>1.5189999999999999</v>
      </c>
      <c r="AG128" s="15">
        <f t="shared" si="188"/>
        <v>1.5189999999999999</v>
      </c>
      <c r="AH128" s="15">
        <f t="shared" si="188"/>
        <v>1.5189999999999999</v>
      </c>
      <c r="AI128" s="15">
        <f t="shared" si="188"/>
        <v>1.5189999999999999</v>
      </c>
      <c r="AJ128" s="15">
        <f t="shared" si="188"/>
        <v>1.5189999999999999</v>
      </c>
      <c r="AK128" s="15">
        <f t="shared" si="188"/>
        <v>1.5189999999999999</v>
      </c>
      <c r="AL128" s="15">
        <f t="shared" si="188"/>
        <v>1.5189999999999999</v>
      </c>
      <c r="AM128" s="15">
        <f t="shared" si="188"/>
        <v>1.5189999999999999</v>
      </c>
      <c r="AN128" s="15">
        <f t="shared" si="188"/>
        <v>1.5189999999999999</v>
      </c>
      <c r="AO128" s="15">
        <f t="shared" si="188"/>
        <v>1.5189999999999999</v>
      </c>
      <c r="AP128" s="15">
        <f t="shared" si="188"/>
        <v>1.5189999999999999</v>
      </c>
      <c r="AR128" s="10">
        <f t="shared" si="174"/>
        <v>0.74099999999999999</v>
      </c>
      <c r="AS128" s="10">
        <f t="shared" si="175"/>
        <v>0.90200000000000002</v>
      </c>
      <c r="AT128" s="10">
        <f t="shared" si="176"/>
        <v>1.119</v>
      </c>
      <c r="AU128" s="10">
        <f t="shared" si="177"/>
        <v>1.5189999999999999</v>
      </c>
      <c r="AV128" s="10">
        <f t="shared" si="178"/>
        <v>1.5189999999999999</v>
      </c>
      <c r="AW128" s="10">
        <f t="shared" si="179"/>
        <v>1.5189999999999999</v>
      </c>
      <c r="AX128" s="10">
        <f t="shared" si="180"/>
        <v>1.5189999999999999</v>
      </c>
      <c r="AY128" s="10">
        <f t="shared" si="181"/>
        <v>1.5189999999999999</v>
      </c>
      <c r="AZ128" s="10">
        <f t="shared" si="182"/>
        <v>1.5189999999999999</v>
      </c>
      <c r="BA128" s="10">
        <f t="shared" si="183"/>
        <v>1.5189999999999999</v>
      </c>
      <c r="BC128" s="15">
        <v>1.5189999999999999</v>
      </c>
      <c r="BD128" s="15"/>
    </row>
    <row r="129" spans="2:56" x14ac:dyDescent="0.25">
      <c r="B129" s="23" t="s">
        <v>107</v>
      </c>
      <c r="C129" s="17">
        <v>1.4139999999999999</v>
      </c>
      <c r="D129" s="17">
        <v>1.3959999999999999</v>
      </c>
      <c r="E129" s="17">
        <v>1.5349999999999999</v>
      </c>
      <c r="F129" s="17">
        <v>1.5529999999999999</v>
      </c>
      <c r="G129" s="17">
        <v>1.631</v>
      </c>
      <c r="H129" s="17">
        <v>1.609</v>
      </c>
      <c r="I129" s="17">
        <v>1.7849999999999999</v>
      </c>
      <c r="J129" s="17">
        <v>1.913</v>
      </c>
      <c r="K129" s="17">
        <v>2.0369999999999999</v>
      </c>
      <c r="L129" s="17">
        <v>2.2229999999999999</v>
      </c>
      <c r="M129" s="17">
        <v>2.234</v>
      </c>
      <c r="N129" s="17">
        <v>2.5409999999999999</v>
      </c>
      <c r="O129" s="17">
        <v>2.9660000000000002</v>
      </c>
      <c r="P129" s="17">
        <v>3.3359999999999999</v>
      </c>
      <c r="Q129" s="17">
        <v>3.6829999999999998</v>
      </c>
      <c r="R129" s="17">
        <v>4.2450000000000001</v>
      </c>
      <c r="S129" s="15">
        <f>R129</f>
        <v>4.2450000000000001</v>
      </c>
      <c r="T129" s="15">
        <f>S129</f>
        <v>4.2450000000000001</v>
      </c>
      <c r="U129" s="15">
        <f t="shared" ref="U129:AP129" si="189">T129</f>
        <v>4.2450000000000001</v>
      </c>
      <c r="V129" s="15">
        <f t="shared" si="189"/>
        <v>4.2450000000000001</v>
      </c>
      <c r="W129" s="15">
        <f t="shared" si="189"/>
        <v>4.2450000000000001</v>
      </c>
      <c r="X129" s="15">
        <f t="shared" si="189"/>
        <v>4.2450000000000001</v>
      </c>
      <c r="Y129" s="15">
        <f t="shared" si="189"/>
        <v>4.2450000000000001</v>
      </c>
      <c r="Z129" s="15">
        <f t="shared" si="189"/>
        <v>4.2450000000000001</v>
      </c>
      <c r="AA129" s="15">
        <f t="shared" si="189"/>
        <v>4.2450000000000001</v>
      </c>
      <c r="AB129" s="15">
        <f t="shared" si="189"/>
        <v>4.2450000000000001</v>
      </c>
      <c r="AC129" s="15">
        <f t="shared" si="189"/>
        <v>4.2450000000000001</v>
      </c>
      <c r="AD129" s="15">
        <f t="shared" si="189"/>
        <v>4.2450000000000001</v>
      </c>
      <c r="AE129" s="15">
        <f t="shared" si="189"/>
        <v>4.2450000000000001</v>
      </c>
      <c r="AF129" s="15">
        <f t="shared" si="189"/>
        <v>4.2450000000000001</v>
      </c>
      <c r="AG129" s="15">
        <f t="shared" si="189"/>
        <v>4.2450000000000001</v>
      </c>
      <c r="AH129" s="15">
        <f t="shared" si="189"/>
        <v>4.2450000000000001</v>
      </c>
      <c r="AI129" s="15">
        <f t="shared" si="189"/>
        <v>4.2450000000000001</v>
      </c>
      <c r="AJ129" s="15">
        <f t="shared" si="189"/>
        <v>4.2450000000000001</v>
      </c>
      <c r="AK129" s="15">
        <f t="shared" si="189"/>
        <v>4.2450000000000001</v>
      </c>
      <c r="AL129" s="15">
        <f t="shared" si="189"/>
        <v>4.2450000000000001</v>
      </c>
      <c r="AM129" s="15">
        <f t="shared" si="189"/>
        <v>4.2450000000000001</v>
      </c>
      <c r="AN129" s="15">
        <f t="shared" si="189"/>
        <v>4.2450000000000001</v>
      </c>
      <c r="AO129" s="15">
        <f t="shared" si="189"/>
        <v>4.2450000000000001</v>
      </c>
      <c r="AP129" s="15">
        <f t="shared" si="189"/>
        <v>4.2450000000000001</v>
      </c>
      <c r="AR129" s="10">
        <f t="shared" si="174"/>
        <v>1.5529999999999999</v>
      </c>
      <c r="AS129" s="10">
        <f t="shared" si="175"/>
        <v>1.913</v>
      </c>
      <c r="AT129" s="10">
        <f t="shared" si="176"/>
        <v>2.5409999999999999</v>
      </c>
      <c r="AU129" s="10">
        <f t="shared" si="177"/>
        <v>4.2450000000000001</v>
      </c>
      <c r="AV129" s="10">
        <f t="shared" si="178"/>
        <v>4.2450000000000001</v>
      </c>
      <c r="AW129" s="10">
        <f t="shared" si="179"/>
        <v>4.2450000000000001</v>
      </c>
      <c r="AX129" s="10">
        <f t="shared" si="180"/>
        <v>4.2450000000000001</v>
      </c>
      <c r="AY129" s="10">
        <f t="shared" si="181"/>
        <v>4.2450000000000001</v>
      </c>
      <c r="AZ129" s="10">
        <f t="shared" si="182"/>
        <v>4.2450000000000001</v>
      </c>
      <c r="BA129" s="10">
        <f t="shared" si="183"/>
        <v>4.2450000000000001</v>
      </c>
      <c r="BC129" s="15">
        <v>4.2450000000000001</v>
      </c>
      <c r="BD129" s="15"/>
    </row>
    <row r="130" spans="2:56" x14ac:dyDescent="0.25">
      <c r="B130" s="8" t="s">
        <v>40</v>
      </c>
      <c r="C130" s="21">
        <f t="shared" ref="C130:AP130" si="190">SUM(C126:C129)</f>
        <v>12.022</v>
      </c>
      <c r="D130" s="21">
        <f t="shared" si="190"/>
        <v>17.503</v>
      </c>
      <c r="E130" s="21">
        <f t="shared" si="190"/>
        <v>16.834</v>
      </c>
      <c r="F130" s="21">
        <f t="shared" si="190"/>
        <v>17.574999999999999</v>
      </c>
      <c r="G130" s="21">
        <f t="shared" si="190"/>
        <v>18.891999999999999</v>
      </c>
      <c r="H130" s="21">
        <f t="shared" si="190"/>
        <v>19.625</v>
      </c>
      <c r="I130" s="21">
        <f t="shared" si="190"/>
        <v>19.138999999999999</v>
      </c>
      <c r="J130" s="21">
        <f t="shared" si="190"/>
        <v>19.081</v>
      </c>
      <c r="K130" s="21">
        <f t="shared" si="190"/>
        <v>19.939999999999998</v>
      </c>
      <c r="L130" s="21">
        <f t="shared" si="190"/>
        <v>22.053999999999998</v>
      </c>
      <c r="M130" s="21">
        <f t="shared" si="190"/>
        <v>20.883000000000003</v>
      </c>
      <c r="N130" s="21">
        <f t="shared" si="190"/>
        <v>22.75</v>
      </c>
      <c r="O130" s="21">
        <f t="shared" si="190"/>
        <v>27.93</v>
      </c>
      <c r="P130" s="21">
        <f t="shared" si="190"/>
        <v>27.069999999999997</v>
      </c>
      <c r="Q130" s="21">
        <f t="shared" si="190"/>
        <v>30.113999999999997</v>
      </c>
      <c r="R130" s="21">
        <f t="shared" si="190"/>
        <v>32.273999999999994</v>
      </c>
      <c r="S130" s="21">
        <f t="shared" si="190"/>
        <v>33.001999999999995</v>
      </c>
      <c r="T130" s="21">
        <f t="shared" si="190"/>
        <v>33.001999999999995</v>
      </c>
      <c r="U130" s="21">
        <f t="shared" si="190"/>
        <v>33.001999999999995</v>
      </c>
      <c r="V130" s="21">
        <f t="shared" si="190"/>
        <v>33.001999999999995</v>
      </c>
      <c r="W130" s="21">
        <f t="shared" si="190"/>
        <v>33.001999999999995</v>
      </c>
      <c r="X130" s="21">
        <f t="shared" si="190"/>
        <v>33.001999999999995</v>
      </c>
      <c r="Y130" s="21">
        <f t="shared" si="190"/>
        <v>33.001999999999995</v>
      </c>
      <c r="Z130" s="21">
        <f t="shared" si="190"/>
        <v>33.001999999999995</v>
      </c>
      <c r="AA130" s="21">
        <f t="shared" si="190"/>
        <v>33.001999999999995</v>
      </c>
      <c r="AB130" s="21">
        <f t="shared" si="190"/>
        <v>33.001999999999995</v>
      </c>
      <c r="AC130" s="21">
        <f t="shared" si="190"/>
        <v>33.001999999999995</v>
      </c>
      <c r="AD130" s="21">
        <f t="shared" si="190"/>
        <v>33.001999999999995</v>
      </c>
      <c r="AE130" s="21">
        <f t="shared" si="190"/>
        <v>33.001999999999995</v>
      </c>
      <c r="AF130" s="21">
        <f t="shared" si="190"/>
        <v>33.001999999999995</v>
      </c>
      <c r="AG130" s="21">
        <f t="shared" si="190"/>
        <v>33.001999999999995</v>
      </c>
      <c r="AH130" s="21">
        <f t="shared" si="190"/>
        <v>33.001999999999995</v>
      </c>
      <c r="AI130" s="21">
        <f t="shared" si="190"/>
        <v>33.001999999999995</v>
      </c>
      <c r="AJ130" s="21">
        <f t="shared" si="190"/>
        <v>33.001999999999995</v>
      </c>
      <c r="AK130" s="21">
        <f t="shared" si="190"/>
        <v>33.001999999999995</v>
      </c>
      <c r="AL130" s="21">
        <f t="shared" si="190"/>
        <v>33.001999999999995</v>
      </c>
      <c r="AM130" s="21">
        <f t="shared" si="190"/>
        <v>33.001999999999995</v>
      </c>
      <c r="AN130" s="21">
        <f t="shared" si="190"/>
        <v>33.001999999999995</v>
      </c>
      <c r="AO130" s="21">
        <f t="shared" si="190"/>
        <v>33.001999999999995</v>
      </c>
      <c r="AP130" s="21">
        <f t="shared" si="190"/>
        <v>33.001999999999995</v>
      </c>
      <c r="AR130" s="21">
        <f t="shared" ref="AR130:BA130" si="191">SUM(AR126:AR129)</f>
        <v>17.574999999999999</v>
      </c>
      <c r="AS130" s="21">
        <f t="shared" si="191"/>
        <v>19.081</v>
      </c>
      <c r="AT130" s="21">
        <f t="shared" si="191"/>
        <v>22.75</v>
      </c>
      <c r="AU130" s="21">
        <f t="shared" si="191"/>
        <v>32.273999999999994</v>
      </c>
      <c r="AV130" s="21">
        <f t="shared" si="191"/>
        <v>33.001999999999995</v>
      </c>
      <c r="AW130" s="21">
        <f t="shared" si="191"/>
        <v>33.001999999999995</v>
      </c>
      <c r="AX130" s="21">
        <f t="shared" si="191"/>
        <v>33.001999999999995</v>
      </c>
      <c r="AY130" s="21">
        <f t="shared" si="191"/>
        <v>33.001999999999995</v>
      </c>
      <c r="AZ130" s="21">
        <f t="shared" si="191"/>
        <v>33.001999999999995</v>
      </c>
      <c r="BA130" s="21">
        <f t="shared" si="191"/>
        <v>33.001999999999995</v>
      </c>
      <c r="BC130" s="21">
        <v>33.001999999999995</v>
      </c>
      <c r="BD130" s="21"/>
    </row>
    <row r="131" spans="2:56" x14ac:dyDescent="0.2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BC131" s="15"/>
      <c r="BD131" s="15"/>
    </row>
    <row r="132" spans="2:56" x14ac:dyDescent="0.25">
      <c r="B132" s="8" t="s">
        <v>41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BC132" s="15"/>
      <c r="BD132" s="15"/>
    </row>
    <row r="133" spans="2:56" x14ac:dyDescent="0.25">
      <c r="B133" s="10" t="s">
        <v>42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5">
        <f>R133</f>
        <v>0</v>
      </c>
      <c r="T133" s="15">
        <f>S133</f>
        <v>0</v>
      </c>
      <c r="U133" s="15">
        <f t="shared" ref="U133:AP133" si="192">T133</f>
        <v>0</v>
      </c>
      <c r="V133" s="15">
        <f t="shared" si="192"/>
        <v>0</v>
      </c>
      <c r="W133" s="15">
        <f t="shared" si="192"/>
        <v>0</v>
      </c>
      <c r="X133" s="15">
        <f t="shared" si="192"/>
        <v>0</v>
      </c>
      <c r="Y133" s="15">
        <f t="shared" si="192"/>
        <v>0</v>
      </c>
      <c r="Z133" s="15">
        <f t="shared" si="192"/>
        <v>0</v>
      </c>
      <c r="AA133" s="15">
        <f t="shared" si="192"/>
        <v>0</v>
      </c>
      <c r="AB133" s="15">
        <f t="shared" si="192"/>
        <v>0</v>
      </c>
      <c r="AC133" s="15">
        <f t="shared" si="192"/>
        <v>0</v>
      </c>
      <c r="AD133" s="15">
        <f t="shared" si="192"/>
        <v>0</v>
      </c>
      <c r="AE133" s="15">
        <f t="shared" si="192"/>
        <v>0</v>
      </c>
      <c r="AF133" s="15">
        <f t="shared" si="192"/>
        <v>0</v>
      </c>
      <c r="AG133" s="15">
        <f t="shared" si="192"/>
        <v>0</v>
      </c>
      <c r="AH133" s="15">
        <f t="shared" si="192"/>
        <v>0</v>
      </c>
      <c r="AI133" s="15">
        <f t="shared" si="192"/>
        <v>0</v>
      </c>
      <c r="AJ133" s="15">
        <f t="shared" si="192"/>
        <v>0</v>
      </c>
      <c r="AK133" s="15">
        <f t="shared" si="192"/>
        <v>0</v>
      </c>
      <c r="AL133" s="15">
        <f t="shared" si="192"/>
        <v>0</v>
      </c>
      <c r="AM133" s="15">
        <f t="shared" si="192"/>
        <v>0</v>
      </c>
      <c r="AN133" s="15">
        <f t="shared" si="192"/>
        <v>0</v>
      </c>
      <c r="AO133" s="15">
        <f t="shared" si="192"/>
        <v>0</v>
      </c>
      <c r="AP133" s="15">
        <f t="shared" si="192"/>
        <v>0</v>
      </c>
      <c r="AR133" s="10">
        <f t="shared" ref="AR133:AR138" si="193">F133</f>
        <v>0</v>
      </c>
      <c r="AS133" s="10">
        <f t="shared" ref="AS133:AS138" si="194">J133</f>
        <v>0</v>
      </c>
      <c r="AT133" s="10">
        <f t="shared" ref="AT133:AT138" si="195">N133</f>
        <v>0</v>
      </c>
      <c r="AU133" s="10">
        <f t="shared" ref="AU133:AU138" si="196">R133</f>
        <v>0</v>
      </c>
      <c r="AV133" s="10">
        <f t="shared" ref="AV133:AV138" si="197">V133</f>
        <v>0</v>
      </c>
      <c r="AW133" s="10">
        <f t="shared" ref="AW133:AW138" si="198">Z133</f>
        <v>0</v>
      </c>
      <c r="AX133" s="10">
        <f t="shared" ref="AX133:AX138" si="199">AD133</f>
        <v>0</v>
      </c>
      <c r="AY133" s="10">
        <f t="shared" ref="AY133:AY138" si="200">AH133</f>
        <v>0</v>
      </c>
      <c r="AZ133" s="10">
        <f t="shared" ref="AZ133:AZ138" si="201">AL133</f>
        <v>0</v>
      </c>
      <c r="BA133" s="10">
        <f t="shared" ref="BA133:BA138" si="202">AP133</f>
        <v>0</v>
      </c>
      <c r="BC133" s="15">
        <v>0</v>
      </c>
      <c r="BD133" s="15"/>
    </row>
    <row r="134" spans="2:56" x14ac:dyDescent="0.25">
      <c r="B134" s="10" t="s">
        <v>132</v>
      </c>
      <c r="C134" s="17">
        <v>1E-3</v>
      </c>
      <c r="D134" s="17">
        <v>3.0000000000000001E-3</v>
      </c>
      <c r="E134" s="17">
        <v>3.0000000000000001E-3</v>
      </c>
      <c r="F134" s="17">
        <v>3.0000000000000001E-3</v>
      </c>
      <c r="G134" s="17">
        <v>3.0000000000000001E-3</v>
      </c>
      <c r="H134" s="17">
        <v>2E-3</v>
      </c>
      <c r="I134" s="17">
        <v>2E-3</v>
      </c>
      <c r="J134" s="17">
        <v>2E-3</v>
      </c>
      <c r="K134" s="17">
        <v>2E-3</v>
      </c>
      <c r="L134" s="17">
        <v>2E-3</v>
      </c>
      <c r="M134" s="17">
        <v>2E-3</v>
      </c>
      <c r="N134" s="17">
        <v>2.5000000000000001E-2</v>
      </c>
      <c r="O134" s="17">
        <v>2E-3</v>
      </c>
      <c r="P134" s="17">
        <v>2.5000000000000001E-2</v>
      </c>
      <c r="Q134" s="17">
        <v>2.5000000000000001E-2</v>
      </c>
      <c r="R134" s="17">
        <v>2.4E-2</v>
      </c>
      <c r="S134" s="15">
        <f>R134</f>
        <v>2.4E-2</v>
      </c>
      <c r="T134" s="15">
        <f>S134</f>
        <v>2.4E-2</v>
      </c>
      <c r="U134" s="15">
        <f t="shared" ref="U134:AP134" si="203">T134</f>
        <v>2.4E-2</v>
      </c>
      <c r="V134" s="15">
        <f t="shared" si="203"/>
        <v>2.4E-2</v>
      </c>
      <c r="W134" s="15">
        <f t="shared" si="203"/>
        <v>2.4E-2</v>
      </c>
      <c r="X134" s="15">
        <f t="shared" si="203"/>
        <v>2.4E-2</v>
      </c>
      <c r="Y134" s="15">
        <f t="shared" si="203"/>
        <v>2.4E-2</v>
      </c>
      <c r="Z134" s="15">
        <f t="shared" si="203"/>
        <v>2.4E-2</v>
      </c>
      <c r="AA134" s="15">
        <f t="shared" si="203"/>
        <v>2.4E-2</v>
      </c>
      <c r="AB134" s="15">
        <f t="shared" si="203"/>
        <v>2.4E-2</v>
      </c>
      <c r="AC134" s="15">
        <f t="shared" si="203"/>
        <v>2.4E-2</v>
      </c>
      <c r="AD134" s="15">
        <f t="shared" si="203"/>
        <v>2.4E-2</v>
      </c>
      <c r="AE134" s="15">
        <f t="shared" si="203"/>
        <v>2.4E-2</v>
      </c>
      <c r="AF134" s="15">
        <f t="shared" si="203"/>
        <v>2.4E-2</v>
      </c>
      <c r="AG134" s="15">
        <f t="shared" si="203"/>
        <v>2.4E-2</v>
      </c>
      <c r="AH134" s="15">
        <f t="shared" si="203"/>
        <v>2.4E-2</v>
      </c>
      <c r="AI134" s="15">
        <f t="shared" si="203"/>
        <v>2.4E-2</v>
      </c>
      <c r="AJ134" s="15">
        <f t="shared" si="203"/>
        <v>2.4E-2</v>
      </c>
      <c r="AK134" s="15">
        <f t="shared" si="203"/>
        <v>2.4E-2</v>
      </c>
      <c r="AL134" s="15">
        <f t="shared" si="203"/>
        <v>2.4E-2</v>
      </c>
      <c r="AM134" s="15">
        <f t="shared" si="203"/>
        <v>2.4E-2</v>
      </c>
      <c r="AN134" s="15">
        <f t="shared" si="203"/>
        <v>2.4E-2</v>
      </c>
      <c r="AO134" s="15">
        <f t="shared" si="203"/>
        <v>2.4E-2</v>
      </c>
      <c r="AP134" s="15">
        <f t="shared" si="203"/>
        <v>2.4E-2</v>
      </c>
      <c r="AR134" s="10">
        <f t="shared" si="193"/>
        <v>3.0000000000000001E-3</v>
      </c>
      <c r="AS134" s="10">
        <f t="shared" si="194"/>
        <v>2E-3</v>
      </c>
      <c r="AT134" s="10">
        <f t="shared" si="195"/>
        <v>2.5000000000000001E-2</v>
      </c>
      <c r="AU134" s="10">
        <f t="shared" si="196"/>
        <v>2.4E-2</v>
      </c>
      <c r="AV134" s="10">
        <f t="shared" si="197"/>
        <v>2.4E-2</v>
      </c>
      <c r="AW134" s="10">
        <f t="shared" si="198"/>
        <v>2.4E-2</v>
      </c>
      <c r="AX134" s="10">
        <f t="shared" si="199"/>
        <v>2.4E-2</v>
      </c>
      <c r="AY134" s="10">
        <f t="shared" si="200"/>
        <v>2.4E-2</v>
      </c>
      <c r="AZ134" s="10">
        <f t="shared" si="201"/>
        <v>2.4E-2</v>
      </c>
      <c r="BA134" s="10">
        <f t="shared" si="202"/>
        <v>2.4E-2</v>
      </c>
      <c r="BC134" s="15">
        <v>2.4E-2</v>
      </c>
      <c r="BD134" s="15"/>
    </row>
    <row r="135" spans="2:56" x14ac:dyDescent="0.25">
      <c r="B135" s="10" t="s">
        <v>43</v>
      </c>
      <c r="C135" s="17">
        <v>9.2799999999999994</v>
      </c>
      <c r="D135" s="17">
        <v>9.7449999999999992</v>
      </c>
      <c r="E135" s="17">
        <v>10.465</v>
      </c>
      <c r="F135" s="17">
        <v>10.385</v>
      </c>
      <c r="G135" s="17">
        <v>10.622999999999999</v>
      </c>
      <c r="H135" s="17">
        <v>10.968</v>
      </c>
      <c r="I135" s="17">
        <v>11.565</v>
      </c>
      <c r="J135" s="17">
        <v>11.971</v>
      </c>
      <c r="K135" s="17">
        <v>12.452999999999999</v>
      </c>
      <c r="L135" s="17">
        <v>12.629</v>
      </c>
      <c r="M135" s="17">
        <v>12.991</v>
      </c>
      <c r="N135" s="17">
        <v>13.109</v>
      </c>
      <c r="O135" s="17">
        <v>12.651</v>
      </c>
      <c r="P135" s="17">
        <v>12.115</v>
      </c>
      <c r="Q135" s="17">
        <v>11.821</v>
      </c>
      <c r="R135" s="17">
        <v>11.237</v>
      </c>
      <c r="S135" s="15">
        <f t="shared" ref="S135:AP135" si="204">R135+S149</f>
        <v>12.436999999999999</v>
      </c>
      <c r="T135" s="15">
        <f t="shared" si="204"/>
        <v>13.636999999999999</v>
      </c>
      <c r="U135" s="15">
        <f t="shared" si="204"/>
        <v>14.836999999999998</v>
      </c>
      <c r="V135" s="15">
        <f t="shared" si="204"/>
        <v>16.036999999999999</v>
      </c>
      <c r="W135" s="15">
        <f t="shared" si="204"/>
        <v>17.236999999999998</v>
      </c>
      <c r="X135" s="15">
        <f t="shared" si="204"/>
        <v>18.436999999999998</v>
      </c>
      <c r="Y135" s="15">
        <f t="shared" si="204"/>
        <v>19.636999999999997</v>
      </c>
      <c r="Z135" s="15">
        <f t="shared" si="204"/>
        <v>20.836999999999996</v>
      </c>
      <c r="AA135" s="15">
        <f t="shared" si="204"/>
        <v>22.036999999999995</v>
      </c>
      <c r="AB135" s="15">
        <f t="shared" si="204"/>
        <v>23.236999999999995</v>
      </c>
      <c r="AC135" s="15">
        <f t="shared" si="204"/>
        <v>24.436999999999994</v>
      </c>
      <c r="AD135" s="15">
        <f t="shared" si="204"/>
        <v>25.636999999999993</v>
      </c>
      <c r="AE135" s="15">
        <f t="shared" si="204"/>
        <v>26.836999999999993</v>
      </c>
      <c r="AF135" s="15">
        <f t="shared" si="204"/>
        <v>28.036999999999992</v>
      </c>
      <c r="AG135" s="15">
        <f t="shared" si="204"/>
        <v>29.236999999999991</v>
      </c>
      <c r="AH135" s="15">
        <f t="shared" si="204"/>
        <v>30.436999999999991</v>
      </c>
      <c r="AI135" s="15">
        <f t="shared" si="204"/>
        <v>31.63699999999999</v>
      </c>
      <c r="AJ135" s="15">
        <f t="shared" si="204"/>
        <v>32.836999999999989</v>
      </c>
      <c r="AK135" s="15">
        <f t="shared" si="204"/>
        <v>34.036999999999992</v>
      </c>
      <c r="AL135" s="15">
        <f t="shared" si="204"/>
        <v>35.236999999999995</v>
      </c>
      <c r="AM135" s="15">
        <f t="shared" si="204"/>
        <v>36.436999999999998</v>
      </c>
      <c r="AN135" s="15">
        <f t="shared" si="204"/>
        <v>37.637</v>
      </c>
      <c r="AO135" s="15">
        <f t="shared" si="204"/>
        <v>38.837000000000003</v>
      </c>
      <c r="AP135" s="15">
        <f t="shared" si="204"/>
        <v>40.037000000000006</v>
      </c>
      <c r="AR135" s="10">
        <f t="shared" si="193"/>
        <v>10.385</v>
      </c>
      <c r="AS135" s="10">
        <f t="shared" si="194"/>
        <v>11.971</v>
      </c>
      <c r="AT135" s="10">
        <f t="shared" si="195"/>
        <v>13.109</v>
      </c>
      <c r="AU135" s="10">
        <f t="shared" si="196"/>
        <v>11.237</v>
      </c>
      <c r="AV135" s="10">
        <f t="shared" si="197"/>
        <v>16.036999999999999</v>
      </c>
      <c r="AW135" s="10">
        <f t="shared" si="198"/>
        <v>20.836999999999996</v>
      </c>
      <c r="AX135" s="10">
        <f t="shared" si="199"/>
        <v>25.636999999999993</v>
      </c>
      <c r="AY135" s="10">
        <f t="shared" si="200"/>
        <v>30.436999999999991</v>
      </c>
      <c r="AZ135" s="10">
        <f t="shared" si="201"/>
        <v>35.236999999999995</v>
      </c>
      <c r="BA135" s="10">
        <f t="shared" si="202"/>
        <v>40.037000000000006</v>
      </c>
      <c r="BC135" s="15">
        <v>12.436999999999999</v>
      </c>
      <c r="BD135" s="15"/>
    </row>
    <row r="136" spans="2:56" x14ac:dyDescent="0.25">
      <c r="B136" s="10" t="s">
        <v>131</v>
      </c>
      <c r="C136" s="17">
        <v>-11.242000000000001</v>
      </c>
      <c r="D136" s="17">
        <v>-11.603999999999999</v>
      </c>
      <c r="E136" s="17">
        <v>-12.038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R136" s="10">
        <f t="shared" si="193"/>
        <v>0</v>
      </c>
      <c r="AS136" s="10">
        <f t="shared" si="194"/>
        <v>0</v>
      </c>
      <c r="AT136" s="10">
        <f t="shared" si="195"/>
        <v>0</v>
      </c>
      <c r="AU136" s="10">
        <f t="shared" si="196"/>
        <v>0</v>
      </c>
      <c r="AV136" s="10">
        <f t="shared" si="197"/>
        <v>0</v>
      </c>
      <c r="AW136" s="10">
        <f t="shared" si="198"/>
        <v>0</v>
      </c>
      <c r="AX136" s="10">
        <f t="shared" si="199"/>
        <v>0</v>
      </c>
      <c r="AY136" s="10">
        <f t="shared" si="200"/>
        <v>0</v>
      </c>
      <c r="AZ136" s="10">
        <f t="shared" si="201"/>
        <v>0</v>
      </c>
      <c r="BA136" s="10">
        <f t="shared" si="202"/>
        <v>0</v>
      </c>
      <c r="BC136" s="15"/>
      <c r="BD136" s="15"/>
    </row>
    <row r="137" spans="2:56" x14ac:dyDescent="0.25">
      <c r="B137" s="10" t="s">
        <v>44</v>
      </c>
      <c r="C137" s="17">
        <v>1.4E-2</v>
      </c>
      <c r="D137" s="17">
        <v>8.0000000000000002E-3</v>
      </c>
      <c r="E137" s="17">
        <v>8.9999999999999993E-3</v>
      </c>
      <c r="F137" s="17">
        <v>-1.0999999999999999E-2</v>
      </c>
      <c r="G137" s="17">
        <v>-6.4000000000000001E-2</v>
      </c>
      <c r="H137" s="17">
        <v>-0.09</v>
      </c>
      <c r="I137" s="17">
        <v>-0.123</v>
      </c>
      <c r="J137" s="17">
        <v>-4.2999999999999997E-2</v>
      </c>
      <c r="K137" s="17">
        <v>-0.05</v>
      </c>
      <c r="L137" s="17">
        <v>-5.0999999999999997E-2</v>
      </c>
      <c r="M137" s="17">
        <v>-8.7999999999999995E-2</v>
      </c>
      <c r="N137" s="17">
        <v>2.7E-2</v>
      </c>
      <c r="O137" s="17">
        <v>-0.109</v>
      </c>
      <c r="P137" s="17">
        <v>5.6000000000000001E-2</v>
      </c>
      <c r="Q137" s="17">
        <v>0.10299999999999999</v>
      </c>
      <c r="R137" s="17">
        <v>2.8000000000000001E-2</v>
      </c>
      <c r="S137" s="15">
        <f>R137</f>
        <v>2.8000000000000001E-2</v>
      </c>
      <c r="T137" s="15">
        <f>S137</f>
        <v>2.8000000000000001E-2</v>
      </c>
      <c r="U137" s="15">
        <f t="shared" ref="U137:AP137" si="205">T137</f>
        <v>2.8000000000000001E-2</v>
      </c>
      <c r="V137" s="15">
        <f t="shared" si="205"/>
        <v>2.8000000000000001E-2</v>
      </c>
      <c r="W137" s="15">
        <f t="shared" si="205"/>
        <v>2.8000000000000001E-2</v>
      </c>
      <c r="X137" s="15">
        <f t="shared" si="205"/>
        <v>2.8000000000000001E-2</v>
      </c>
      <c r="Y137" s="15">
        <f t="shared" si="205"/>
        <v>2.8000000000000001E-2</v>
      </c>
      <c r="Z137" s="15">
        <f t="shared" si="205"/>
        <v>2.8000000000000001E-2</v>
      </c>
      <c r="AA137" s="15">
        <f t="shared" si="205"/>
        <v>2.8000000000000001E-2</v>
      </c>
      <c r="AB137" s="15">
        <f t="shared" si="205"/>
        <v>2.8000000000000001E-2</v>
      </c>
      <c r="AC137" s="15">
        <f t="shared" si="205"/>
        <v>2.8000000000000001E-2</v>
      </c>
      <c r="AD137" s="15">
        <f t="shared" si="205"/>
        <v>2.8000000000000001E-2</v>
      </c>
      <c r="AE137" s="15">
        <f t="shared" si="205"/>
        <v>2.8000000000000001E-2</v>
      </c>
      <c r="AF137" s="15">
        <f t="shared" si="205"/>
        <v>2.8000000000000001E-2</v>
      </c>
      <c r="AG137" s="15">
        <f t="shared" si="205"/>
        <v>2.8000000000000001E-2</v>
      </c>
      <c r="AH137" s="15">
        <f t="shared" si="205"/>
        <v>2.8000000000000001E-2</v>
      </c>
      <c r="AI137" s="15">
        <f t="shared" si="205"/>
        <v>2.8000000000000001E-2</v>
      </c>
      <c r="AJ137" s="15">
        <f t="shared" si="205"/>
        <v>2.8000000000000001E-2</v>
      </c>
      <c r="AK137" s="15">
        <f t="shared" si="205"/>
        <v>2.8000000000000001E-2</v>
      </c>
      <c r="AL137" s="15">
        <f t="shared" si="205"/>
        <v>2.8000000000000001E-2</v>
      </c>
      <c r="AM137" s="15">
        <f t="shared" si="205"/>
        <v>2.8000000000000001E-2</v>
      </c>
      <c r="AN137" s="15">
        <f t="shared" si="205"/>
        <v>2.8000000000000001E-2</v>
      </c>
      <c r="AO137" s="15">
        <f t="shared" si="205"/>
        <v>2.8000000000000001E-2</v>
      </c>
      <c r="AP137" s="15">
        <f t="shared" si="205"/>
        <v>2.8000000000000001E-2</v>
      </c>
      <c r="AR137" s="10">
        <f t="shared" si="193"/>
        <v>-1.0999999999999999E-2</v>
      </c>
      <c r="AS137" s="10">
        <f t="shared" si="194"/>
        <v>-4.2999999999999997E-2</v>
      </c>
      <c r="AT137" s="10">
        <f t="shared" si="195"/>
        <v>2.7E-2</v>
      </c>
      <c r="AU137" s="10">
        <f t="shared" si="196"/>
        <v>2.8000000000000001E-2</v>
      </c>
      <c r="AV137" s="10">
        <f t="shared" si="197"/>
        <v>2.8000000000000001E-2</v>
      </c>
      <c r="AW137" s="10">
        <f t="shared" si="198"/>
        <v>2.8000000000000001E-2</v>
      </c>
      <c r="AX137" s="10">
        <f t="shared" si="199"/>
        <v>2.8000000000000001E-2</v>
      </c>
      <c r="AY137" s="10">
        <f t="shared" si="200"/>
        <v>2.8000000000000001E-2</v>
      </c>
      <c r="AZ137" s="10">
        <f t="shared" si="201"/>
        <v>2.8000000000000001E-2</v>
      </c>
      <c r="BA137" s="10">
        <f t="shared" si="202"/>
        <v>2.8000000000000001E-2</v>
      </c>
      <c r="BC137" s="15">
        <v>2.8000000000000001E-2</v>
      </c>
      <c r="BD137" s="15"/>
    </row>
    <row r="138" spans="2:56" x14ac:dyDescent="0.25">
      <c r="B138" s="10" t="s">
        <v>45</v>
      </c>
      <c r="C138" s="17">
        <v>20.721</v>
      </c>
      <c r="D138" s="17">
        <v>22.995000000000001</v>
      </c>
      <c r="E138" s="17">
        <v>25.359000000000002</v>
      </c>
      <c r="F138" s="17">
        <v>16.234999999999999</v>
      </c>
      <c r="G138" s="17">
        <v>15.757999999999999</v>
      </c>
      <c r="H138" s="17">
        <v>12.971</v>
      </c>
      <c r="I138" s="17">
        <v>9.9049999999999994</v>
      </c>
      <c r="J138" s="17">
        <v>10.170999999999999</v>
      </c>
      <c r="K138" s="17">
        <v>12.115</v>
      </c>
      <c r="L138" s="17">
        <v>14.920999999999999</v>
      </c>
      <c r="M138" s="17">
        <v>20.36</v>
      </c>
      <c r="N138" s="17">
        <v>29.817</v>
      </c>
      <c r="O138" s="17">
        <v>36.597999999999999</v>
      </c>
      <c r="P138" s="17">
        <v>45.960999999999999</v>
      </c>
      <c r="Q138" s="17">
        <v>53.95</v>
      </c>
      <c r="R138" s="17">
        <v>68.037999999999997</v>
      </c>
      <c r="S138" s="15">
        <f>R138+S87+S178+S179+S180</f>
        <v>76.894999999999982</v>
      </c>
      <c r="T138" s="15">
        <f t="shared" ref="T138:AP138" si="206">S138+T87+T178+T179+T180</f>
        <v>87.227660152868992</v>
      </c>
      <c r="U138" s="15">
        <f t="shared" si="206"/>
        <v>101.16828257661697</v>
      </c>
      <c r="V138" s="15">
        <f t="shared" si="206"/>
        <v>117.50956220022489</v>
      </c>
      <c r="W138" s="15">
        <f t="shared" si="206"/>
        <v>135.1538388365444</v>
      </c>
      <c r="X138" s="15">
        <f t="shared" si="206"/>
        <v>156.89994023509558</v>
      </c>
      <c r="Y138" s="15">
        <f t="shared" si="206"/>
        <v>181.93431103057381</v>
      </c>
      <c r="Z138" s="15">
        <f t="shared" si="206"/>
        <v>209.47968056789051</v>
      </c>
      <c r="AA138" s="15">
        <f t="shared" si="206"/>
        <v>237.02876606193675</v>
      </c>
      <c r="AB138" s="15">
        <f t="shared" si="206"/>
        <v>270.77244811611973</v>
      </c>
      <c r="AC138" s="15">
        <f t="shared" si="206"/>
        <v>309.04752467365989</v>
      </c>
      <c r="AD138" s="15">
        <f t="shared" si="206"/>
        <v>350.95793126603024</v>
      </c>
      <c r="AE138" s="15">
        <f t="shared" si="206"/>
        <v>390.79825219491499</v>
      </c>
      <c r="AF138" s="15">
        <f t="shared" si="206"/>
        <v>439.16244416507516</v>
      </c>
      <c r="AG138" s="15">
        <f t="shared" si="206"/>
        <v>493.57123454032393</v>
      </c>
      <c r="AH138" s="15">
        <f t="shared" si="206"/>
        <v>553.00865169048529</v>
      </c>
      <c r="AI138" s="15">
        <f t="shared" si="206"/>
        <v>609.62415499246902</v>
      </c>
      <c r="AJ138" s="15">
        <f t="shared" si="206"/>
        <v>677.62607275595508</v>
      </c>
      <c r="AK138" s="15">
        <f t="shared" si="206"/>
        <v>753.70284237991791</v>
      </c>
      <c r="AL138" s="15">
        <f t="shared" si="206"/>
        <v>836.71007749908586</v>
      </c>
      <c r="AM138" s="15">
        <f t="shared" si="206"/>
        <v>916.34972017226823</v>
      </c>
      <c r="AN138" s="15">
        <f t="shared" si="206"/>
        <v>1010.8286330869329</v>
      </c>
      <c r="AO138" s="15">
        <f t="shared" si="206"/>
        <v>1116.1189722275287</v>
      </c>
      <c r="AP138" s="15">
        <f t="shared" si="206"/>
        <v>1230.9143501031783</v>
      </c>
      <c r="AR138" s="10">
        <f t="shared" si="193"/>
        <v>16.234999999999999</v>
      </c>
      <c r="AS138" s="10">
        <f t="shared" si="194"/>
        <v>10.170999999999999</v>
      </c>
      <c r="AT138" s="10">
        <f t="shared" si="195"/>
        <v>29.817</v>
      </c>
      <c r="AU138" s="10">
        <f t="shared" si="196"/>
        <v>68.037999999999997</v>
      </c>
      <c r="AV138" s="10">
        <f t="shared" si="197"/>
        <v>117.50956220022489</v>
      </c>
      <c r="AW138" s="10">
        <f t="shared" si="198"/>
        <v>209.47968056789051</v>
      </c>
      <c r="AX138" s="10">
        <f t="shared" si="199"/>
        <v>350.95793126603024</v>
      </c>
      <c r="AY138" s="10">
        <f t="shared" si="200"/>
        <v>553.00865169048529</v>
      </c>
      <c r="AZ138" s="10">
        <f t="shared" si="201"/>
        <v>836.71007749908586</v>
      </c>
      <c r="BA138" s="10">
        <f t="shared" si="202"/>
        <v>1230.9143501031783</v>
      </c>
      <c r="BC138" s="15">
        <v>80.935050523825993</v>
      </c>
      <c r="BD138" s="15"/>
    </row>
    <row r="139" spans="2:56" x14ac:dyDescent="0.25">
      <c r="B139" s="8" t="s">
        <v>46</v>
      </c>
      <c r="C139" s="27">
        <f t="shared" ref="C139:AP139" si="207">SUM(C133:C138)</f>
        <v>18.773999999999997</v>
      </c>
      <c r="D139" s="27">
        <f t="shared" si="207"/>
        <v>21.147000000000002</v>
      </c>
      <c r="E139" s="27">
        <f t="shared" si="207"/>
        <v>23.798000000000002</v>
      </c>
      <c r="F139" s="27">
        <f t="shared" si="207"/>
        <v>26.612000000000002</v>
      </c>
      <c r="G139" s="27">
        <f t="shared" si="207"/>
        <v>26.32</v>
      </c>
      <c r="H139" s="27">
        <f>SUM(H133:H138)</f>
        <v>23.850999999999999</v>
      </c>
      <c r="I139" s="27">
        <f t="shared" si="207"/>
        <v>21.349</v>
      </c>
      <c r="J139" s="27">
        <f t="shared" si="207"/>
        <v>22.100999999999999</v>
      </c>
      <c r="K139" s="27">
        <f t="shared" si="207"/>
        <v>24.52</v>
      </c>
      <c r="L139" s="27">
        <f t="shared" si="207"/>
        <v>27.500999999999998</v>
      </c>
      <c r="M139" s="27">
        <f t="shared" si="207"/>
        <v>33.265000000000001</v>
      </c>
      <c r="N139" s="27">
        <f t="shared" si="207"/>
        <v>42.978000000000002</v>
      </c>
      <c r="O139" s="27">
        <f t="shared" si="207"/>
        <v>49.141999999999996</v>
      </c>
      <c r="P139" s="27">
        <f t="shared" si="207"/>
        <v>58.156999999999996</v>
      </c>
      <c r="Q139" s="27">
        <f t="shared" si="207"/>
        <v>65.899000000000001</v>
      </c>
      <c r="R139" s="27">
        <f t="shared" si="207"/>
        <v>79.326999999999998</v>
      </c>
      <c r="S139" s="27">
        <f t="shared" si="207"/>
        <v>89.383999999999986</v>
      </c>
      <c r="T139" s="27">
        <f t="shared" si="207"/>
        <v>100.91666015286899</v>
      </c>
      <c r="U139" s="27">
        <f t="shared" si="207"/>
        <v>116.05728257661697</v>
      </c>
      <c r="V139" s="27">
        <f t="shared" si="207"/>
        <v>133.59856220022488</v>
      </c>
      <c r="W139" s="27">
        <f t="shared" si="207"/>
        <v>152.44283883654438</v>
      </c>
      <c r="X139" s="27">
        <f t="shared" si="207"/>
        <v>175.38894023509559</v>
      </c>
      <c r="Y139" s="27">
        <f t="shared" si="207"/>
        <v>201.6233110305738</v>
      </c>
      <c r="Z139" s="27">
        <f t="shared" si="207"/>
        <v>230.36868056789052</v>
      </c>
      <c r="AA139" s="27">
        <f t="shared" si="207"/>
        <v>259.11776606193672</v>
      </c>
      <c r="AB139" s="27">
        <f t="shared" si="207"/>
        <v>294.06144811611972</v>
      </c>
      <c r="AC139" s="27">
        <f t="shared" si="207"/>
        <v>333.53652467365987</v>
      </c>
      <c r="AD139" s="27">
        <f t="shared" si="207"/>
        <v>376.64693126603026</v>
      </c>
      <c r="AE139" s="27">
        <f t="shared" si="207"/>
        <v>417.687252194915</v>
      </c>
      <c r="AF139" s="27">
        <f t="shared" si="207"/>
        <v>467.25144416507516</v>
      </c>
      <c r="AG139" s="27">
        <f t="shared" si="207"/>
        <v>522.86023454032397</v>
      </c>
      <c r="AH139" s="27">
        <f t="shared" si="207"/>
        <v>583.49765169048533</v>
      </c>
      <c r="AI139" s="27">
        <f t="shared" si="207"/>
        <v>641.31315499246898</v>
      </c>
      <c r="AJ139" s="27">
        <f t="shared" si="207"/>
        <v>710.51507275595509</v>
      </c>
      <c r="AK139" s="27">
        <f t="shared" si="207"/>
        <v>787.79184237991785</v>
      </c>
      <c r="AL139" s="27">
        <f t="shared" si="207"/>
        <v>871.99907749908584</v>
      </c>
      <c r="AM139" s="27">
        <f t="shared" si="207"/>
        <v>952.83872017226827</v>
      </c>
      <c r="AN139" s="27">
        <f t="shared" si="207"/>
        <v>1048.5176330869328</v>
      </c>
      <c r="AO139" s="27">
        <f t="shared" si="207"/>
        <v>1155.0079722275286</v>
      </c>
      <c r="AP139" s="27">
        <f t="shared" si="207"/>
        <v>1271.0033501031783</v>
      </c>
      <c r="AR139" s="38">
        <f t="shared" ref="AR139:BA139" si="208">SUM(AR133:AR138)</f>
        <v>26.612000000000002</v>
      </c>
      <c r="AS139" s="38">
        <f t="shared" si="208"/>
        <v>22.100999999999999</v>
      </c>
      <c r="AT139" s="38">
        <f t="shared" si="208"/>
        <v>42.978000000000002</v>
      </c>
      <c r="AU139" s="38">
        <f t="shared" si="208"/>
        <v>79.326999999999998</v>
      </c>
      <c r="AV139" s="38">
        <f t="shared" si="208"/>
        <v>133.59856220022488</v>
      </c>
      <c r="AW139" s="38">
        <f t="shared" si="208"/>
        <v>230.36868056789052</v>
      </c>
      <c r="AX139" s="38">
        <f t="shared" si="208"/>
        <v>376.64693126603026</v>
      </c>
      <c r="AY139" s="38">
        <f t="shared" si="208"/>
        <v>583.49765169048533</v>
      </c>
      <c r="AZ139" s="38">
        <f t="shared" si="208"/>
        <v>871.99907749908584</v>
      </c>
      <c r="BA139" s="38">
        <f t="shared" si="208"/>
        <v>1271.0033501031783</v>
      </c>
      <c r="BC139" s="27">
        <v>93.424050523825997</v>
      </c>
      <c r="BD139" s="27"/>
    </row>
    <row r="140" spans="2:56" x14ac:dyDescent="0.25">
      <c r="B140" s="8" t="s">
        <v>47</v>
      </c>
      <c r="C140" s="21">
        <f t="shared" ref="C140:AP140" si="209">C130+C139</f>
        <v>30.795999999999999</v>
      </c>
      <c r="D140" s="21">
        <f t="shared" si="209"/>
        <v>38.650000000000006</v>
      </c>
      <c r="E140" s="21">
        <f t="shared" si="209"/>
        <v>40.632000000000005</v>
      </c>
      <c r="F140" s="21">
        <f t="shared" si="209"/>
        <v>44.186999999999998</v>
      </c>
      <c r="G140" s="21">
        <f t="shared" si="209"/>
        <v>45.212000000000003</v>
      </c>
      <c r="H140" s="21">
        <f>H130+H139</f>
        <v>43.475999999999999</v>
      </c>
      <c r="I140" s="21">
        <f t="shared" si="209"/>
        <v>40.488</v>
      </c>
      <c r="J140" s="21">
        <f t="shared" si="209"/>
        <v>41.182000000000002</v>
      </c>
      <c r="K140" s="21">
        <f t="shared" si="209"/>
        <v>44.459999999999994</v>
      </c>
      <c r="L140" s="21">
        <f t="shared" si="209"/>
        <v>49.554999999999993</v>
      </c>
      <c r="M140" s="21">
        <f t="shared" si="209"/>
        <v>54.148000000000003</v>
      </c>
      <c r="N140" s="21">
        <f t="shared" si="209"/>
        <v>65.728000000000009</v>
      </c>
      <c r="O140" s="21">
        <f t="shared" si="209"/>
        <v>77.072000000000003</v>
      </c>
      <c r="P140" s="21">
        <f t="shared" si="209"/>
        <v>85.22699999999999</v>
      </c>
      <c r="Q140" s="21">
        <f t="shared" si="209"/>
        <v>96.013000000000005</v>
      </c>
      <c r="R140" s="21">
        <f t="shared" si="209"/>
        <v>111.601</v>
      </c>
      <c r="S140" s="21">
        <f t="shared" si="209"/>
        <v>122.38599999999998</v>
      </c>
      <c r="T140" s="21">
        <f t="shared" si="209"/>
        <v>133.91866015286899</v>
      </c>
      <c r="U140" s="21">
        <f t="shared" si="209"/>
        <v>149.05928257661697</v>
      </c>
      <c r="V140" s="21">
        <f t="shared" si="209"/>
        <v>166.60056220022489</v>
      </c>
      <c r="W140" s="21">
        <f t="shared" si="209"/>
        <v>185.44483883654436</v>
      </c>
      <c r="X140" s="21">
        <f t="shared" si="209"/>
        <v>208.39094023509557</v>
      </c>
      <c r="Y140" s="21">
        <f t="shared" si="209"/>
        <v>234.62531103057381</v>
      </c>
      <c r="Z140" s="21">
        <f t="shared" si="209"/>
        <v>263.37068056789053</v>
      </c>
      <c r="AA140" s="21">
        <f t="shared" si="209"/>
        <v>292.11976606193673</v>
      </c>
      <c r="AB140" s="21">
        <f t="shared" si="209"/>
        <v>327.06344811611973</v>
      </c>
      <c r="AC140" s="21">
        <f t="shared" si="209"/>
        <v>366.53852467365988</v>
      </c>
      <c r="AD140" s="21">
        <f t="shared" si="209"/>
        <v>409.64893126603027</v>
      </c>
      <c r="AE140" s="21">
        <f t="shared" si="209"/>
        <v>450.68925219491501</v>
      </c>
      <c r="AF140" s="21">
        <f t="shared" si="209"/>
        <v>500.25344416507517</v>
      </c>
      <c r="AG140" s="21">
        <f t="shared" si="209"/>
        <v>555.86223454032393</v>
      </c>
      <c r="AH140" s="21">
        <f t="shared" si="209"/>
        <v>616.49965169048528</v>
      </c>
      <c r="AI140" s="21">
        <f t="shared" si="209"/>
        <v>674.31515499246893</v>
      </c>
      <c r="AJ140" s="21">
        <f t="shared" si="209"/>
        <v>743.51707275595504</v>
      </c>
      <c r="AK140" s="21">
        <f t="shared" si="209"/>
        <v>820.79384237991781</v>
      </c>
      <c r="AL140" s="21">
        <f t="shared" si="209"/>
        <v>905.0010774990858</v>
      </c>
      <c r="AM140" s="21">
        <f t="shared" si="209"/>
        <v>985.84072017226822</v>
      </c>
      <c r="AN140" s="21">
        <f t="shared" si="209"/>
        <v>1081.5196330869328</v>
      </c>
      <c r="AO140" s="21">
        <f t="shared" si="209"/>
        <v>1188.0099722275286</v>
      </c>
      <c r="AP140" s="21">
        <f t="shared" si="209"/>
        <v>1304.0053501031782</v>
      </c>
      <c r="AR140" s="21">
        <f t="shared" ref="AR140:BA140" si="210">AR130+AR139</f>
        <v>44.186999999999998</v>
      </c>
      <c r="AS140" s="21">
        <f t="shared" si="210"/>
        <v>41.182000000000002</v>
      </c>
      <c r="AT140" s="21">
        <f t="shared" si="210"/>
        <v>65.728000000000009</v>
      </c>
      <c r="AU140" s="21">
        <f t="shared" si="210"/>
        <v>111.601</v>
      </c>
      <c r="AV140" s="21">
        <f t="shared" si="210"/>
        <v>166.60056220022489</v>
      </c>
      <c r="AW140" s="21">
        <f t="shared" si="210"/>
        <v>263.37068056789053</v>
      </c>
      <c r="AX140" s="21">
        <f t="shared" si="210"/>
        <v>409.64893126603027</v>
      </c>
      <c r="AY140" s="21">
        <f t="shared" si="210"/>
        <v>616.49965169048528</v>
      </c>
      <c r="AZ140" s="21">
        <f t="shared" si="210"/>
        <v>905.0010774990858</v>
      </c>
      <c r="BA140" s="21">
        <f t="shared" si="210"/>
        <v>1304.0053501031782</v>
      </c>
      <c r="BC140" s="21">
        <v>126.42605052382599</v>
      </c>
      <c r="BD140" s="21"/>
    </row>
    <row r="142" spans="2:56" x14ac:dyDescent="0.25">
      <c r="B142" s="28" t="s">
        <v>49</v>
      </c>
      <c r="C142" s="28" t="b">
        <f t="shared" ref="C142:R142" si="211">C140=C119</f>
        <v>1</v>
      </c>
      <c r="D142" s="28" t="b">
        <f t="shared" si="211"/>
        <v>1</v>
      </c>
      <c r="E142" s="28" t="b">
        <f t="shared" si="211"/>
        <v>1</v>
      </c>
      <c r="F142" s="28" t="b">
        <f t="shared" si="211"/>
        <v>1</v>
      </c>
      <c r="G142" s="28" t="b">
        <f t="shared" si="211"/>
        <v>1</v>
      </c>
      <c r="H142" s="28" t="b">
        <f t="shared" si="211"/>
        <v>1</v>
      </c>
      <c r="I142" s="28" t="b">
        <f t="shared" si="211"/>
        <v>1</v>
      </c>
      <c r="J142" s="28" t="b">
        <f t="shared" si="211"/>
        <v>1</v>
      </c>
      <c r="K142" s="28" t="b">
        <f t="shared" si="211"/>
        <v>1</v>
      </c>
      <c r="L142" s="28" t="b">
        <f t="shared" si="211"/>
        <v>1</v>
      </c>
      <c r="M142" s="28" t="b">
        <f t="shared" si="211"/>
        <v>1</v>
      </c>
      <c r="N142" s="28" t="b">
        <f t="shared" si="211"/>
        <v>1</v>
      </c>
      <c r="O142" s="28" t="b">
        <f t="shared" si="211"/>
        <v>1</v>
      </c>
      <c r="P142" s="28" t="b">
        <f t="shared" si="211"/>
        <v>1</v>
      </c>
      <c r="Q142" s="28" t="b">
        <f t="shared" si="211"/>
        <v>1</v>
      </c>
      <c r="R142" s="28" t="b">
        <f t="shared" si="211"/>
        <v>1</v>
      </c>
      <c r="S142" s="28" t="b">
        <f t="shared" ref="S142:BA142" si="212">S140=S119</f>
        <v>1</v>
      </c>
      <c r="T142" s="28" t="b">
        <f t="shared" si="212"/>
        <v>1</v>
      </c>
      <c r="U142" s="28" t="b">
        <f t="shared" si="212"/>
        <v>1</v>
      </c>
      <c r="V142" s="28" t="b">
        <f t="shared" si="212"/>
        <v>1</v>
      </c>
      <c r="W142" s="28" t="b">
        <f t="shared" si="212"/>
        <v>1</v>
      </c>
      <c r="X142" s="28" t="b">
        <f t="shared" si="212"/>
        <v>1</v>
      </c>
      <c r="Y142" s="28" t="b">
        <f t="shared" si="212"/>
        <v>1</v>
      </c>
      <c r="Z142" s="28" t="b">
        <f t="shared" si="212"/>
        <v>1</v>
      </c>
      <c r="AA142" s="28" t="b">
        <f t="shared" si="212"/>
        <v>1</v>
      </c>
      <c r="AB142" s="28" t="b">
        <f t="shared" si="212"/>
        <v>1</v>
      </c>
      <c r="AC142" s="28" t="b">
        <f t="shared" si="212"/>
        <v>1</v>
      </c>
      <c r="AD142" s="28" t="b">
        <f t="shared" si="212"/>
        <v>1</v>
      </c>
      <c r="AE142" s="28" t="b">
        <f t="shared" si="212"/>
        <v>1</v>
      </c>
      <c r="AF142" s="28" t="b">
        <f t="shared" si="212"/>
        <v>1</v>
      </c>
      <c r="AG142" s="28" t="b">
        <f t="shared" si="212"/>
        <v>1</v>
      </c>
      <c r="AH142" s="28" t="b">
        <f t="shared" si="212"/>
        <v>0</v>
      </c>
      <c r="AI142" s="28" t="b">
        <f t="shared" si="212"/>
        <v>1</v>
      </c>
      <c r="AJ142" s="28" t="b">
        <f t="shared" si="212"/>
        <v>1</v>
      </c>
      <c r="AK142" s="28" t="b">
        <f t="shared" si="212"/>
        <v>1</v>
      </c>
      <c r="AL142" s="28" t="b">
        <f t="shared" si="212"/>
        <v>1</v>
      </c>
      <c r="AM142" s="28" t="b">
        <f t="shared" si="212"/>
        <v>0</v>
      </c>
      <c r="AN142" s="28" t="b">
        <f t="shared" si="212"/>
        <v>1</v>
      </c>
      <c r="AO142" s="28" t="b">
        <f t="shared" si="212"/>
        <v>1</v>
      </c>
      <c r="AP142" s="28" t="b">
        <f t="shared" si="212"/>
        <v>1</v>
      </c>
      <c r="AR142" s="28" t="b">
        <f t="shared" si="212"/>
        <v>1</v>
      </c>
      <c r="AS142" s="28" t="b">
        <f t="shared" si="212"/>
        <v>1</v>
      </c>
      <c r="AT142" s="28" t="b">
        <f t="shared" si="212"/>
        <v>1</v>
      </c>
      <c r="AU142" s="28" t="b">
        <f t="shared" si="212"/>
        <v>1</v>
      </c>
      <c r="AV142" s="28" t="b">
        <f t="shared" si="212"/>
        <v>1</v>
      </c>
      <c r="AW142" s="28" t="b">
        <f t="shared" si="212"/>
        <v>1</v>
      </c>
      <c r="AX142" s="28" t="b">
        <f t="shared" si="212"/>
        <v>1</v>
      </c>
      <c r="AY142" s="28" t="b">
        <f t="shared" si="212"/>
        <v>0</v>
      </c>
      <c r="AZ142" s="28" t="b">
        <f t="shared" si="212"/>
        <v>1</v>
      </c>
      <c r="BA142" s="28" t="b">
        <f t="shared" si="212"/>
        <v>1</v>
      </c>
      <c r="BC142" s="28" t="b">
        <v>1</v>
      </c>
      <c r="BD142" s="28"/>
    </row>
    <row r="144" spans="2:56" x14ac:dyDescent="0.25">
      <c r="B144" s="8" t="s">
        <v>50</v>
      </c>
    </row>
    <row r="146" spans="2:55" x14ac:dyDescent="0.25">
      <c r="B146" s="8" t="s">
        <v>51</v>
      </c>
    </row>
    <row r="147" spans="2:55" x14ac:dyDescent="0.25">
      <c r="B147" s="10" t="s">
        <v>52</v>
      </c>
      <c r="C147" s="10">
        <f t="shared" ref="C147:AP147" si="213">C87</f>
        <v>1.9119999999999995</v>
      </c>
      <c r="D147" s="10">
        <f>D87-0.001</f>
        <v>2.3729999999999998</v>
      </c>
      <c r="E147" s="10">
        <f t="shared" si="213"/>
        <v>2.4640000000000004</v>
      </c>
      <c r="F147" s="10">
        <f>F87+0.001</f>
        <v>3.0029999999999988</v>
      </c>
      <c r="G147" s="10">
        <f t="shared" si="213"/>
        <v>1.6180000000000003</v>
      </c>
      <c r="H147" s="10">
        <f t="shared" si="213"/>
        <v>0.65600000000000058</v>
      </c>
      <c r="I147" s="10">
        <f t="shared" si="213"/>
        <v>0.67999999999999994</v>
      </c>
      <c r="J147" s="10">
        <f t="shared" si="213"/>
        <v>1.4000000000000001</v>
      </c>
      <c r="K147" s="10">
        <f t="shared" si="213"/>
        <v>2.0429999999999997</v>
      </c>
      <c r="L147" s="10">
        <f t="shared" si="213"/>
        <v>6.1879999999999997</v>
      </c>
      <c r="M147" s="10">
        <f t="shared" si="213"/>
        <v>9.2430000000000003</v>
      </c>
      <c r="N147" s="10">
        <f t="shared" si="213"/>
        <v>12.286000000000001</v>
      </c>
      <c r="O147" s="10">
        <f t="shared" si="213"/>
        <v>14.881</v>
      </c>
      <c r="P147" s="10">
        <f t="shared" si="213"/>
        <v>16.599000000000004</v>
      </c>
      <c r="Q147" s="10">
        <f t="shared" si="213"/>
        <v>19.309000000000001</v>
      </c>
      <c r="R147" s="10">
        <f t="shared" si="213"/>
        <v>22.090999999999983</v>
      </c>
      <c r="S147" s="10">
        <f t="shared" si="213"/>
        <v>18.774999999999999</v>
      </c>
      <c r="T147" s="10">
        <f t="shared" si="213"/>
        <v>20.250660152869024</v>
      </c>
      <c r="U147" s="10">
        <f t="shared" si="213"/>
        <v>23.858622423747988</v>
      </c>
      <c r="V147" s="10">
        <f t="shared" si="213"/>
        <v>26.25927962360792</v>
      </c>
      <c r="W147" s="10">
        <f t="shared" si="213"/>
        <v>27.562276636319517</v>
      </c>
      <c r="X147" s="10">
        <f t="shared" si="213"/>
        <v>31.664101398551196</v>
      </c>
      <c r="Y147" s="10">
        <f t="shared" si="213"/>
        <v>34.952370795478231</v>
      </c>
      <c r="Z147" s="10">
        <f t="shared" si="213"/>
        <v>37.463369537316716</v>
      </c>
      <c r="AA147" s="10">
        <f t="shared" si="213"/>
        <v>37.467085494046252</v>
      </c>
      <c r="AB147" s="10">
        <f t="shared" si="213"/>
        <v>43.661682054183011</v>
      </c>
      <c r="AC147" s="10">
        <f t="shared" si="213"/>
        <v>48.193076557540174</v>
      </c>
      <c r="AD147" s="10">
        <f t="shared" si="213"/>
        <v>51.828406592370371</v>
      </c>
      <c r="AE147" s="10">
        <f t="shared" si="213"/>
        <v>49.758320928884743</v>
      </c>
      <c r="AF147" s="10">
        <f t="shared" si="213"/>
        <v>58.282191970160149</v>
      </c>
      <c r="AG147" s="10">
        <f t="shared" si="213"/>
        <v>64.326790375248791</v>
      </c>
      <c r="AH147" s="10">
        <f t="shared" si="213"/>
        <v>69.355417150161358</v>
      </c>
      <c r="AI147" s="10">
        <f t="shared" si="213"/>
        <v>66.533503301983785</v>
      </c>
      <c r="AJ147" s="10">
        <f t="shared" si="213"/>
        <v>77.919917763486112</v>
      </c>
      <c r="AK147" s="10">
        <f t="shared" si="213"/>
        <v>85.994769623962867</v>
      </c>
      <c r="AL147" s="10">
        <f t="shared" si="213"/>
        <v>92.925235119167994</v>
      </c>
      <c r="AM147" s="10">
        <f t="shared" si="213"/>
        <v>89.557642673182372</v>
      </c>
      <c r="AN147" s="10">
        <f t="shared" si="213"/>
        <v>104.39691291466465</v>
      </c>
      <c r="AO147" s="10">
        <f t="shared" si="213"/>
        <v>115.20833914059577</v>
      </c>
      <c r="AP147" s="10">
        <f t="shared" si="213"/>
        <v>124.71337787564946</v>
      </c>
      <c r="AR147" s="10">
        <f>SUM(C147:F147)</f>
        <v>9.7519999999999989</v>
      </c>
      <c r="AS147" s="10">
        <f>SUM(G147:J147)</f>
        <v>4.354000000000001</v>
      </c>
      <c r="AT147" s="10">
        <f>SUM(K147:N147)</f>
        <v>29.76</v>
      </c>
      <c r="AU147" s="10">
        <f>SUM(O147:R147)</f>
        <v>72.879999999999981</v>
      </c>
      <c r="AV147" s="10">
        <f>SUM(S147:V147)</f>
        <v>89.143562200224935</v>
      </c>
      <c r="AW147" s="10">
        <f>SUM(W147:Z147)</f>
        <v>131.64211836766566</v>
      </c>
      <c r="AX147" s="10">
        <f>SUM(AA147:AD147)</f>
        <v>181.15025069813981</v>
      </c>
      <c r="AY147" s="10">
        <f>SUM(AE147:AH147)</f>
        <v>241.72272042445508</v>
      </c>
      <c r="AZ147" s="10">
        <f>SUM(AI147:AL147)</f>
        <v>323.37342580860076</v>
      </c>
      <c r="BA147" s="10">
        <f>SUM(AM147:AP147)</f>
        <v>433.87627260409226</v>
      </c>
      <c r="BC147" s="10">
        <v>22.815050523825999</v>
      </c>
    </row>
    <row r="148" spans="2:55" x14ac:dyDescent="0.25">
      <c r="B148" s="10" t="s">
        <v>112</v>
      </c>
    </row>
    <row r="149" spans="2:55" x14ac:dyDescent="0.25">
      <c r="B149" s="22" t="s">
        <v>100</v>
      </c>
      <c r="C149" s="17">
        <v>0.42899999999999999</v>
      </c>
      <c r="D149" s="17">
        <f>0.894-C149</f>
        <v>0.46500000000000002</v>
      </c>
      <c r="E149" s="17">
        <f>1.453-SUM(C149:D149)</f>
        <v>0.55900000000000005</v>
      </c>
      <c r="F149" s="17">
        <f>2.004-SUM(C149:E149)</f>
        <v>0.55099999999999993</v>
      </c>
      <c r="G149" s="17">
        <v>0.57799999999999996</v>
      </c>
      <c r="H149" s="17">
        <f>1.226-G149</f>
        <v>0.64800000000000002</v>
      </c>
      <c r="I149" s="17">
        <f>1.971-SUM(G149:H149)</f>
        <v>0.74500000000000011</v>
      </c>
      <c r="J149" s="17">
        <f>2.709-SUM(G149:I149)</f>
        <v>0.73799999999999999</v>
      </c>
      <c r="K149" s="17">
        <v>0.73499999999999999</v>
      </c>
      <c r="L149" s="17">
        <f>1.576-K149</f>
        <v>0.84100000000000008</v>
      </c>
      <c r="M149" s="17">
        <f>2.555-SUM(K149:L149)</f>
        <v>0.97900000000000009</v>
      </c>
      <c r="N149" s="17">
        <f>3.549-SUM(K149:M149)</f>
        <v>0.99399999999999977</v>
      </c>
      <c r="O149" s="10">
        <f t="shared" ref="O149:AP149" si="214">-O88</f>
        <v>1.0109999999999999</v>
      </c>
      <c r="P149" s="10">
        <f t="shared" si="214"/>
        <v>1.1539999999999999</v>
      </c>
      <c r="Q149" s="10">
        <f t="shared" si="214"/>
        <v>1.252</v>
      </c>
      <c r="R149" s="10">
        <f t="shared" si="214"/>
        <v>1.3200000000000003</v>
      </c>
      <c r="S149" s="10">
        <f t="shared" si="214"/>
        <v>1.2</v>
      </c>
      <c r="T149" s="10">
        <f t="shared" si="214"/>
        <v>1.2</v>
      </c>
      <c r="U149" s="10">
        <f t="shared" si="214"/>
        <v>1.2</v>
      </c>
      <c r="V149" s="10">
        <f t="shared" si="214"/>
        <v>1.2</v>
      </c>
      <c r="W149" s="10">
        <f t="shared" si="214"/>
        <v>1.2</v>
      </c>
      <c r="X149" s="10">
        <f t="shared" si="214"/>
        <v>1.2</v>
      </c>
      <c r="Y149" s="10">
        <f t="shared" si="214"/>
        <v>1.2</v>
      </c>
      <c r="Z149" s="10">
        <f t="shared" si="214"/>
        <v>1.2</v>
      </c>
      <c r="AA149" s="10">
        <f t="shared" si="214"/>
        <v>1.2</v>
      </c>
      <c r="AB149" s="10">
        <f t="shared" si="214"/>
        <v>1.2</v>
      </c>
      <c r="AC149" s="10">
        <f t="shared" si="214"/>
        <v>1.2</v>
      </c>
      <c r="AD149" s="10">
        <f t="shared" si="214"/>
        <v>1.2</v>
      </c>
      <c r="AE149" s="10">
        <f t="shared" si="214"/>
        <v>1.2</v>
      </c>
      <c r="AF149" s="10">
        <f t="shared" si="214"/>
        <v>1.2</v>
      </c>
      <c r="AG149" s="10">
        <f t="shared" si="214"/>
        <v>1.2</v>
      </c>
      <c r="AH149" s="10">
        <f t="shared" si="214"/>
        <v>1.2</v>
      </c>
      <c r="AI149" s="10">
        <f t="shared" si="214"/>
        <v>1.2</v>
      </c>
      <c r="AJ149" s="10">
        <f t="shared" si="214"/>
        <v>1.2</v>
      </c>
      <c r="AK149" s="10">
        <f t="shared" si="214"/>
        <v>1.2</v>
      </c>
      <c r="AL149" s="10">
        <f t="shared" si="214"/>
        <v>1.2</v>
      </c>
      <c r="AM149" s="10">
        <f t="shared" si="214"/>
        <v>1.2</v>
      </c>
      <c r="AN149" s="10">
        <f t="shared" si="214"/>
        <v>1.2</v>
      </c>
      <c r="AO149" s="10">
        <f t="shared" si="214"/>
        <v>1.2</v>
      </c>
      <c r="AP149" s="10">
        <f t="shared" si="214"/>
        <v>1.2</v>
      </c>
      <c r="AR149" s="10">
        <f t="shared" ref="AR149:AR154" si="215">SUM(C149:F149)</f>
        <v>2.004</v>
      </c>
      <c r="AS149" s="10">
        <f t="shared" ref="AS149:AS154" si="216">SUM(G149:J149)</f>
        <v>2.7090000000000001</v>
      </c>
      <c r="AT149" s="10">
        <f t="shared" ref="AT149:AT154" si="217">SUM(K149:N149)</f>
        <v>3.5489999999999999</v>
      </c>
      <c r="AU149" s="10">
        <f t="shared" ref="AU149:AU154" si="218">SUM(O149:R149)</f>
        <v>4.7370000000000001</v>
      </c>
      <c r="AV149" s="10">
        <f t="shared" ref="AV149:AV154" si="219">SUM(S149:V149)</f>
        <v>4.8</v>
      </c>
      <c r="AW149" s="10">
        <f t="shared" ref="AW149:AW154" si="220">SUM(W149:Z149)</f>
        <v>4.8</v>
      </c>
      <c r="AX149" s="10">
        <f t="shared" ref="AX149:AX154" si="221">SUM(AA149:AD149)</f>
        <v>4.8</v>
      </c>
      <c r="AY149" s="10">
        <f t="shared" ref="AY149:AY154" si="222">SUM(AE149:AH149)</f>
        <v>4.8</v>
      </c>
      <c r="AZ149" s="10">
        <f t="shared" ref="AZ149:AZ154" si="223">SUM(AI149:AL149)</f>
        <v>4.8</v>
      </c>
      <c r="BA149" s="10">
        <f t="shared" ref="BA149:BA154" si="224">SUM(AM149:AP149)</f>
        <v>4.8</v>
      </c>
      <c r="BC149" s="10">
        <v>1.2</v>
      </c>
    </row>
    <row r="150" spans="2:55" x14ac:dyDescent="0.25">
      <c r="B150" s="22" t="s">
        <v>99</v>
      </c>
      <c r="C150" s="17">
        <v>0</v>
      </c>
      <c r="D150" s="17">
        <v>0</v>
      </c>
      <c r="E150" s="17">
        <v>0</v>
      </c>
      <c r="F150" s="17">
        <v>0</v>
      </c>
      <c r="G150" s="17">
        <v>1.353</v>
      </c>
      <c r="H150" s="17">
        <f>1.353-G150</f>
        <v>0</v>
      </c>
      <c r="I150" s="17">
        <f>1.353-SUM(G150:H150)</f>
        <v>0</v>
      </c>
      <c r="J150" s="17">
        <f>1.353-SUM(G150:I150)</f>
        <v>0</v>
      </c>
      <c r="K150" s="17">
        <v>-3.4000000000000002E-2</v>
      </c>
      <c r="L150" s="17">
        <f>-1.881-K150</f>
        <v>-1.847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AR150" s="10">
        <f t="shared" si="215"/>
        <v>0</v>
      </c>
      <c r="AS150" s="10">
        <f t="shared" si="216"/>
        <v>1.353</v>
      </c>
      <c r="AT150" s="10">
        <f t="shared" si="217"/>
        <v>-1.881</v>
      </c>
      <c r="AU150" s="10">
        <f t="shared" si="218"/>
        <v>0</v>
      </c>
      <c r="AV150" s="10">
        <f t="shared" si="219"/>
        <v>0</v>
      </c>
      <c r="AW150" s="10">
        <f t="shared" si="220"/>
        <v>0</v>
      </c>
      <c r="AX150" s="10">
        <f t="shared" si="221"/>
        <v>0</v>
      </c>
      <c r="AY150" s="10">
        <f t="shared" si="222"/>
        <v>0</v>
      </c>
      <c r="AZ150" s="10">
        <f t="shared" si="223"/>
        <v>0</v>
      </c>
      <c r="BA150" s="10">
        <f t="shared" si="224"/>
        <v>0</v>
      </c>
    </row>
    <row r="151" spans="2:55" x14ac:dyDescent="0.25">
      <c r="B151" s="22" t="s">
        <v>108</v>
      </c>
      <c r="C151" s="17">
        <v>0.28100000000000003</v>
      </c>
      <c r="D151" s="17">
        <f>0.567-C151</f>
        <v>0.28599999999999992</v>
      </c>
      <c r="E151" s="17">
        <f>0.865-SUM(C151:D151)</f>
        <v>0.29800000000000004</v>
      </c>
      <c r="F151" s="17">
        <f>1.174-SUM(C151:E151)</f>
        <v>0.30899999999999994</v>
      </c>
      <c r="G151" s="17">
        <v>0.33400000000000002</v>
      </c>
      <c r="H151" s="17">
        <f>0.712-G151</f>
        <v>0.37799999999999995</v>
      </c>
      <c r="I151" s="17">
        <f>1.118-SUM(G151:H151)</f>
        <v>0.40600000000000014</v>
      </c>
      <c r="J151" s="17">
        <f>1.544-SUM(G151:I151)</f>
        <v>0.42599999999999993</v>
      </c>
      <c r="K151" s="17">
        <v>0.38400000000000001</v>
      </c>
      <c r="L151" s="17">
        <f>1.576-K151</f>
        <v>1.1920000000000002</v>
      </c>
      <c r="M151" s="17">
        <f>1.121-SUM(K151:L151)</f>
        <v>-0.45500000000000007</v>
      </c>
      <c r="N151" s="17">
        <f>1.508-SUM(K151:M151)</f>
        <v>0.38700000000000001</v>
      </c>
      <c r="O151" s="17">
        <v>0.41</v>
      </c>
      <c r="P151" s="17">
        <f>0.843-O151</f>
        <v>0.433</v>
      </c>
      <c r="Q151" s="17">
        <f>1.321-SUM(O151:P151)</f>
        <v>0.47799999999999998</v>
      </c>
      <c r="R151" s="17">
        <f>1.864-SUM(O151:Q151)</f>
        <v>0.54300000000000015</v>
      </c>
      <c r="AR151" s="10">
        <f t="shared" si="215"/>
        <v>1.1739999999999999</v>
      </c>
      <c r="AS151" s="10">
        <f t="shared" si="216"/>
        <v>1.544</v>
      </c>
      <c r="AT151" s="10">
        <f t="shared" si="217"/>
        <v>1.508</v>
      </c>
      <c r="AU151" s="10">
        <f t="shared" si="218"/>
        <v>1.8640000000000001</v>
      </c>
      <c r="AV151" s="10">
        <f t="shared" si="219"/>
        <v>0</v>
      </c>
      <c r="AW151" s="10">
        <f t="shared" si="220"/>
        <v>0</v>
      </c>
      <c r="AX151" s="10">
        <f t="shared" si="221"/>
        <v>0</v>
      </c>
      <c r="AY151" s="10">
        <f t="shared" si="222"/>
        <v>0</v>
      </c>
      <c r="AZ151" s="10">
        <f t="shared" si="223"/>
        <v>0</v>
      </c>
      <c r="BA151" s="10">
        <f t="shared" si="224"/>
        <v>0</v>
      </c>
    </row>
    <row r="152" spans="2:55" x14ac:dyDescent="0.25">
      <c r="B152" s="22" t="s">
        <v>110</v>
      </c>
      <c r="C152" s="17">
        <v>-0.13300000000000001</v>
      </c>
      <c r="D152" s="17">
        <f>-0.133-C152</f>
        <v>0</v>
      </c>
      <c r="E152" s="17">
        <f>-0.152-SUM(C152:D152)</f>
        <v>-1.8999999999999989E-2</v>
      </c>
      <c r="F152" s="17">
        <f>-0.1-SUM(C152:E152)</f>
        <v>5.1999999999999991E-2</v>
      </c>
      <c r="G152" s="17">
        <v>1.7000000000000001E-2</v>
      </c>
      <c r="H152" s="17">
        <f>0.024-G152</f>
        <v>6.9999999999999993E-3</v>
      </c>
      <c r="I152" s="17">
        <f>0.035-SUM(G152:H152)</f>
        <v>1.1000000000000003E-2</v>
      </c>
      <c r="J152" s="17">
        <f>-2.164-SUM(G152:I152)</f>
        <v>-2.1990000000000003</v>
      </c>
      <c r="K152" s="17">
        <v>1.4E-2</v>
      </c>
      <c r="L152" s="17">
        <f>0.749-K152</f>
        <v>0.73499999999999999</v>
      </c>
      <c r="M152" s="17">
        <f>0.024-SUM(K152:L152)</f>
        <v>-0.72499999999999998</v>
      </c>
      <c r="N152" s="17">
        <f>-0.238-SUM(K152:M152)</f>
        <v>-0.26200000000000001</v>
      </c>
      <c r="O152" s="17">
        <v>-6.9000000000000006E-2</v>
      </c>
      <c r="P152" s="17">
        <f>-0.264-O152</f>
        <v>-0.19500000000000001</v>
      </c>
      <c r="Q152" s="17">
        <f>-0.302-SUM(O152:P152)</f>
        <v>-3.7999999999999978E-2</v>
      </c>
      <c r="R152" s="17">
        <f>-1.03-SUM(O152:Q152)</f>
        <v>-0.72799999999999998</v>
      </c>
      <c r="AR152" s="10">
        <f t="shared" si="215"/>
        <v>-0.1</v>
      </c>
      <c r="AS152" s="10">
        <f t="shared" si="216"/>
        <v>-2.1640000000000001</v>
      </c>
      <c r="AT152" s="10">
        <f t="shared" si="217"/>
        <v>-0.23799999999999999</v>
      </c>
      <c r="AU152" s="10">
        <f t="shared" si="218"/>
        <v>-1.03</v>
      </c>
      <c r="AV152" s="10">
        <f t="shared" si="219"/>
        <v>0</v>
      </c>
      <c r="AW152" s="10">
        <f t="shared" si="220"/>
        <v>0</v>
      </c>
      <c r="AX152" s="10">
        <f t="shared" si="221"/>
        <v>0</v>
      </c>
      <c r="AY152" s="10">
        <f t="shared" si="222"/>
        <v>0</v>
      </c>
      <c r="AZ152" s="10">
        <f t="shared" si="223"/>
        <v>0</v>
      </c>
      <c r="BA152" s="10">
        <f t="shared" si="224"/>
        <v>0</v>
      </c>
    </row>
    <row r="153" spans="2:55" x14ac:dyDescent="0.25">
      <c r="B153" s="22" t="s">
        <v>109</v>
      </c>
      <c r="C153" s="17">
        <v>2.4E-2</v>
      </c>
      <c r="D153" s="17">
        <f>-0.161-C153</f>
        <v>-0.185</v>
      </c>
      <c r="E153" s="17">
        <f>-0.182-SUM(C153:D153)</f>
        <v>-2.0999999999999991E-2</v>
      </c>
      <c r="F153" s="17">
        <f>-0.406-SUM(C153:E153)</f>
        <v>-0.22400000000000003</v>
      </c>
      <c r="G153" s="17">
        <v>-0.54200000000000004</v>
      </c>
      <c r="H153" s="17">
        <f>-0.985-G153</f>
        <v>-0.44299999999999995</v>
      </c>
      <c r="I153" s="17">
        <f>-1.517-SUM(G153:H153)</f>
        <v>-0.53199999999999992</v>
      </c>
      <c r="J153" s="17">
        <f>0.045-SUM(G153:I153)</f>
        <v>1.5619999999999998</v>
      </c>
      <c r="K153" s="17">
        <v>-1.135</v>
      </c>
      <c r="L153" s="17">
        <f>-0.045-K153</f>
        <v>1.0900000000000001</v>
      </c>
      <c r="M153" s="17">
        <f>-2.411-SUM(K153:L153)</f>
        <v>-2.3660000000000001</v>
      </c>
      <c r="N153" s="17">
        <f>-2.489-SUM(K153:M153)</f>
        <v>-7.7999999999999847E-2</v>
      </c>
      <c r="O153" s="17">
        <v>-1.577</v>
      </c>
      <c r="P153" s="17">
        <f>-3.276-O153</f>
        <v>-1.6989999999999998</v>
      </c>
      <c r="Q153" s="17">
        <f>-3.879-SUM(O153:P153)</f>
        <v>-0.6030000000000002</v>
      </c>
      <c r="R153" s="17">
        <f>-4.477-SUM(O153:Q153)</f>
        <v>-0.59800000000000031</v>
      </c>
      <c r="AR153" s="10">
        <f t="shared" si="215"/>
        <v>-0.40600000000000003</v>
      </c>
      <c r="AS153" s="10">
        <f t="shared" si="216"/>
        <v>4.4999999999999929E-2</v>
      </c>
      <c r="AT153" s="10">
        <f t="shared" si="217"/>
        <v>-2.4889999999999999</v>
      </c>
      <c r="AU153" s="10">
        <f t="shared" si="218"/>
        <v>-4.4770000000000003</v>
      </c>
      <c r="AV153" s="10">
        <f t="shared" si="219"/>
        <v>0</v>
      </c>
      <c r="AW153" s="10">
        <f t="shared" si="220"/>
        <v>0</v>
      </c>
      <c r="AX153" s="10">
        <f t="shared" si="221"/>
        <v>0</v>
      </c>
      <c r="AY153" s="10">
        <f t="shared" si="222"/>
        <v>0</v>
      </c>
      <c r="AZ153" s="10">
        <f t="shared" si="223"/>
        <v>0</v>
      </c>
      <c r="BA153" s="10">
        <f t="shared" si="224"/>
        <v>0</v>
      </c>
    </row>
    <row r="154" spans="2:55" x14ac:dyDescent="0.25">
      <c r="B154" s="22" t="s">
        <v>53</v>
      </c>
      <c r="C154" s="17">
        <v>-3.0000000000000001E-3</v>
      </c>
      <c r="D154" s="17">
        <f>0.016-C154</f>
        <v>1.9E-2</v>
      </c>
      <c r="E154" s="17">
        <f>0.025-SUM(C154:D154)</f>
        <v>9.0000000000000011E-3</v>
      </c>
      <c r="F154" s="17">
        <f>0.047-SUM(C154:E154)</f>
        <v>2.1999999999999999E-2</v>
      </c>
      <c r="G154" s="17">
        <v>2.3E-2</v>
      </c>
      <c r="H154" s="17">
        <f>0.018-G154</f>
        <v>-5.000000000000001E-3</v>
      </c>
      <c r="I154" s="17">
        <f>-0.027-SUM(G154:H154)</f>
        <v>-4.4999999999999998E-2</v>
      </c>
      <c r="J154" s="17">
        <f>-0.007-SUM(G154:I154)</f>
        <v>0.02</v>
      </c>
      <c r="K154" s="17"/>
      <c r="L154" s="17">
        <f>-0.102-K154</f>
        <v>-0.10199999999999999</v>
      </c>
      <c r="M154" s="17">
        <f>-0.17-SUM(K154:L154)</f>
        <v>-6.8000000000000019E-2</v>
      </c>
      <c r="N154" s="17">
        <f>-0.278-SUM(K154:M154)</f>
        <v>-0.10800000000000001</v>
      </c>
      <c r="O154" s="17">
        <v>-0.14499999999999999</v>
      </c>
      <c r="P154" s="17">
        <f>-0.288-O154</f>
        <v>-0.14299999999999999</v>
      </c>
      <c r="Q154" s="17">
        <f>-0.365-SUM(O154:P154)</f>
        <v>-7.7000000000000013E-2</v>
      </c>
      <c r="R154" s="17">
        <f>-0.502-SUM(O154:Q154)</f>
        <v>-0.13700000000000001</v>
      </c>
      <c r="AR154" s="10">
        <f t="shared" si="215"/>
        <v>4.7E-2</v>
      </c>
      <c r="AS154" s="10">
        <f t="shared" si="216"/>
        <v>-6.9999999999999993E-3</v>
      </c>
      <c r="AT154" s="10">
        <f t="shared" si="217"/>
        <v>-0.27800000000000002</v>
      </c>
      <c r="AU154" s="10">
        <f t="shared" si="218"/>
        <v>-0.502</v>
      </c>
      <c r="AV154" s="10">
        <f t="shared" si="219"/>
        <v>0</v>
      </c>
      <c r="AW154" s="10">
        <f t="shared" si="220"/>
        <v>0</v>
      </c>
      <c r="AX154" s="10">
        <f t="shared" si="221"/>
        <v>0</v>
      </c>
      <c r="AY154" s="10">
        <f t="shared" si="222"/>
        <v>0</v>
      </c>
      <c r="AZ154" s="10">
        <f t="shared" si="223"/>
        <v>0</v>
      </c>
      <c r="BA154" s="10">
        <f t="shared" si="224"/>
        <v>0</v>
      </c>
    </row>
    <row r="155" spans="2:55" x14ac:dyDescent="0.25">
      <c r="B155" s="23" t="s">
        <v>111</v>
      </c>
    </row>
    <row r="156" spans="2:55" x14ac:dyDescent="0.25">
      <c r="B156" s="22" t="s">
        <v>54</v>
      </c>
      <c r="C156" s="17">
        <v>-0.59499999999999997</v>
      </c>
      <c r="D156" s="17">
        <f>-1.157-C156</f>
        <v>-0.56200000000000006</v>
      </c>
      <c r="E156" s="17">
        <f>-1.523-SUM(C156:D156)</f>
        <v>-0.36599999999999988</v>
      </c>
      <c r="F156" s="17">
        <f>-2.215-SUM(C156:E156)</f>
        <v>-0.69199999999999995</v>
      </c>
      <c r="G156" s="17">
        <v>-0.78800000000000003</v>
      </c>
      <c r="H156" s="17">
        <f>-0.668-G156</f>
        <v>0.12</v>
      </c>
      <c r="I156" s="17">
        <f>-0.258-SUM(G156:H156)</f>
        <v>0.41000000000000003</v>
      </c>
      <c r="J156" s="17">
        <f>0.822-SUM(G156:I156)</f>
        <v>1.08</v>
      </c>
      <c r="K156" s="17">
        <v>-0.252</v>
      </c>
      <c r="L156" s="17">
        <f>-3.239-K156</f>
        <v>-2.9870000000000001</v>
      </c>
      <c r="M156" s="17">
        <f>-4.482-SUM(K156:L156)</f>
        <v>-1.2430000000000003</v>
      </c>
      <c r="N156" s="17">
        <f>-6.172-SUM(K156:M156)</f>
        <v>-1.6899999999999995</v>
      </c>
      <c r="O156" s="17">
        <v>-2.3660000000000001</v>
      </c>
      <c r="P156" s="17">
        <f>-4.133-O156</f>
        <v>-1.7669999999999999</v>
      </c>
      <c r="Q156" s="17">
        <f>-7.694-SUM(O156:P156)</f>
        <v>-3.5609999999999999</v>
      </c>
      <c r="R156" s="17">
        <f>-13.063-SUM(O156:Q156)</f>
        <v>-5.3690000000000007</v>
      </c>
      <c r="S156" s="10">
        <f>R109-S109</f>
        <v>0</v>
      </c>
      <c r="T156" s="10">
        <f t="shared" ref="T156:AP157" si="225">S109-T109</f>
        <v>0</v>
      </c>
      <c r="U156" s="10">
        <f t="shared" si="225"/>
        <v>0</v>
      </c>
      <c r="V156" s="10">
        <f t="shared" si="225"/>
        <v>0</v>
      </c>
      <c r="W156" s="10">
        <f t="shared" si="225"/>
        <v>0</v>
      </c>
      <c r="X156" s="10">
        <f t="shared" si="225"/>
        <v>0</v>
      </c>
      <c r="Y156" s="10">
        <f t="shared" si="225"/>
        <v>0</v>
      </c>
      <c r="Z156" s="10">
        <f t="shared" si="225"/>
        <v>0</v>
      </c>
      <c r="AA156" s="10">
        <f t="shared" si="225"/>
        <v>0</v>
      </c>
      <c r="AB156" s="10">
        <f t="shared" si="225"/>
        <v>0</v>
      </c>
      <c r="AC156" s="10">
        <f t="shared" si="225"/>
        <v>0</v>
      </c>
      <c r="AD156" s="10">
        <f t="shared" si="225"/>
        <v>0</v>
      </c>
      <c r="AE156" s="10">
        <f t="shared" si="225"/>
        <v>0</v>
      </c>
      <c r="AF156" s="10">
        <f t="shared" si="225"/>
        <v>0</v>
      </c>
      <c r="AG156" s="10">
        <f t="shared" si="225"/>
        <v>0</v>
      </c>
      <c r="AH156" s="10">
        <f t="shared" si="225"/>
        <v>0</v>
      </c>
      <c r="AI156" s="10">
        <f t="shared" si="225"/>
        <v>0</v>
      </c>
      <c r="AJ156" s="10">
        <f t="shared" si="225"/>
        <v>0</v>
      </c>
      <c r="AK156" s="10">
        <f t="shared" si="225"/>
        <v>0</v>
      </c>
      <c r="AL156" s="10">
        <f t="shared" si="225"/>
        <v>0</v>
      </c>
      <c r="AM156" s="10">
        <f t="shared" si="225"/>
        <v>0</v>
      </c>
      <c r="AN156" s="10">
        <f t="shared" si="225"/>
        <v>0</v>
      </c>
      <c r="AO156" s="10">
        <f t="shared" si="225"/>
        <v>0</v>
      </c>
      <c r="AP156" s="10">
        <f t="shared" si="225"/>
        <v>0</v>
      </c>
      <c r="AR156" s="10">
        <f t="shared" ref="AR156:AR161" si="226">SUM(C156:F156)</f>
        <v>-2.2149999999999999</v>
      </c>
      <c r="AS156" s="10">
        <f t="shared" ref="AS156:AS161" si="227">SUM(G156:J156)</f>
        <v>0.82200000000000006</v>
      </c>
      <c r="AT156" s="10">
        <f t="shared" ref="AT156:AT161" si="228">SUM(K156:N156)</f>
        <v>-6.1719999999999997</v>
      </c>
      <c r="AU156" s="10">
        <f t="shared" ref="AU156:AU161" si="229">SUM(O156:R156)</f>
        <v>-13.063000000000001</v>
      </c>
      <c r="AV156" s="10">
        <f t="shared" ref="AV156:AV161" si="230">SUM(S156:V156)</f>
        <v>0</v>
      </c>
      <c r="AW156" s="10">
        <f t="shared" ref="AW156:AW161" si="231">SUM(W156:Z156)</f>
        <v>0</v>
      </c>
      <c r="AX156" s="10">
        <f t="shared" ref="AX156:AX161" si="232">SUM(AA156:AD156)</f>
        <v>0</v>
      </c>
      <c r="AY156" s="10">
        <f t="shared" ref="AY156:AY161" si="233">SUM(AE156:AH156)</f>
        <v>0</v>
      </c>
      <c r="AZ156" s="10">
        <f t="shared" ref="AZ156:AZ161" si="234">SUM(AI156:AL156)</f>
        <v>0</v>
      </c>
      <c r="BA156" s="10">
        <f t="shared" ref="BA156:BA161" si="235">SUM(AM156:AP156)</f>
        <v>0</v>
      </c>
      <c r="BC156" s="10">
        <v>0</v>
      </c>
    </row>
    <row r="157" spans="2:55" x14ac:dyDescent="0.25">
      <c r="B157" s="22" t="s">
        <v>103</v>
      </c>
      <c r="C157" s="17">
        <v>-0.159</v>
      </c>
      <c r="D157" s="17">
        <f>-0.282-C157</f>
        <v>-0.12299999999999997</v>
      </c>
      <c r="E157" s="17">
        <f>-0.4-SUM(C157:D157)</f>
        <v>-0.11800000000000005</v>
      </c>
      <c r="F157" s="17">
        <f>-0.774-SUM(C157:E157)</f>
        <v>-0.374</v>
      </c>
      <c r="G157" s="17">
        <v>-0.56000000000000005</v>
      </c>
      <c r="H157" s="17">
        <f>-1.285-G157</f>
        <v>-0.72499999999999987</v>
      </c>
      <c r="I157" s="17">
        <f>-1.848-SUM(G157:H157)</f>
        <v>-0.56300000000000017</v>
      </c>
      <c r="J157" s="17">
        <f>-2.554-SUM(G157:I157)</f>
        <v>-0.70599999999999974</v>
      </c>
      <c r="K157" s="17">
        <v>0.56599999999999995</v>
      </c>
      <c r="L157" s="17">
        <f>0.861-K157</f>
        <v>0.29500000000000004</v>
      </c>
      <c r="M157" s="17">
        <f>0.405-SUM(K157:L157)</f>
        <v>-0.45599999999999996</v>
      </c>
      <c r="N157" s="17">
        <f>-0.098-SUM(K157:M157)</f>
        <v>-0.503</v>
      </c>
      <c r="O157" s="17">
        <v>-0.57699999999999996</v>
      </c>
      <c r="P157" s="17">
        <f>-1.38-O157</f>
        <v>-0.80299999999999994</v>
      </c>
      <c r="Q157" s="17">
        <f>-2.357-SUM(O157:P157)</f>
        <v>-0.97700000000000031</v>
      </c>
      <c r="R157" s="17">
        <f>-4.781-SUM(O157:Q157)</f>
        <v>-2.4239999999999995</v>
      </c>
      <c r="S157" s="10">
        <f>R110-S110</f>
        <v>0</v>
      </c>
      <c r="T157" s="10">
        <f t="shared" si="225"/>
        <v>0</v>
      </c>
      <c r="U157" s="10">
        <f t="shared" si="225"/>
        <v>0</v>
      </c>
      <c r="V157" s="10">
        <f t="shared" si="225"/>
        <v>0</v>
      </c>
      <c r="W157" s="10">
        <f t="shared" si="225"/>
        <v>0</v>
      </c>
      <c r="X157" s="10">
        <f t="shared" si="225"/>
        <v>0</v>
      </c>
      <c r="Y157" s="10">
        <f t="shared" si="225"/>
        <v>0</v>
      </c>
      <c r="Z157" s="10">
        <f t="shared" si="225"/>
        <v>0</v>
      </c>
      <c r="AA157" s="10">
        <f t="shared" si="225"/>
        <v>0</v>
      </c>
      <c r="AB157" s="10">
        <f t="shared" si="225"/>
        <v>0</v>
      </c>
      <c r="AC157" s="10">
        <f t="shared" si="225"/>
        <v>0</v>
      </c>
      <c r="AD157" s="10">
        <f t="shared" si="225"/>
        <v>0</v>
      </c>
      <c r="AE157" s="10">
        <f t="shared" si="225"/>
        <v>0</v>
      </c>
      <c r="AF157" s="10">
        <f t="shared" si="225"/>
        <v>0</v>
      </c>
      <c r="AG157" s="10">
        <f t="shared" si="225"/>
        <v>0</v>
      </c>
      <c r="AH157" s="10">
        <f t="shared" si="225"/>
        <v>0</v>
      </c>
      <c r="AI157" s="10">
        <f t="shared" si="225"/>
        <v>0</v>
      </c>
      <c r="AJ157" s="10">
        <f t="shared" si="225"/>
        <v>0</v>
      </c>
      <c r="AK157" s="10">
        <f t="shared" si="225"/>
        <v>0</v>
      </c>
      <c r="AL157" s="10">
        <f t="shared" si="225"/>
        <v>0</v>
      </c>
      <c r="AM157" s="10">
        <f t="shared" si="225"/>
        <v>0</v>
      </c>
      <c r="AN157" s="10">
        <f t="shared" si="225"/>
        <v>0</v>
      </c>
      <c r="AO157" s="10">
        <f t="shared" si="225"/>
        <v>0</v>
      </c>
      <c r="AP157" s="10">
        <f t="shared" si="225"/>
        <v>0</v>
      </c>
      <c r="AR157" s="10">
        <f t="shared" si="226"/>
        <v>-0.77400000000000002</v>
      </c>
      <c r="AS157" s="10">
        <f t="shared" si="227"/>
        <v>-2.5539999999999998</v>
      </c>
      <c r="AT157" s="10">
        <f t="shared" si="228"/>
        <v>-9.7999999999999976E-2</v>
      </c>
      <c r="AU157" s="10">
        <f t="shared" si="229"/>
        <v>-4.7809999999999997</v>
      </c>
      <c r="AV157" s="10">
        <f t="shared" si="230"/>
        <v>0</v>
      </c>
      <c r="AW157" s="10">
        <f t="shared" si="231"/>
        <v>0</v>
      </c>
      <c r="AX157" s="10">
        <f t="shared" si="232"/>
        <v>0</v>
      </c>
      <c r="AY157" s="10">
        <f t="shared" si="233"/>
        <v>0</v>
      </c>
      <c r="AZ157" s="10">
        <f t="shared" si="234"/>
        <v>0</v>
      </c>
      <c r="BA157" s="10">
        <f t="shared" si="235"/>
        <v>0</v>
      </c>
      <c r="BC157" s="10">
        <v>0</v>
      </c>
    </row>
    <row r="158" spans="2:55" x14ac:dyDescent="0.25">
      <c r="B158" s="22" t="s">
        <v>55</v>
      </c>
      <c r="C158" s="17">
        <v>2E-3</v>
      </c>
      <c r="D158" s="17">
        <f>0.018-C158</f>
        <v>1.6E-2</v>
      </c>
      <c r="E158" s="17">
        <f>-1.557-SUM(C158:D158)</f>
        <v>-1.575</v>
      </c>
      <c r="F158" s="17">
        <f>-1.715-SUM(C158:E158)</f>
        <v>-0.15800000000000014</v>
      </c>
      <c r="G158" s="17">
        <v>-1.2609999999999999</v>
      </c>
      <c r="H158" s="17">
        <f>-1.554-G158</f>
        <v>-0.29300000000000015</v>
      </c>
      <c r="I158" s="17">
        <f>-1.307-SUM(G158:H158)</f>
        <v>0.24700000000000011</v>
      </c>
      <c r="J158" s="17">
        <f>-1.517-SUM(G158:I158)</f>
        <v>-0.20999999999999996</v>
      </c>
      <c r="K158" s="17">
        <v>-0.215</v>
      </c>
      <c r="L158" s="17">
        <f>-0.592-K158</f>
        <v>-0.377</v>
      </c>
      <c r="M158" s="17">
        <f>-0.337-SUM(K158:L158)</f>
        <v>0.25499999999999995</v>
      </c>
      <c r="N158" s="17">
        <f>-1.522-SUM(K158:M158)</f>
        <v>-1.1850000000000001</v>
      </c>
      <c r="O158" s="17">
        <v>-0.72599999999999998</v>
      </c>
      <c r="P158" s="17">
        <f>-0.012-O158</f>
        <v>0.71399999999999997</v>
      </c>
      <c r="Q158" s="17">
        <f>-0.726-SUM(O158:P158)</f>
        <v>-0.71399999999999997</v>
      </c>
      <c r="R158" s="17">
        <f>-0.395-SUM(O158:Q158)</f>
        <v>0.33099999999999996</v>
      </c>
      <c r="S158" s="10">
        <f>R111-S111</f>
        <v>0</v>
      </c>
      <c r="T158" s="10">
        <f t="shared" ref="T158:AP158" si="236">S111-T111</f>
        <v>0</v>
      </c>
      <c r="U158" s="10">
        <f t="shared" si="236"/>
        <v>0</v>
      </c>
      <c r="V158" s="10">
        <f t="shared" si="236"/>
        <v>0</v>
      </c>
      <c r="W158" s="10">
        <f t="shared" si="236"/>
        <v>0</v>
      </c>
      <c r="X158" s="10">
        <f t="shared" si="236"/>
        <v>0</v>
      </c>
      <c r="Y158" s="10">
        <f t="shared" si="236"/>
        <v>0</v>
      </c>
      <c r="Z158" s="10">
        <f t="shared" si="236"/>
        <v>0</v>
      </c>
      <c r="AA158" s="10">
        <f t="shared" si="236"/>
        <v>0</v>
      </c>
      <c r="AB158" s="10">
        <f t="shared" si="236"/>
        <v>0</v>
      </c>
      <c r="AC158" s="10">
        <f t="shared" si="236"/>
        <v>0</v>
      </c>
      <c r="AD158" s="10">
        <f t="shared" si="236"/>
        <v>0</v>
      </c>
      <c r="AE158" s="10">
        <f t="shared" si="236"/>
        <v>0</v>
      </c>
      <c r="AF158" s="10">
        <f t="shared" si="236"/>
        <v>0</v>
      </c>
      <c r="AG158" s="10">
        <f t="shared" si="236"/>
        <v>0</v>
      </c>
      <c r="AH158" s="10">
        <f t="shared" si="236"/>
        <v>0</v>
      </c>
      <c r="AI158" s="10">
        <f t="shared" si="236"/>
        <v>0</v>
      </c>
      <c r="AJ158" s="10">
        <f t="shared" si="236"/>
        <v>0</v>
      </c>
      <c r="AK158" s="10">
        <f t="shared" si="236"/>
        <v>0</v>
      </c>
      <c r="AL158" s="10">
        <f t="shared" si="236"/>
        <v>0</v>
      </c>
      <c r="AM158" s="10">
        <f t="shared" si="236"/>
        <v>0</v>
      </c>
      <c r="AN158" s="10">
        <f t="shared" si="236"/>
        <v>0</v>
      </c>
      <c r="AO158" s="10">
        <f t="shared" si="236"/>
        <v>0</v>
      </c>
      <c r="AP158" s="10">
        <f t="shared" si="236"/>
        <v>0</v>
      </c>
      <c r="AR158" s="10">
        <f t="shared" si="226"/>
        <v>-1.7150000000000001</v>
      </c>
      <c r="AS158" s="10">
        <f t="shared" si="227"/>
        <v>-1.5169999999999999</v>
      </c>
      <c r="AT158" s="10">
        <f t="shared" si="228"/>
        <v>-1.522</v>
      </c>
      <c r="AU158" s="10">
        <f t="shared" si="229"/>
        <v>-0.39500000000000002</v>
      </c>
      <c r="AV158" s="10">
        <f t="shared" si="230"/>
        <v>0</v>
      </c>
      <c r="AW158" s="10">
        <f t="shared" si="231"/>
        <v>0</v>
      </c>
      <c r="AX158" s="10">
        <f t="shared" si="232"/>
        <v>0</v>
      </c>
      <c r="AY158" s="10">
        <f t="shared" si="233"/>
        <v>0</v>
      </c>
      <c r="AZ158" s="10">
        <f t="shared" si="234"/>
        <v>0</v>
      </c>
      <c r="BA158" s="10">
        <f t="shared" si="235"/>
        <v>0</v>
      </c>
      <c r="BC158" s="10">
        <v>0</v>
      </c>
    </row>
    <row r="159" spans="2:55" x14ac:dyDescent="0.25">
      <c r="B159" s="22" t="s">
        <v>32</v>
      </c>
      <c r="C159" s="17">
        <v>3.5999999999999997E-2</v>
      </c>
      <c r="D159" s="17">
        <f>0.245-C159</f>
        <v>0.20899999999999999</v>
      </c>
      <c r="E159" s="17">
        <f>0.385-SUM(C159:D159)</f>
        <v>0.14000000000000001</v>
      </c>
      <c r="F159" s="17">
        <f>0.568-SUM(C159:E159)</f>
        <v>0.18299999999999994</v>
      </c>
      <c r="G159" s="17">
        <v>0.255</v>
      </c>
      <c r="H159" s="17">
        <f>0.559-G159</f>
        <v>0.30400000000000005</v>
      </c>
      <c r="I159" s="17">
        <f>-0.358-SUM(G159:H159)</f>
        <v>-0.91700000000000004</v>
      </c>
      <c r="J159" s="17">
        <f>-0.551-SUM(G159:I159)</f>
        <v>-0.19300000000000006</v>
      </c>
      <c r="K159" s="17">
        <v>1.0999999999999999E-2</v>
      </c>
      <c r="L159" s="17">
        <f>0.789-K159</f>
        <v>0.77800000000000002</v>
      </c>
      <c r="M159" s="17">
        <f>1.25-SUM(K159:L159)</f>
        <v>0.46099999999999997</v>
      </c>
      <c r="N159" s="17">
        <f>1.531-SUM(K159:M159)</f>
        <v>0.28099999999999992</v>
      </c>
      <c r="O159" s="17">
        <v>-2.1999999999999999E-2</v>
      </c>
      <c r="P159" s="17">
        <f>0.801-O159</f>
        <v>0.82300000000000006</v>
      </c>
      <c r="Q159" s="17">
        <f>2.49-SUM(O159:P159)</f>
        <v>1.6890000000000001</v>
      </c>
      <c r="R159" s="17">
        <f>3.357-SUM(O159:Q159)</f>
        <v>0.86699999999999999</v>
      </c>
      <c r="S159" s="10">
        <f t="shared" ref="S159:AP159" si="237">S123-R123</f>
        <v>0</v>
      </c>
      <c r="T159" s="10">
        <f t="shared" si="237"/>
        <v>0</v>
      </c>
      <c r="U159" s="10">
        <f t="shared" si="237"/>
        <v>0</v>
      </c>
      <c r="V159" s="10">
        <f t="shared" si="237"/>
        <v>0</v>
      </c>
      <c r="W159" s="10">
        <f t="shared" si="237"/>
        <v>0</v>
      </c>
      <c r="X159" s="10">
        <f t="shared" si="237"/>
        <v>0</v>
      </c>
      <c r="Y159" s="10">
        <f t="shared" si="237"/>
        <v>0</v>
      </c>
      <c r="Z159" s="10">
        <f t="shared" si="237"/>
        <v>0</v>
      </c>
      <c r="AA159" s="10">
        <f t="shared" si="237"/>
        <v>0</v>
      </c>
      <c r="AB159" s="10">
        <f t="shared" si="237"/>
        <v>0</v>
      </c>
      <c r="AC159" s="10">
        <f t="shared" si="237"/>
        <v>0</v>
      </c>
      <c r="AD159" s="10">
        <f t="shared" si="237"/>
        <v>0</v>
      </c>
      <c r="AE159" s="10">
        <f t="shared" si="237"/>
        <v>0</v>
      </c>
      <c r="AF159" s="10">
        <f t="shared" si="237"/>
        <v>0</v>
      </c>
      <c r="AG159" s="10">
        <f t="shared" si="237"/>
        <v>0</v>
      </c>
      <c r="AH159" s="10">
        <f t="shared" si="237"/>
        <v>0</v>
      </c>
      <c r="AI159" s="10">
        <f t="shared" si="237"/>
        <v>0</v>
      </c>
      <c r="AJ159" s="10">
        <f t="shared" si="237"/>
        <v>0</v>
      </c>
      <c r="AK159" s="10">
        <f t="shared" si="237"/>
        <v>0</v>
      </c>
      <c r="AL159" s="10">
        <f t="shared" si="237"/>
        <v>0</v>
      </c>
      <c r="AM159" s="10">
        <f t="shared" si="237"/>
        <v>0</v>
      </c>
      <c r="AN159" s="10">
        <f t="shared" si="237"/>
        <v>0</v>
      </c>
      <c r="AO159" s="10">
        <f t="shared" si="237"/>
        <v>0</v>
      </c>
      <c r="AP159" s="10">
        <f t="shared" si="237"/>
        <v>0</v>
      </c>
      <c r="AR159" s="10">
        <f t="shared" si="226"/>
        <v>0.56799999999999995</v>
      </c>
      <c r="AS159" s="10">
        <f t="shared" si="227"/>
        <v>-0.55100000000000005</v>
      </c>
      <c r="AT159" s="10">
        <f t="shared" si="228"/>
        <v>1.5309999999999999</v>
      </c>
      <c r="AU159" s="10">
        <f t="shared" si="229"/>
        <v>3.3570000000000002</v>
      </c>
      <c r="AV159" s="10">
        <f t="shared" si="230"/>
        <v>0</v>
      </c>
      <c r="AW159" s="10">
        <f t="shared" si="231"/>
        <v>0</v>
      </c>
      <c r="AX159" s="10">
        <f t="shared" si="232"/>
        <v>0</v>
      </c>
      <c r="AY159" s="10">
        <f t="shared" si="233"/>
        <v>0</v>
      </c>
      <c r="AZ159" s="10">
        <f t="shared" si="234"/>
        <v>0</v>
      </c>
      <c r="BA159" s="10">
        <f t="shared" si="235"/>
        <v>0</v>
      </c>
      <c r="BC159" s="10">
        <v>0</v>
      </c>
    </row>
    <row r="160" spans="2:55" x14ac:dyDescent="0.25">
      <c r="B160" s="22" t="s">
        <v>33</v>
      </c>
      <c r="C160" s="17">
        <v>3.3000000000000002E-2</v>
      </c>
      <c r="D160" s="17">
        <f>0.166-C160</f>
        <v>0.13300000000000001</v>
      </c>
      <c r="E160" s="17">
        <f>0.159-SUM(C160:D160)</f>
        <v>-7.0000000000000062E-3</v>
      </c>
      <c r="F160" s="17">
        <f>0.581-SUM(C160:E160)</f>
        <v>0.42199999999999993</v>
      </c>
      <c r="G160" s="17">
        <v>0.63400000000000001</v>
      </c>
      <c r="H160" s="17">
        <f>1.267-G160</f>
        <v>0.6329999999999999</v>
      </c>
      <c r="I160" s="17">
        <f>1.175-SUM(G160:H160)</f>
        <v>-9.199999999999986E-2</v>
      </c>
      <c r="J160" s="17">
        <f>1.341-SUM(G160:I160)</f>
        <v>0.16599999999999993</v>
      </c>
      <c r="K160" s="17">
        <v>0.68899999999999995</v>
      </c>
      <c r="L160" s="17">
        <f>2.675-K160</f>
        <v>1.9859999999999998</v>
      </c>
      <c r="M160" s="17">
        <f>0.953-SUM(K160:L160)</f>
        <v>-1.722</v>
      </c>
      <c r="N160" s="17">
        <f>2.025-SUM(K160:M160)</f>
        <v>1.0720000000000001</v>
      </c>
      <c r="O160" s="17">
        <v>4.202</v>
      </c>
      <c r="P160" s="17">
        <f>3.314-O160</f>
        <v>-0.8879999999999999</v>
      </c>
      <c r="Q160" s="17">
        <f>3.918-SUM(O160:P160)</f>
        <v>0.60400000000000009</v>
      </c>
      <c r="R160" s="17">
        <f>4.278-SUM(O160:Q160)</f>
        <v>0.35999999999999943</v>
      </c>
      <c r="S160" s="10">
        <f t="shared" ref="S160:AP160" si="238">S124-R124</f>
        <v>0.72799999999999976</v>
      </c>
      <c r="T160" s="10">
        <f t="shared" si="238"/>
        <v>0</v>
      </c>
      <c r="U160" s="10">
        <f t="shared" si="238"/>
        <v>0</v>
      </c>
      <c r="V160" s="10">
        <f t="shared" si="238"/>
        <v>0</v>
      </c>
      <c r="W160" s="10">
        <f t="shared" si="238"/>
        <v>0</v>
      </c>
      <c r="X160" s="10">
        <f t="shared" si="238"/>
        <v>0</v>
      </c>
      <c r="Y160" s="10">
        <f t="shared" si="238"/>
        <v>0</v>
      </c>
      <c r="Z160" s="10">
        <f t="shared" si="238"/>
        <v>0</v>
      </c>
      <c r="AA160" s="10">
        <f t="shared" si="238"/>
        <v>0</v>
      </c>
      <c r="AB160" s="10">
        <f t="shared" si="238"/>
        <v>0</v>
      </c>
      <c r="AC160" s="10">
        <f t="shared" si="238"/>
        <v>0</v>
      </c>
      <c r="AD160" s="10">
        <f t="shared" si="238"/>
        <v>0</v>
      </c>
      <c r="AE160" s="10">
        <f t="shared" si="238"/>
        <v>0</v>
      </c>
      <c r="AF160" s="10">
        <f t="shared" si="238"/>
        <v>0</v>
      </c>
      <c r="AG160" s="10">
        <f t="shared" si="238"/>
        <v>0</v>
      </c>
      <c r="AH160" s="10">
        <f t="shared" si="238"/>
        <v>0</v>
      </c>
      <c r="AI160" s="10">
        <f t="shared" si="238"/>
        <v>0</v>
      </c>
      <c r="AJ160" s="10">
        <f t="shared" si="238"/>
        <v>0</v>
      </c>
      <c r="AK160" s="10">
        <f t="shared" si="238"/>
        <v>0</v>
      </c>
      <c r="AL160" s="10">
        <f t="shared" si="238"/>
        <v>0</v>
      </c>
      <c r="AM160" s="10">
        <f t="shared" si="238"/>
        <v>0</v>
      </c>
      <c r="AN160" s="10">
        <f t="shared" si="238"/>
        <v>0</v>
      </c>
      <c r="AO160" s="10">
        <f t="shared" si="238"/>
        <v>0</v>
      </c>
      <c r="AP160" s="10">
        <f t="shared" si="238"/>
        <v>0</v>
      </c>
      <c r="AR160" s="10">
        <f t="shared" si="226"/>
        <v>0.58099999999999996</v>
      </c>
      <c r="AS160" s="10">
        <f t="shared" si="227"/>
        <v>1.341</v>
      </c>
      <c r="AT160" s="10">
        <f t="shared" si="228"/>
        <v>2.0249999999999999</v>
      </c>
      <c r="AU160" s="10">
        <f t="shared" si="229"/>
        <v>4.2779999999999996</v>
      </c>
      <c r="AV160" s="10">
        <f t="shared" si="230"/>
        <v>0.72799999999999976</v>
      </c>
      <c r="AW160" s="10">
        <f t="shared" si="231"/>
        <v>0</v>
      </c>
      <c r="AX160" s="10">
        <f t="shared" si="232"/>
        <v>0</v>
      </c>
      <c r="AY160" s="10">
        <f t="shared" si="233"/>
        <v>0</v>
      </c>
      <c r="AZ160" s="10">
        <f t="shared" si="234"/>
        <v>0</v>
      </c>
      <c r="BA160" s="10">
        <f t="shared" si="235"/>
        <v>0</v>
      </c>
      <c r="BC160" s="10">
        <v>0.72799999999999976</v>
      </c>
    </row>
    <row r="161" spans="1:56" x14ac:dyDescent="0.25">
      <c r="B161" s="22" t="s">
        <v>107</v>
      </c>
      <c r="C161" s="17">
        <v>4.7E-2</v>
      </c>
      <c r="D161" s="17">
        <f>0.098-C161</f>
        <v>5.1000000000000004E-2</v>
      </c>
      <c r="E161" s="17">
        <f>0.253-SUM(C161:D161)</f>
        <v>0.155</v>
      </c>
      <c r="F161" s="17">
        <f>0.192-SUM(C161:E161)</f>
        <v>-6.0999999999999999E-2</v>
      </c>
      <c r="G161" s="17">
        <v>7.0000000000000007E-2</v>
      </c>
      <c r="H161" s="17">
        <f>0.06-G161</f>
        <v>-1.0000000000000009E-2</v>
      </c>
      <c r="I161" s="17">
        <f>0.102-SUM(G161:H161)</f>
        <v>4.1999999999999996E-2</v>
      </c>
      <c r="J161" s="17">
        <f>0.252-SUM(G161:I161)</f>
        <v>0.15000000000000002</v>
      </c>
      <c r="K161" s="17">
        <v>0.105</v>
      </c>
      <c r="L161" s="17">
        <f>0.236-K161</f>
        <v>0.13100000000000001</v>
      </c>
      <c r="M161" s="17">
        <f>0.208-SUM(K161:L161)</f>
        <v>-2.7999999999999997E-2</v>
      </c>
      <c r="N161" s="17">
        <f>0.514-SUM(K161:M161)</f>
        <v>0.30600000000000005</v>
      </c>
      <c r="O161" s="17">
        <v>0.32300000000000001</v>
      </c>
      <c r="P161" s="17">
        <f>0.584-O161</f>
        <v>0.26099999999999995</v>
      </c>
      <c r="Q161" s="17">
        <f>0.849-SUM(O161:P161)</f>
        <v>0.26500000000000001</v>
      </c>
      <c r="R161" s="17">
        <f>1.221-SUM(O161:Q161)</f>
        <v>0.37200000000000011</v>
      </c>
      <c r="AR161" s="10">
        <f t="shared" si="226"/>
        <v>0.192</v>
      </c>
      <c r="AS161" s="10">
        <f t="shared" si="227"/>
        <v>0.252</v>
      </c>
      <c r="AT161" s="10">
        <f t="shared" si="228"/>
        <v>0.51400000000000001</v>
      </c>
      <c r="AU161" s="10">
        <f t="shared" si="229"/>
        <v>1.2210000000000001</v>
      </c>
      <c r="AV161" s="10">
        <f t="shared" si="230"/>
        <v>0</v>
      </c>
      <c r="AW161" s="10">
        <f t="shared" si="231"/>
        <v>0</v>
      </c>
      <c r="AX161" s="10">
        <f t="shared" si="232"/>
        <v>0</v>
      </c>
      <c r="AY161" s="10">
        <f t="shared" si="233"/>
        <v>0</v>
      </c>
      <c r="AZ161" s="10">
        <f t="shared" si="234"/>
        <v>0</v>
      </c>
      <c r="BA161" s="10">
        <f t="shared" si="235"/>
        <v>0</v>
      </c>
    </row>
    <row r="162" spans="1:56" x14ac:dyDescent="0.25">
      <c r="B162" s="26" t="s">
        <v>56</v>
      </c>
      <c r="C162" s="8">
        <f t="shared" ref="C162:AP162" si="239">SUM(C147:C161)</f>
        <v>1.8739999999999992</v>
      </c>
      <c r="D162" s="8">
        <f t="shared" si="239"/>
        <v>2.6820000000000004</v>
      </c>
      <c r="E162" s="8">
        <f t="shared" si="239"/>
        <v>1.5190000000000003</v>
      </c>
      <c r="F162" s="8">
        <f t="shared" si="239"/>
        <v>3.0329999999999977</v>
      </c>
      <c r="G162" s="8">
        <f t="shared" si="239"/>
        <v>1.731000000000001</v>
      </c>
      <c r="H162" s="8">
        <f t="shared" si="239"/>
        <v>1.2700000000000007</v>
      </c>
      <c r="I162" s="8">
        <f t="shared" si="239"/>
        <v>0.39200000000000029</v>
      </c>
      <c r="J162" s="8">
        <f t="shared" si="239"/>
        <v>2.2339999999999995</v>
      </c>
      <c r="K162" s="8">
        <f t="shared" si="239"/>
        <v>2.911</v>
      </c>
      <c r="L162" s="8">
        <f t="shared" si="239"/>
        <v>7.9230000000000009</v>
      </c>
      <c r="M162" s="8">
        <f t="shared" si="239"/>
        <v>3.8750000000000027</v>
      </c>
      <c r="N162" s="8">
        <f t="shared" si="239"/>
        <v>11.500000000000004</v>
      </c>
      <c r="O162" s="8">
        <f t="shared" si="239"/>
        <v>15.345000000000002</v>
      </c>
      <c r="P162" s="8">
        <f t="shared" si="239"/>
        <v>14.489000000000001</v>
      </c>
      <c r="Q162" s="8">
        <f t="shared" si="239"/>
        <v>17.626999999999995</v>
      </c>
      <c r="R162" s="8">
        <f t="shared" si="239"/>
        <v>16.627999999999982</v>
      </c>
      <c r="S162" s="8">
        <f t="shared" si="239"/>
        <v>20.702999999999996</v>
      </c>
      <c r="T162" s="8">
        <f t="shared" si="239"/>
        <v>21.450660152869023</v>
      </c>
      <c r="U162" s="8">
        <f t="shared" si="239"/>
        <v>25.058622423747988</v>
      </c>
      <c r="V162" s="8">
        <f t="shared" si="239"/>
        <v>27.45927962360792</v>
      </c>
      <c r="W162" s="8">
        <f t="shared" si="239"/>
        <v>28.762276636319516</v>
      </c>
      <c r="X162" s="8">
        <f t="shared" si="239"/>
        <v>32.864101398551199</v>
      </c>
      <c r="Y162" s="8">
        <f t="shared" si="239"/>
        <v>36.152370795478234</v>
      </c>
      <c r="Z162" s="8">
        <f t="shared" si="239"/>
        <v>38.663369537316719</v>
      </c>
      <c r="AA162" s="8">
        <f t="shared" si="239"/>
        <v>38.667085494046255</v>
      </c>
      <c r="AB162" s="8">
        <f t="shared" si="239"/>
        <v>44.861682054183014</v>
      </c>
      <c r="AC162" s="8">
        <f t="shared" si="239"/>
        <v>49.393076557540176</v>
      </c>
      <c r="AD162" s="8">
        <f t="shared" si="239"/>
        <v>53.028406592370374</v>
      </c>
      <c r="AE162" s="8">
        <f t="shared" si="239"/>
        <v>50.958320928884746</v>
      </c>
      <c r="AF162" s="8">
        <f t="shared" si="239"/>
        <v>59.482191970160152</v>
      </c>
      <c r="AG162" s="8">
        <f t="shared" si="239"/>
        <v>65.526790375248794</v>
      </c>
      <c r="AH162" s="8">
        <f t="shared" si="239"/>
        <v>70.555417150161361</v>
      </c>
      <c r="AI162" s="8">
        <f t="shared" si="239"/>
        <v>67.733503301983788</v>
      </c>
      <c r="AJ162" s="8">
        <f t="shared" si="239"/>
        <v>79.119917763486114</v>
      </c>
      <c r="AK162" s="8">
        <f t="shared" si="239"/>
        <v>87.19476962396287</v>
      </c>
      <c r="AL162" s="8">
        <f t="shared" si="239"/>
        <v>94.125235119167996</v>
      </c>
      <c r="AM162" s="8">
        <f t="shared" si="239"/>
        <v>90.757642673182374</v>
      </c>
      <c r="AN162" s="8">
        <f t="shared" si="239"/>
        <v>105.59691291466466</v>
      </c>
      <c r="AO162" s="8">
        <f t="shared" si="239"/>
        <v>116.40833914059577</v>
      </c>
      <c r="AP162" s="8">
        <f t="shared" si="239"/>
        <v>125.91337787564946</v>
      </c>
      <c r="AR162" s="8">
        <f t="shared" ref="AR162:BA162" si="240">SUM(AR147:AR161)</f>
        <v>9.1079999999999988</v>
      </c>
      <c r="AS162" s="8">
        <f t="shared" si="240"/>
        <v>5.6270000000000024</v>
      </c>
      <c r="AT162" s="8">
        <f t="shared" si="240"/>
        <v>26.209000000000007</v>
      </c>
      <c r="AU162" s="8">
        <f t="shared" si="240"/>
        <v>64.08899999999997</v>
      </c>
      <c r="AV162" s="8">
        <f t="shared" si="240"/>
        <v>94.671562200224926</v>
      </c>
      <c r="AW162" s="8">
        <f t="shared" si="240"/>
        <v>136.44211836766567</v>
      </c>
      <c r="AX162" s="8">
        <f t="shared" si="240"/>
        <v>185.95025069813983</v>
      </c>
      <c r="AY162" s="8">
        <f t="shared" si="240"/>
        <v>246.52272042445509</v>
      </c>
      <c r="AZ162" s="8">
        <f t="shared" si="240"/>
        <v>328.17342580860077</v>
      </c>
      <c r="BA162" s="8">
        <f t="shared" si="240"/>
        <v>438.67627260409228</v>
      </c>
      <c r="BC162" s="8">
        <v>24.743050523826</v>
      </c>
      <c r="BD162" s="8"/>
    </row>
    <row r="164" spans="1:56" x14ac:dyDescent="0.25">
      <c r="B164" s="26" t="s">
        <v>57</v>
      </c>
    </row>
    <row r="165" spans="1:56" x14ac:dyDescent="0.25">
      <c r="B165" s="23" t="s">
        <v>115</v>
      </c>
      <c r="C165" s="17">
        <v>3.14</v>
      </c>
      <c r="D165" s="17">
        <f>5.236-C165</f>
        <v>2.0959999999999996</v>
      </c>
      <c r="E165" s="17">
        <f>7.78-SUM(C165:D165)</f>
        <v>2.5440000000000005</v>
      </c>
      <c r="F165" s="17">
        <f>15.197-SUM(C165:E165)</f>
        <v>7.4169999999999989</v>
      </c>
      <c r="G165" s="17">
        <v>5.9470000000000001</v>
      </c>
      <c r="H165" s="17">
        <f>10.983-G165</f>
        <v>5.0360000000000005</v>
      </c>
      <c r="I165" s="17">
        <f>16.792-SUM(G165:H165)</f>
        <v>5.8090000000000011</v>
      </c>
      <c r="J165" s="17">
        <f>19.425-SUM(G165:I165)</f>
        <v>2.6329999999999991</v>
      </c>
      <c r="K165" s="17">
        <v>2.512</v>
      </c>
      <c r="L165" s="17">
        <f>5.111-K165</f>
        <v>2.5989999999999998</v>
      </c>
      <c r="M165" s="17">
        <f>8.001-SUM(K165:L165)</f>
        <v>2.8899999999999997</v>
      </c>
      <c r="N165" s="17">
        <f>9.732-SUM(K165:M165)</f>
        <v>1.7309999999999999</v>
      </c>
      <c r="O165" s="17">
        <v>4.0039999999999996</v>
      </c>
      <c r="P165" s="17">
        <f>8.098-O165</f>
        <v>4.0940000000000012</v>
      </c>
      <c r="Q165" s="17">
        <f>9.485-SUM(O165:P165)</f>
        <v>1.3869999999999987</v>
      </c>
      <c r="R165" s="17">
        <f>11.195-SUM(O165:Q165)</f>
        <v>1.7100000000000009</v>
      </c>
      <c r="AR165" s="10">
        <f t="shared" ref="AR165:AR172" si="241">SUM(C165:F165)</f>
        <v>15.196999999999999</v>
      </c>
      <c r="AS165" s="10">
        <f t="shared" ref="AS165:AS172" si="242">SUM(G165:J165)</f>
        <v>19.425000000000001</v>
      </c>
      <c r="AT165" s="10">
        <f t="shared" ref="AT165:AT172" si="243">SUM(K165:N165)</f>
        <v>9.7319999999999993</v>
      </c>
      <c r="AU165" s="10">
        <f t="shared" ref="AU165:AU172" si="244">SUM(O165:R165)</f>
        <v>11.195</v>
      </c>
      <c r="AV165" s="10">
        <f t="shared" ref="AV165:AV172" si="245">SUM(S165:V165)</f>
        <v>0</v>
      </c>
      <c r="AW165" s="10">
        <f t="shared" ref="AW165:AW172" si="246">SUM(W165:Z165)</f>
        <v>0</v>
      </c>
      <c r="AX165" s="10">
        <f t="shared" ref="AX165:AX172" si="247">SUM(AA165:AD165)</f>
        <v>0</v>
      </c>
      <c r="AY165" s="10">
        <f t="shared" ref="AY165:AY172" si="248">SUM(AE165:AH165)</f>
        <v>0</v>
      </c>
      <c r="AZ165" s="10">
        <f t="shared" ref="AZ165:AZ172" si="249">SUM(AI165:AL165)</f>
        <v>0</v>
      </c>
      <c r="BA165" s="10">
        <f t="shared" ref="BA165:BA172" si="250">SUM(AM165:AP165)</f>
        <v>0</v>
      </c>
    </row>
    <row r="166" spans="1:56" x14ac:dyDescent="0.25">
      <c r="B166" s="23" t="s">
        <v>116</v>
      </c>
      <c r="C166" s="17">
        <v>0.35799999999999998</v>
      </c>
      <c r="D166" s="17">
        <f>0.705-C166</f>
        <v>0.34699999999999998</v>
      </c>
      <c r="E166" s="17">
        <f>0.916-SUM(C166:D166)</f>
        <v>0.21100000000000008</v>
      </c>
      <c r="F166" s="17">
        <f>1.023-SUM(C166:E166)</f>
        <v>0.10699999999999987</v>
      </c>
      <c r="G166" s="17">
        <v>1.0289999999999999</v>
      </c>
      <c r="H166" s="17">
        <f>1.731-G166</f>
        <v>0.70200000000000018</v>
      </c>
      <c r="I166" s="17">
        <f>1.806-SUM(G166:H166)</f>
        <v>7.4999999999999956E-2</v>
      </c>
      <c r="J166" s="17">
        <f>1.806-SUM(G166:I166)</f>
        <v>0</v>
      </c>
      <c r="K166" s="17">
        <v>0</v>
      </c>
      <c r="L166" s="17">
        <v>0</v>
      </c>
      <c r="M166" s="17">
        <v>0</v>
      </c>
      <c r="N166" s="17">
        <f>0.05-SUM(K166:M166)</f>
        <v>0.05</v>
      </c>
      <c r="O166" s="17">
        <v>0.14899999999999999</v>
      </c>
      <c r="P166" s="17">
        <f>0.164-O166</f>
        <v>1.5000000000000013E-2</v>
      </c>
      <c r="Q166" s="17">
        <f>0.318-SUM(O166:P166)</f>
        <v>0.154</v>
      </c>
      <c r="R166" s="17">
        <f>0.495-SUM(O166:Q166)</f>
        <v>0.17699999999999999</v>
      </c>
      <c r="AR166" s="10">
        <f t="shared" si="241"/>
        <v>1.0229999999999999</v>
      </c>
      <c r="AS166" s="10">
        <f t="shared" si="242"/>
        <v>1.806</v>
      </c>
      <c r="AT166" s="10">
        <f t="shared" si="243"/>
        <v>0.05</v>
      </c>
      <c r="AU166" s="10">
        <f t="shared" si="244"/>
        <v>0.495</v>
      </c>
      <c r="AV166" s="10">
        <f t="shared" si="245"/>
        <v>0</v>
      </c>
      <c r="AW166" s="10">
        <f t="shared" si="246"/>
        <v>0</v>
      </c>
      <c r="AX166" s="10">
        <f t="shared" si="247"/>
        <v>0</v>
      </c>
      <c r="AY166" s="10">
        <f t="shared" si="248"/>
        <v>0</v>
      </c>
      <c r="AZ166" s="10">
        <f t="shared" si="249"/>
        <v>0</v>
      </c>
      <c r="BA166" s="10">
        <f t="shared" si="250"/>
        <v>0</v>
      </c>
    </row>
    <row r="167" spans="1:56" x14ac:dyDescent="0.25">
      <c r="B167" s="23" t="s">
        <v>118</v>
      </c>
      <c r="C167" s="17">
        <v>-4.47</v>
      </c>
      <c r="D167" s="17">
        <f>-9.268-C167</f>
        <v>-4.7980000000000009</v>
      </c>
      <c r="E167" s="17">
        <f>-16.02-SUM(C167:D167)</f>
        <v>-6.7519999999999989</v>
      </c>
      <c r="F167" s="17">
        <f>-24.787-SUM(C167:E167)</f>
        <v>-8.7669999999999995</v>
      </c>
      <c r="G167" s="17">
        <v>-3.9319999999999999</v>
      </c>
      <c r="H167" s="17">
        <f>-7.576-G167</f>
        <v>-3.6439999999999997</v>
      </c>
      <c r="I167" s="17">
        <f>-9.764-SUM(G167:H167)</f>
        <v>-2.1879999999999997</v>
      </c>
      <c r="J167" s="17">
        <f>-11.897-SUM(G167:I167)</f>
        <v>-2.1330000000000009</v>
      </c>
      <c r="K167" s="17">
        <v>-2.8010000000000002</v>
      </c>
      <c r="L167" s="17">
        <f>-0.537-K167</f>
        <v>2.2640000000000002</v>
      </c>
      <c r="M167" s="17">
        <f>-10.688-SUM(K167:L167)</f>
        <v>-10.151</v>
      </c>
      <c r="N167" s="17">
        <f>-18.211-SUM(K167:M167)</f>
        <v>-7.5229999999999997</v>
      </c>
      <c r="O167" s="17">
        <v>-9.3030000000000008</v>
      </c>
      <c r="P167" s="17">
        <f>-15.047-O167</f>
        <v>-5.7439999999999998</v>
      </c>
      <c r="Q167" s="17">
        <f>-19.565-SUM(O167:P167)</f>
        <v>-4.5180000000000007</v>
      </c>
      <c r="R167" s="17">
        <f>-26.575-SUM(O167:Q167)</f>
        <v>-7.009999999999998</v>
      </c>
      <c r="AR167" s="10">
        <f t="shared" si="241"/>
        <v>-24.786999999999999</v>
      </c>
      <c r="AS167" s="10">
        <f t="shared" si="242"/>
        <v>-11.897</v>
      </c>
      <c r="AT167" s="10">
        <f t="shared" si="243"/>
        <v>-18.210999999999999</v>
      </c>
      <c r="AU167" s="10">
        <f t="shared" si="244"/>
        <v>-26.574999999999999</v>
      </c>
      <c r="AV167" s="10">
        <f t="shared" si="245"/>
        <v>0</v>
      </c>
      <c r="AW167" s="10">
        <f t="shared" si="246"/>
        <v>0</v>
      </c>
      <c r="AX167" s="10">
        <f t="shared" si="247"/>
        <v>0</v>
      </c>
      <c r="AY167" s="10">
        <f t="shared" si="248"/>
        <v>0</v>
      </c>
      <c r="AZ167" s="10">
        <f t="shared" si="249"/>
        <v>0</v>
      </c>
      <c r="BA167" s="10">
        <f t="shared" si="250"/>
        <v>0</v>
      </c>
    </row>
    <row r="168" spans="1:56" s="14" customFormat="1" x14ac:dyDescent="0.25">
      <c r="A168" s="10"/>
      <c r="B168" s="23" t="s">
        <v>113</v>
      </c>
      <c r="C168" s="17">
        <v>-0.29799999999999999</v>
      </c>
      <c r="D168" s="17">
        <f>-0.481-C168</f>
        <v>-0.183</v>
      </c>
      <c r="E168" s="17">
        <f>-0.703-SUM(C168:D168)</f>
        <v>-0.22199999999999998</v>
      </c>
      <c r="F168" s="17">
        <f>-0.976-SUM(C168:E168)</f>
        <v>-0.27300000000000002</v>
      </c>
      <c r="G168" s="17">
        <v>-0.36099999999999999</v>
      </c>
      <c r="H168" s="17">
        <f>-0.794-G168</f>
        <v>-0.43300000000000005</v>
      </c>
      <c r="I168" s="17">
        <f>-1.324-SUM(G168:H168)</f>
        <v>-0.53</v>
      </c>
      <c r="J168" s="17">
        <f>-1.833-SUM(G168:I168)</f>
        <v>-0.5089999999999999</v>
      </c>
      <c r="K168" s="17">
        <v>-0.248</v>
      </c>
      <c r="L168" s="17">
        <f>-0.083-K168</f>
        <v>0.16499999999999998</v>
      </c>
      <c r="M168" s="17">
        <f>-0.815-SUM(K168:L168)</f>
        <v>-0.73199999999999998</v>
      </c>
      <c r="N168" s="17">
        <f>-1.069-SUM(K168:M168)</f>
        <v>-0.254</v>
      </c>
      <c r="O168" s="17">
        <v>-0.36899999999999999</v>
      </c>
      <c r="P168" s="17">
        <f>-1.346-O168</f>
        <v>-0.97700000000000009</v>
      </c>
      <c r="Q168" s="17">
        <f>-2.159-SUM(O168:P168)</f>
        <v>-0.81299999999999972</v>
      </c>
      <c r="R168" s="17">
        <f>-3.236-SUM(O168:Q168)</f>
        <v>-1.0770000000000004</v>
      </c>
      <c r="AR168" s="10">
        <f t="shared" si="241"/>
        <v>-0.97599999999999998</v>
      </c>
      <c r="AS168" s="10">
        <f t="shared" si="242"/>
        <v>-1.833</v>
      </c>
      <c r="AT168" s="10">
        <f t="shared" si="243"/>
        <v>-1.069</v>
      </c>
      <c r="AU168" s="10">
        <f t="shared" si="244"/>
        <v>-3.2360000000000002</v>
      </c>
      <c r="AV168" s="10">
        <f t="shared" si="245"/>
        <v>0</v>
      </c>
      <c r="AW168" s="10">
        <f t="shared" si="246"/>
        <v>0</v>
      </c>
      <c r="AX168" s="10">
        <f t="shared" si="247"/>
        <v>0</v>
      </c>
      <c r="AY168" s="10">
        <f t="shared" si="248"/>
        <v>0</v>
      </c>
      <c r="AZ168" s="10">
        <f t="shared" si="249"/>
        <v>0</v>
      </c>
      <c r="BA168" s="10">
        <f t="shared" si="250"/>
        <v>0</v>
      </c>
    </row>
    <row r="169" spans="1:56" s="14" customFormat="1" x14ac:dyDescent="0.25">
      <c r="A169" s="10"/>
      <c r="B169" s="23" t="s">
        <v>114</v>
      </c>
      <c r="C169" s="17">
        <v>0</v>
      </c>
      <c r="D169" s="17">
        <v>0</v>
      </c>
      <c r="E169" s="17">
        <f>-0.203-SUM(C169:D169)</f>
        <v>-0.20300000000000001</v>
      </c>
      <c r="F169" s="17">
        <f>-0.263-SUM(C169:E169)</f>
        <v>-0.06</v>
      </c>
      <c r="G169" s="17">
        <v>-3.5999999999999997E-2</v>
      </c>
      <c r="H169" s="17">
        <f>-0.049-G169</f>
        <v>-1.3000000000000005E-2</v>
      </c>
      <c r="I169" s="17">
        <f>-0.049-SUM(G169:H169)</f>
        <v>0</v>
      </c>
      <c r="J169" s="17">
        <f>-0.049-SUM(G169:I169)</f>
        <v>0</v>
      </c>
      <c r="K169" s="17">
        <v>-8.3000000000000004E-2</v>
      </c>
      <c r="L169" s="17">
        <v>0</v>
      </c>
      <c r="M169" s="17">
        <f>-0.083-SUM(K169:L169)</f>
        <v>0</v>
      </c>
      <c r="N169" s="17">
        <f>-0.083-SUM(K169:M169)</f>
        <v>0</v>
      </c>
      <c r="O169" s="17">
        <v>-3.9E-2</v>
      </c>
      <c r="P169" s="17">
        <f>-0.317-O169</f>
        <v>-0.27800000000000002</v>
      </c>
      <c r="Q169" s="17">
        <f>-0.465-SUM(O169:P169)</f>
        <v>-0.14800000000000002</v>
      </c>
      <c r="R169" s="17">
        <f>-1.007-SUM(O169:Q169)</f>
        <v>-0.54199999999999982</v>
      </c>
      <c r="AR169" s="10">
        <f t="shared" si="241"/>
        <v>-0.26300000000000001</v>
      </c>
      <c r="AS169" s="10">
        <f t="shared" si="242"/>
        <v>-4.9000000000000002E-2</v>
      </c>
      <c r="AT169" s="10">
        <f t="shared" si="243"/>
        <v>-8.3000000000000004E-2</v>
      </c>
      <c r="AU169" s="10">
        <f t="shared" si="244"/>
        <v>-1.0069999999999999</v>
      </c>
      <c r="AV169" s="10">
        <f t="shared" si="245"/>
        <v>0</v>
      </c>
      <c r="AW169" s="10">
        <f t="shared" si="246"/>
        <v>0</v>
      </c>
      <c r="AX169" s="10">
        <f t="shared" si="247"/>
        <v>0</v>
      </c>
      <c r="AY169" s="10">
        <f t="shared" si="248"/>
        <v>0</v>
      </c>
      <c r="AZ169" s="10">
        <f t="shared" si="249"/>
        <v>0</v>
      </c>
      <c r="BA169" s="10">
        <f t="shared" si="250"/>
        <v>0</v>
      </c>
    </row>
    <row r="170" spans="1:56" s="14" customFormat="1" x14ac:dyDescent="0.25">
      <c r="A170" s="10"/>
      <c r="B170" s="23" t="s">
        <v>58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f>-0.456-K170</f>
        <v>-0.45600000000000002</v>
      </c>
      <c r="M170" s="17">
        <f>-0.897-SUM(K170:L170)</f>
        <v>-0.441</v>
      </c>
      <c r="N170" s="17">
        <f>-0.862-SUM(K170:M170)</f>
        <v>3.5000000000000031E-2</v>
      </c>
      <c r="O170" s="17">
        <v>-0.13500000000000001</v>
      </c>
      <c r="P170" s="17">
        <f>-0.534-O170</f>
        <v>-0.39900000000000002</v>
      </c>
      <c r="Q170" s="17">
        <f>-1.008-SUM(O170:P170)</f>
        <v>-0.47399999999999998</v>
      </c>
      <c r="R170" s="17">
        <f>-1.486-SUM(O170:Q170)</f>
        <v>-0.47799999999999998</v>
      </c>
      <c r="AR170" s="10">
        <f t="shared" si="241"/>
        <v>0</v>
      </c>
      <c r="AS170" s="10">
        <f t="shared" si="242"/>
        <v>0</v>
      </c>
      <c r="AT170" s="10">
        <f t="shared" si="243"/>
        <v>-0.86199999999999999</v>
      </c>
      <c r="AU170" s="10">
        <f t="shared" si="244"/>
        <v>-1.486</v>
      </c>
      <c r="AV170" s="10">
        <f t="shared" si="245"/>
        <v>0</v>
      </c>
      <c r="AW170" s="10">
        <f t="shared" si="246"/>
        <v>0</v>
      </c>
      <c r="AX170" s="10">
        <f t="shared" si="247"/>
        <v>0</v>
      </c>
      <c r="AY170" s="10">
        <f t="shared" si="248"/>
        <v>0</v>
      </c>
      <c r="AZ170" s="10">
        <f t="shared" si="249"/>
        <v>0</v>
      </c>
      <c r="BA170" s="10">
        <f t="shared" si="250"/>
        <v>0</v>
      </c>
    </row>
    <row r="171" spans="1:56" x14ac:dyDescent="0.25">
      <c r="B171" s="23" t="s">
        <v>117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f>-5.343-K171</f>
        <v>-5.343</v>
      </c>
      <c r="M171" s="17">
        <v>0</v>
      </c>
      <c r="N171" s="17">
        <f>0.001-SUM(K171:M171)</f>
        <v>5.3440000000000003</v>
      </c>
      <c r="O171" s="17">
        <v>0</v>
      </c>
      <c r="P171" s="17">
        <f>0.105-O171</f>
        <v>0.105</v>
      </c>
      <c r="Q171" s="17">
        <f>0.171-SUM(O171:P171)</f>
        <v>6.6000000000000017E-2</v>
      </c>
      <c r="R171" s="17">
        <f>0.171-SUM(O171:Q171)</f>
        <v>0</v>
      </c>
      <c r="AR171" s="10">
        <f t="shared" si="241"/>
        <v>0</v>
      </c>
      <c r="AS171" s="10">
        <f t="shared" si="242"/>
        <v>0</v>
      </c>
      <c r="AT171" s="10">
        <f t="shared" si="243"/>
        <v>1.000000000000334E-3</v>
      </c>
      <c r="AU171" s="10">
        <f t="shared" si="244"/>
        <v>0.17100000000000001</v>
      </c>
      <c r="AV171" s="10">
        <f t="shared" si="245"/>
        <v>0</v>
      </c>
      <c r="AW171" s="10">
        <f t="shared" si="246"/>
        <v>0</v>
      </c>
      <c r="AX171" s="10">
        <f t="shared" si="247"/>
        <v>0</v>
      </c>
      <c r="AY171" s="10">
        <f t="shared" si="248"/>
        <v>0</v>
      </c>
      <c r="AZ171" s="10">
        <f t="shared" si="249"/>
        <v>0</v>
      </c>
      <c r="BA171" s="10">
        <f t="shared" si="250"/>
        <v>0</v>
      </c>
    </row>
    <row r="172" spans="1:56" s="14" customFormat="1" x14ac:dyDescent="0.25">
      <c r="A172" s="10"/>
      <c r="B172" s="23" t="s">
        <v>53</v>
      </c>
      <c r="C172" s="17">
        <v>-2E-3</v>
      </c>
      <c r="D172" s="17">
        <f>0.003-C172</f>
        <v>5.0000000000000001E-3</v>
      </c>
      <c r="E172" s="17">
        <f>-0.014-SUM(C172:D172)</f>
        <v>-1.7000000000000001E-2</v>
      </c>
      <c r="F172" s="17">
        <f>-0.024-SUM(C172:E172)</f>
        <v>-9.9999999999999985E-3</v>
      </c>
      <c r="G172" s="17">
        <v>-3.5000000000000003E-2</v>
      </c>
      <c r="H172" s="17">
        <f>-0.065-G172</f>
        <v>-0.03</v>
      </c>
      <c r="I172" s="17">
        <f>-0.083-SUM(G172:H172)</f>
        <v>-1.8000000000000002E-2</v>
      </c>
      <c r="J172" s="17">
        <f>-0.077-SUM(G172:I172)</f>
        <v>6.0000000000000053E-3</v>
      </c>
      <c r="K172" s="17">
        <v>-0.221</v>
      </c>
      <c r="L172" s="17">
        <f>0.021-K172</f>
        <v>0.24199999999999999</v>
      </c>
      <c r="M172" s="17">
        <f>0.025-SUM(K172:L172)</f>
        <v>4.0000000000000105E-3</v>
      </c>
      <c r="N172" s="17">
        <f>-0.124-SUM(K172:M172)</f>
        <v>-0.14899999999999999</v>
      </c>
      <c r="O172" s="17">
        <v>0</v>
      </c>
      <c r="P172" s="17">
        <v>0</v>
      </c>
      <c r="Q172" s="17">
        <v>0</v>
      </c>
      <c r="R172" s="17">
        <f>0.022-SUM(O172:Q172)</f>
        <v>2.1999999999999999E-2</v>
      </c>
      <c r="AR172" s="10">
        <f t="shared" si="241"/>
        <v>-2.4E-2</v>
      </c>
      <c r="AS172" s="10">
        <f t="shared" si="242"/>
        <v>-7.6999999999999999E-2</v>
      </c>
      <c r="AT172" s="10">
        <f t="shared" si="243"/>
        <v>-0.124</v>
      </c>
      <c r="AU172" s="10">
        <f t="shared" si="244"/>
        <v>2.1999999999999999E-2</v>
      </c>
      <c r="AV172" s="10">
        <f t="shared" si="245"/>
        <v>0</v>
      </c>
      <c r="AW172" s="10">
        <f t="shared" si="246"/>
        <v>0</v>
      </c>
      <c r="AX172" s="10">
        <f t="shared" si="247"/>
        <v>0</v>
      </c>
      <c r="AY172" s="10">
        <f t="shared" si="248"/>
        <v>0</v>
      </c>
      <c r="AZ172" s="10">
        <f t="shared" si="249"/>
        <v>0</v>
      </c>
      <c r="BA172" s="10">
        <f t="shared" si="250"/>
        <v>0</v>
      </c>
    </row>
    <row r="173" spans="1:56" s="8" customFormat="1" x14ac:dyDescent="0.25">
      <c r="A173" s="10"/>
      <c r="B173" s="26" t="s">
        <v>61</v>
      </c>
      <c r="C173" s="8">
        <f t="shared" ref="C173:AP173" si="251">SUM(C165:C172)</f>
        <v>-1.2719999999999996</v>
      </c>
      <c r="D173" s="8">
        <f t="shared" si="251"/>
        <v>-2.5330000000000013</v>
      </c>
      <c r="E173" s="8">
        <f t="shared" si="251"/>
        <v>-4.4389999999999983</v>
      </c>
      <c r="F173" s="8">
        <f t="shared" si="251"/>
        <v>-1.5860000000000005</v>
      </c>
      <c r="G173" s="8">
        <f t="shared" si="251"/>
        <v>2.6119999999999997</v>
      </c>
      <c r="H173" s="8">
        <f t="shared" si="251"/>
        <v>1.6180000000000008</v>
      </c>
      <c r="I173" s="8">
        <f t="shared" si="251"/>
        <v>3.1480000000000015</v>
      </c>
      <c r="J173" s="8">
        <f t="shared" si="251"/>
        <v>-3.000000000001668E-3</v>
      </c>
      <c r="K173" s="8">
        <f t="shared" si="251"/>
        <v>-0.84100000000000008</v>
      </c>
      <c r="L173" s="8">
        <f t="shared" si="251"/>
        <v>-0.5290000000000008</v>
      </c>
      <c r="M173" s="8">
        <f t="shared" si="251"/>
        <v>-8.4300000000000015</v>
      </c>
      <c r="N173" s="8">
        <f t="shared" si="251"/>
        <v>-0.76600000000000001</v>
      </c>
      <c r="O173" s="8">
        <f t="shared" si="251"/>
        <v>-5.6930000000000005</v>
      </c>
      <c r="P173" s="8">
        <f t="shared" si="251"/>
        <v>-3.1839999999999993</v>
      </c>
      <c r="Q173" s="8">
        <f t="shared" si="251"/>
        <v>-4.3460000000000019</v>
      </c>
      <c r="R173" s="8">
        <f t="shared" si="251"/>
        <v>-7.1979999999999968</v>
      </c>
      <c r="S173" s="8">
        <f t="shared" si="251"/>
        <v>0</v>
      </c>
      <c r="T173" s="8">
        <f t="shared" si="251"/>
        <v>0</v>
      </c>
      <c r="U173" s="8">
        <f t="shared" si="251"/>
        <v>0</v>
      </c>
      <c r="V173" s="8">
        <f t="shared" si="251"/>
        <v>0</v>
      </c>
      <c r="W173" s="8">
        <f t="shared" si="251"/>
        <v>0</v>
      </c>
      <c r="X173" s="8">
        <f t="shared" si="251"/>
        <v>0</v>
      </c>
      <c r="Y173" s="8">
        <f t="shared" si="251"/>
        <v>0</v>
      </c>
      <c r="Z173" s="8">
        <f t="shared" si="251"/>
        <v>0</v>
      </c>
      <c r="AA173" s="8">
        <f t="shared" si="251"/>
        <v>0</v>
      </c>
      <c r="AB173" s="8">
        <f t="shared" si="251"/>
        <v>0</v>
      </c>
      <c r="AC173" s="8">
        <f t="shared" si="251"/>
        <v>0</v>
      </c>
      <c r="AD173" s="8">
        <f t="shared" si="251"/>
        <v>0</v>
      </c>
      <c r="AE173" s="8">
        <f t="shared" si="251"/>
        <v>0</v>
      </c>
      <c r="AF173" s="8">
        <f t="shared" si="251"/>
        <v>0</v>
      </c>
      <c r="AG173" s="8">
        <f t="shared" si="251"/>
        <v>0</v>
      </c>
      <c r="AH173" s="8">
        <f t="shared" si="251"/>
        <v>0</v>
      </c>
      <c r="AI173" s="8">
        <f t="shared" si="251"/>
        <v>0</v>
      </c>
      <c r="AJ173" s="8">
        <f t="shared" si="251"/>
        <v>0</v>
      </c>
      <c r="AK173" s="8">
        <f t="shared" si="251"/>
        <v>0</v>
      </c>
      <c r="AL173" s="8">
        <f t="shared" si="251"/>
        <v>0</v>
      </c>
      <c r="AM173" s="8">
        <f t="shared" si="251"/>
        <v>0</v>
      </c>
      <c r="AN173" s="8">
        <f t="shared" si="251"/>
        <v>0</v>
      </c>
      <c r="AO173" s="8">
        <f t="shared" si="251"/>
        <v>0</v>
      </c>
      <c r="AP173" s="8">
        <f t="shared" si="251"/>
        <v>0</v>
      </c>
      <c r="AR173" s="8">
        <f t="shared" ref="AR173:BA173" si="252">SUM(AR165:AR172)</f>
        <v>-9.8299999999999983</v>
      </c>
      <c r="AS173" s="8">
        <f t="shared" si="252"/>
        <v>7.3750000000000009</v>
      </c>
      <c r="AT173" s="8">
        <f t="shared" si="252"/>
        <v>-10.565999999999997</v>
      </c>
      <c r="AU173" s="8">
        <f t="shared" si="252"/>
        <v>-20.421000000000003</v>
      </c>
      <c r="AV173" s="8">
        <f t="shared" si="252"/>
        <v>0</v>
      </c>
      <c r="AW173" s="8">
        <f t="shared" si="252"/>
        <v>0</v>
      </c>
      <c r="AX173" s="8">
        <f t="shared" si="252"/>
        <v>0</v>
      </c>
      <c r="AY173" s="8">
        <f t="shared" si="252"/>
        <v>0</v>
      </c>
      <c r="AZ173" s="8">
        <f t="shared" si="252"/>
        <v>0</v>
      </c>
      <c r="BA173" s="8">
        <f t="shared" si="252"/>
        <v>0</v>
      </c>
      <c r="BC173" s="8">
        <v>0</v>
      </c>
    </row>
    <row r="175" spans="1:56" x14ac:dyDescent="0.25">
      <c r="B175" s="8" t="s">
        <v>59</v>
      </c>
    </row>
    <row r="176" spans="1:56" x14ac:dyDescent="0.25">
      <c r="B176" s="10" t="s">
        <v>130</v>
      </c>
      <c r="C176" s="17">
        <v>0</v>
      </c>
      <c r="D176" s="17">
        <f>4.985-SUM(C176)</f>
        <v>4.9850000000000003</v>
      </c>
      <c r="E176" s="17">
        <f>4.977-SUM(C176:D176)</f>
        <v>-8.0000000000000071E-3</v>
      </c>
      <c r="F176" s="17">
        <f>4.977-SUM(C176:E176)</f>
        <v>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AR176" s="10">
        <f t="shared" ref="AR176:AR183" si="253">SUM(C176:F176)</f>
        <v>4.9770000000000003</v>
      </c>
      <c r="AS176" s="10">
        <f t="shared" ref="AS176:AS183" si="254">SUM(G176:J176)</f>
        <v>0</v>
      </c>
      <c r="AT176" s="10">
        <f t="shared" ref="AT176:AT183" si="255">SUM(K176:N176)</f>
        <v>0</v>
      </c>
      <c r="AU176" s="10">
        <f t="shared" ref="AU176:AU183" si="256">SUM(O176:R176)</f>
        <v>0</v>
      </c>
      <c r="AV176" s="10">
        <f t="shared" ref="AV176:AV183" si="257">SUM(S176:V176)</f>
        <v>0</v>
      </c>
      <c r="AW176" s="10">
        <f t="shared" ref="AW176:AW183" si="258">SUM(W176:Z176)</f>
        <v>0</v>
      </c>
      <c r="AX176" s="10">
        <f t="shared" ref="AX176:AX183" si="259">SUM(AA176:AD176)</f>
        <v>0</v>
      </c>
      <c r="AY176" s="10">
        <f t="shared" ref="AY176:AY183" si="260">SUM(AE176:AH176)</f>
        <v>0</v>
      </c>
      <c r="AZ176" s="10">
        <f t="shared" ref="AZ176:AZ183" si="261">SUM(AI176:AL176)</f>
        <v>0</v>
      </c>
      <c r="BA176" s="10">
        <f t="shared" ref="BA176:BA183" si="262">SUM(AM176:AP176)</f>
        <v>0</v>
      </c>
    </row>
    <row r="177" spans="2:56" x14ac:dyDescent="0.25">
      <c r="B177" s="10" t="s">
        <v>124</v>
      </c>
      <c r="C177" s="17">
        <v>0.126</v>
      </c>
      <c r="D177" s="17">
        <f>0.128-C177</f>
        <v>2.0000000000000018E-3</v>
      </c>
      <c r="E177" s="17">
        <f>0.277-SUM(C177:D177)</f>
        <v>0.14900000000000002</v>
      </c>
      <c r="F177" s="17">
        <f>0.281-SUM(C177:E177)</f>
        <v>4.0000000000000036E-3</v>
      </c>
      <c r="G177" s="17">
        <v>0.20399999999999999</v>
      </c>
      <c r="H177" s="17">
        <f>0.205-G177</f>
        <v>1.0000000000000009E-3</v>
      </c>
      <c r="I177" s="17">
        <f>0.349-SUM(G177:H177)</f>
        <v>0.14399999999999999</v>
      </c>
      <c r="J177" s="17">
        <f>0.355-SUM(G177:I177)</f>
        <v>6.0000000000000053E-3</v>
      </c>
      <c r="K177" s="17">
        <v>0.246</v>
      </c>
      <c r="L177" s="17">
        <f>0.247-K177</f>
        <v>1.0000000000000009E-3</v>
      </c>
      <c r="M177" s="17">
        <f>0.403-SUM(K177:L177)</f>
        <v>0.15600000000000003</v>
      </c>
      <c r="N177" s="17">
        <f>0.403-SUM(K177:M177)</f>
        <v>0</v>
      </c>
      <c r="O177" s="17">
        <v>0.28499999999999998</v>
      </c>
      <c r="P177" s="17">
        <f>0.285-O177</f>
        <v>0</v>
      </c>
      <c r="Q177" s="17">
        <f>0.489-SUM(O177:P177)</f>
        <v>0.20400000000000001</v>
      </c>
      <c r="R177" s="17">
        <f>0.49-SUM(O177:Q177)</f>
        <v>1.0000000000000009E-3</v>
      </c>
      <c r="AR177" s="10">
        <f t="shared" si="253"/>
        <v>0.28100000000000003</v>
      </c>
      <c r="AS177" s="10">
        <f t="shared" si="254"/>
        <v>0.35499999999999998</v>
      </c>
      <c r="AT177" s="10">
        <f t="shared" si="255"/>
        <v>0.40300000000000002</v>
      </c>
      <c r="AU177" s="10">
        <f t="shared" si="256"/>
        <v>0.49</v>
      </c>
      <c r="AV177" s="10">
        <f t="shared" si="257"/>
        <v>0</v>
      </c>
      <c r="AW177" s="10">
        <f t="shared" si="258"/>
        <v>0</v>
      </c>
      <c r="AX177" s="10">
        <f t="shared" si="259"/>
        <v>0</v>
      </c>
      <c r="AY177" s="10">
        <f t="shared" si="260"/>
        <v>0</v>
      </c>
      <c r="AZ177" s="10">
        <f t="shared" si="261"/>
        <v>0</v>
      </c>
      <c r="BA177" s="10">
        <f t="shared" si="262"/>
        <v>0</v>
      </c>
    </row>
    <row r="178" spans="2:56" x14ac:dyDescent="0.25">
      <c r="B178" s="10" t="s">
        <v>119</v>
      </c>
      <c r="C178" s="17">
        <v>0</v>
      </c>
      <c r="D178" s="17">
        <v>0</v>
      </c>
      <c r="E178" s="17">
        <v>0</v>
      </c>
      <c r="F178" s="17">
        <v>0</v>
      </c>
      <c r="G178" s="17">
        <v>-1.996</v>
      </c>
      <c r="H178" s="17">
        <f>-5.341-G178</f>
        <v>-3.3450000000000002</v>
      </c>
      <c r="I178" s="17">
        <f>-8.826-SUM(G178:H178)</f>
        <v>-3.4850000000000003</v>
      </c>
      <c r="J178" s="17">
        <f>-10.039-SUM(G178:I178)</f>
        <v>-1.2129999999999992</v>
      </c>
      <c r="K178" s="17">
        <v>0</v>
      </c>
      <c r="L178" s="17">
        <f>-3.067-K178</f>
        <v>-3.0670000000000002</v>
      </c>
      <c r="M178" s="17">
        <f>-6.874-SUM(K178:L178)</f>
        <v>-3.8069999999999995</v>
      </c>
      <c r="N178" s="17">
        <f>-9.533-SUM(K178:M178)</f>
        <v>-2.6589999999999998</v>
      </c>
      <c r="O178" s="17">
        <v>-7.74</v>
      </c>
      <c r="P178" s="17">
        <f>-14.898-O178</f>
        <v>-7.1579999999999995</v>
      </c>
      <c r="Q178" s="17">
        <f>-25.895-SUM(O178:P178)</f>
        <v>-10.997</v>
      </c>
      <c r="R178" s="17">
        <f>-33.706-SUM(O178:Q178)</f>
        <v>-7.8110000000000035</v>
      </c>
      <c r="S178" s="10">
        <f>R178</f>
        <v>-7.8110000000000035</v>
      </c>
      <c r="T178" s="10">
        <f t="shared" ref="T178:AP178" si="263">S178</f>
        <v>-7.8110000000000035</v>
      </c>
      <c r="U178" s="10">
        <f t="shared" si="263"/>
        <v>-7.8110000000000035</v>
      </c>
      <c r="V178" s="10">
        <f t="shared" si="263"/>
        <v>-7.8110000000000035</v>
      </c>
      <c r="W178" s="10">
        <f t="shared" si="263"/>
        <v>-7.8110000000000035</v>
      </c>
      <c r="X178" s="10">
        <f t="shared" si="263"/>
        <v>-7.8110000000000035</v>
      </c>
      <c r="Y178" s="10">
        <f t="shared" si="263"/>
        <v>-7.8110000000000035</v>
      </c>
      <c r="Z178" s="10">
        <f t="shared" si="263"/>
        <v>-7.8110000000000035</v>
      </c>
      <c r="AA178" s="10">
        <f t="shared" si="263"/>
        <v>-7.8110000000000035</v>
      </c>
      <c r="AB178" s="10">
        <f t="shared" si="263"/>
        <v>-7.8110000000000035</v>
      </c>
      <c r="AC178" s="10">
        <f t="shared" si="263"/>
        <v>-7.8110000000000035</v>
      </c>
      <c r="AD178" s="10">
        <f t="shared" si="263"/>
        <v>-7.8110000000000035</v>
      </c>
      <c r="AE178" s="10">
        <f t="shared" si="263"/>
        <v>-7.8110000000000035</v>
      </c>
      <c r="AF178" s="10">
        <f t="shared" si="263"/>
        <v>-7.8110000000000035</v>
      </c>
      <c r="AG178" s="10">
        <f t="shared" si="263"/>
        <v>-7.8110000000000035</v>
      </c>
      <c r="AH178" s="10">
        <f t="shared" si="263"/>
        <v>-7.8110000000000035</v>
      </c>
      <c r="AI178" s="10">
        <f t="shared" si="263"/>
        <v>-7.8110000000000035</v>
      </c>
      <c r="AJ178" s="10">
        <f t="shared" si="263"/>
        <v>-7.8110000000000035</v>
      </c>
      <c r="AK178" s="10">
        <f t="shared" si="263"/>
        <v>-7.8110000000000035</v>
      </c>
      <c r="AL178" s="10">
        <f t="shared" si="263"/>
        <v>-7.8110000000000035</v>
      </c>
      <c r="AM178" s="10">
        <f t="shared" si="263"/>
        <v>-7.8110000000000035</v>
      </c>
      <c r="AN178" s="10">
        <f t="shared" si="263"/>
        <v>-7.8110000000000035</v>
      </c>
      <c r="AO178" s="10">
        <f t="shared" si="263"/>
        <v>-7.8110000000000035</v>
      </c>
      <c r="AP178" s="10">
        <f t="shared" si="263"/>
        <v>-7.8110000000000035</v>
      </c>
      <c r="AR178" s="10">
        <f t="shared" si="253"/>
        <v>0</v>
      </c>
      <c r="AS178" s="10">
        <f t="shared" si="254"/>
        <v>-10.039</v>
      </c>
      <c r="AT178" s="10">
        <f t="shared" si="255"/>
        <v>-9.5329999999999995</v>
      </c>
      <c r="AU178" s="10">
        <f t="shared" si="256"/>
        <v>-33.706000000000003</v>
      </c>
      <c r="AV178" s="10">
        <f t="shared" si="257"/>
        <v>-31.244000000000014</v>
      </c>
      <c r="AW178" s="10">
        <f t="shared" si="258"/>
        <v>-31.244000000000014</v>
      </c>
      <c r="AX178" s="10">
        <f t="shared" si="259"/>
        <v>-31.244000000000014</v>
      </c>
      <c r="AY178" s="10">
        <f t="shared" si="260"/>
        <v>-31.244000000000014</v>
      </c>
      <c r="AZ178" s="10">
        <f t="shared" si="261"/>
        <v>-31.244000000000014</v>
      </c>
      <c r="BA178" s="10">
        <f t="shared" si="262"/>
        <v>-31.244000000000014</v>
      </c>
      <c r="BC178" s="10">
        <v>-7.8110000000000035</v>
      </c>
    </row>
    <row r="179" spans="2:56" x14ac:dyDescent="0.25">
      <c r="B179" s="10" t="s">
        <v>120</v>
      </c>
      <c r="C179" s="17">
        <v>-0.47699999999999998</v>
      </c>
      <c r="D179" s="17">
        <f>-0.843-C179</f>
        <v>-0.36599999999999999</v>
      </c>
      <c r="E179" s="17">
        <f>-1.282-SUM(C179:D179)</f>
        <v>-0.43900000000000006</v>
      </c>
      <c r="F179" s="17">
        <f>-1.904-SUM(C179:E179)</f>
        <v>-0.62199999999999989</v>
      </c>
      <c r="G179" s="17">
        <v>-0.53200000000000003</v>
      </c>
      <c r="H179" s="17">
        <f>-0.837-G179</f>
        <v>-0.30499999999999994</v>
      </c>
      <c r="I179" s="17">
        <f>-1.131-SUM(G179:H179)</f>
        <v>-0.29400000000000004</v>
      </c>
      <c r="J179" s="17">
        <f>-1.475-SUM(G179:I179)</f>
        <v>-0.34400000000000008</v>
      </c>
      <c r="K179" s="17">
        <v>-0.50700000000000001</v>
      </c>
      <c r="L179" s="17">
        <f>-1.25-K179</f>
        <v>-0.74299999999999999</v>
      </c>
      <c r="M179" s="17">
        <f>-1.942-SUM(K179:L179)</f>
        <v>-0.69199999999999995</v>
      </c>
      <c r="N179" s="17">
        <f>-2.783-SUM(K179:M179)</f>
        <v>-0.84099999999999997</v>
      </c>
      <c r="O179" s="17">
        <v>-1.752</v>
      </c>
      <c r="P179" s="17">
        <f>-1.25-O179</f>
        <v>0.502</v>
      </c>
      <c r="Q179" s="17">
        <f>-5.068-SUM(O179:P179)</f>
        <v>-3.8179999999999996</v>
      </c>
      <c r="R179" s="17">
        <f>-6.93-SUM(O179:Q179)</f>
        <v>-1.8620000000000001</v>
      </c>
      <c r="S179" s="10">
        <f t="shared" ref="S179:AP179" si="264">R179</f>
        <v>-1.8620000000000001</v>
      </c>
      <c r="T179" s="10">
        <f t="shared" si="264"/>
        <v>-1.8620000000000001</v>
      </c>
      <c r="U179" s="10">
        <f t="shared" si="264"/>
        <v>-1.8620000000000001</v>
      </c>
      <c r="V179" s="10">
        <f t="shared" si="264"/>
        <v>-1.8620000000000001</v>
      </c>
      <c r="W179" s="10">
        <f t="shared" si="264"/>
        <v>-1.8620000000000001</v>
      </c>
      <c r="X179" s="10">
        <f t="shared" si="264"/>
        <v>-1.8620000000000001</v>
      </c>
      <c r="Y179" s="10">
        <f t="shared" si="264"/>
        <v>-1.8620000000000001</v>
      </c>
      <c r="Z179" s="10">
        <f t="shared" si="264"/>
        <v>-1.8620000000000001</v>
      </c>
      <c r="AA179" s="10">
        <f t="shared" si="264"/>
        <v>-1.8620000000000001</v>
      </c>
      <c r="AB179" s="10">
        <f t="shared" si="264"/>
        <v>-1.8620000000000001</v>
      </c>
      <c r="AC179" s="10">
        <f t="shared" si="264"/>
        <v>-1.8620000000000001</v>
      </c>
      <c r="AD179" s="10">
        <f t="shared" si="264"/>
        <v>-1.8620000000000001</v>
      </c>
      <c r="AE179" s="10">
        <f t="shared" si="264"/>
        <v>-1.8620000000000001</v>
      </c>
      <c r="AF179" s="10">
        <f t="shared" si="264"/>
        <v>-1.8620000000000001</v>
      </c>
      <c r="AG179" s="10">
        <f t="shared" si="264"/>
        <v>-1.8620000000000001</v>
      </c>
      <c r="AH179" s="10">
        <f t="shared" si="264"/>
        <v>-1.8620000000000001</v>
      </c>
      <c r="AI179" s="10">
        <f t="shared" si="264"/>
        <v>-1.8620000000000001</v>
      </c>
      <c r="AJ179" s="10">
        <f t="shared" si="264"/>
        <v>-1.8620000000000001</v>
      </c>
      <c r="AK179" s="10">
        <f t="shared" si="264"/>
        <v>-1.8620000000000001</v>
      </c>
      <c r="AL179" s="10">
        <f t="shared" si="264"/>
        <v>-1.8620000000000001</v>
      </c>
      <c r="AM179" s="10">
        <f t="shared" si="264"/>
        <v>-1.8620000000000001</v>
      </c>
      <c r="AN179" s="10">
        <f t="shared" si="264"/>
        <v>-1.8620000000000001</v>
      </c>
      <c r="AO179" s="10">
        <f t="shared" si="264"/>
        <v>-1.8620000000000001</v>
      </c>
      <c r="AP179" s="10">
        <f t="shared" si="264"/>
        <v>-1.8620000000000001</v>
      </c>
      <c r="AR179" s="10">
        <f t="shared" si="253"/>
        <v>-1.9039999999999999</v>
      </c>
      <c r="AS179" s="10">
        <f t="shared" si="254"/>
        <v>-1.4750000000000001</v>
      </c>
      <c r="AT179" s="10">
        <f t="shared" si="255"/>
        <v>-2.7829999999999999</v>
      </c>
      <c r="AU179" s="10">
        <f t="shared" si="256"/>
        <v>-6.93</v>
      </c>
      <c r="AV179" s="10">
        <f t="shared" si="257"/>
        <v>-7.4480000000000004</v>
      </c>
      <c r="AW179" s="10">
        <f t="shared" si="258"/>
        <v>-7.4480000000000004</v>
      </c>
      <c r="AX179" s="10">
        <f t="shared" si="259"/>
        <v>-7.4480000000000004</v>
      </c>
      <c r="AY179" s="10">
        <f t="shared" si="260"/>
        <v>-7.4480000000000004</v>
      </c>
      <c r="AZ179" s="10">
        <f t="shared" si="261"/>
        <v>-7.4480000000000004</v>
      </c>
      <c r="BA179" s="10">
        <f t="shared" si="262"/>
        <v>-7.4480000000000004</v>
      </c>
      <c r="BC179" s="10">
        <v>-1.8620000000000001</v>
      </c>
    </row>
    <row r="180" spans="2:56" x14ac:dyDescent="0.25">
      <c r="B180" s="10" t="s">
        <v>123</v>
      </c>
      <c r="C180" s="17">
        <v>-9.9000000000000005E-2</v>
      </c>
      <c r="D180" s="17">
        <f>-0.198-C180</f>
        <v>-9.9000000000000005E-2</v>
      </c>
      <c r="E180" s="17">
        <f>-0.298-SUM(C180:D180)</f>
        <v>-9.9999999999999978E-2</v>
      </c>
      <c r="F180" s="17">
        <f>-0.399-SUM(C180:E180)</f>
        <v>-0.10100000000000003</v>
      </c>
      <c r="G180" s="17">
        <v>-0.1</v>
      </c>
      <c r="H180" s="17">
        <f>-0.2-G180</f>
        <v>-0.1</v>
      </c>
      <c r="I180" s="17">
        <f>-0.3-SUM(G180:H180)</f>
        <v>-9.9999999999999978E-2</v>
      </c>
      <c r="J180" s="17">
        <f>-0.398-SUM(G180:I180)</f>
        <v>-9.8000000000000032E-2</v>
      </c>
      <c r="K180" s="17">
        <v>-9.9000000000000005E-2</v>
      </c>
      <c r="L180" s="17">
        <f>-0.199-K180</f>
        <v>-0.1</v>
      </c>
      <c r="M180" s="17">
        <f>-0.296-SUM(K180:L180)</f>
        <v>-9.6999999999999975E-2</v>
      </c>
      <c r="N180" s="17">
        <f>-0.395-SUM(K180:M180)</f>
        <v>-9.9000000000000032E-2</v>
      </c>
      <c r="O180" s="17">
        <v>-9.8000000000000004E-2</v>
      </c>
      <c r="P180" s="17">
        <f>-0.344-O180</f>
        <v>-0.24599999999999997</v>
      </c>
      <c r="Q180" s="17">
        <f>-0.589-SUM(O180:P180)</f>
        <v>-0.245</v>
      </c>
      <c r="R180" s="17">
        <f>-0.834-SUM(O180:Q180)</f>
        <v>-0.245</v>
      </c>
      <c r="S180" s="10">
        <f t="shared" ref="S180:AP180" si="265">R180</f>
        <v>-0.245</v>
      </c>
      <c r="T180" s="10">
        <f t="shared" si="265"/>
        <v>-0.245</v>
      </c>
      <c r="U180" s="10">
        <f t="shared" si="265"/>
        <v>-0.245</v>
      </c>
      <c r="V180" s="10">
        <f t="shared" si="265"/>
        <v>-0.245</v>
      </c>
      <c r="W180" s="10">
        <f t="shared" si="265"/>
        <v>-0.245</v>
      </c>
      <c r="X180" s="10">
        <f t="shared" si="265"/>
        <v>-0.245</v>
      </c>
      <c r="Y180" s="10">
        <f t="shared" si="265"/>
        <v>-0.245</v>
      </c>
      <c r="Z180" s="10">
        <f t="shared" si="265"/>
        <v>-0.245</v>
      </c>
      <c r="AA180" s="10">
        <f t="shared" si="265"/>
        <v>-0.245</v>
      </c>
      <c r="AB180" s="10">
        <f t="shared" si="265"/>
        <v>-0.245</v>
      </c>
      <c r="AC180" s="10">
        <f t="shared" si="265"/>
        <v>-0.245</v>
      </c>
      <c r="AD180" s="10">
        <f t="shared" si="265"/>
        <v>-0.245</v>
      </c>
      <c r="AE180" s="10">
        <f t="shared" si="265"/>
        <v>-0.245</v>
      </c>
      <c r="AF180" s="10">
        <f t="shared" si="265"/>
        <v>-0.245</v>
      </c>
      <c r="AG180" s="10">
        <f t="shared" si="265"/>
        <v>-0.245</v>
      </c>
      <c r="AH180" s="10">
        <f t="shared" si="265"/>
        <v>-0.245</v>
      </c>
      <c r="AI180" s="10">
        <f t="shared" si="265"/>
        <v>-0.245</v>
      </c>
      <c r="AJ180" s="10">
        <f t="shared" si="265"/>
        <v>-0.245</v>
      </c>
      <c r="AK180" s="10">
        <f t="shared" si="265"/>
        <v>-0.245</v>
      </c>
      <c r="AL180" s="10">
        <f t="shared" si="265"/>
        <v>-0.245</v>
      </c>
      <c r="AM180" s="10">
        <f t="shared" si="265"/>
        <v>-0.245</v>
      </c>
      <c r="AN180" s="10">
        <f t="shared" si="265"/>
        <v>-0.245</v>
      </c>
      <c r="AO180" s="10">
        <f t="shared" si="265"/>
        <v>-0.245</v>
      </c>
      <c r="AP180" s="10">
        <f t="shared" si="265"/>
        <v>-0.245</v>
      </c>
      <c r="AR180" s="10">
        <f t="shared" si="253"/>
        <v>-0.39900000000000002</v>
      </c>
      <c r="AS180" s="10">
        <f t="shared" si="254"/>
        <v>-0.39800000000000002</v>
      </c>
      <c r="AT180" s="10">
        <f t="shared" si="255"/>
        <v>-0.39500000000000002</v>
      </c>
      <c r="AU180" s="10">
        <f t="shared" si="256"/>
        <v>-0.83399999999999996</v>
      </c>
      <c r="AV180" s="10">
        <f t="shared" si="257"/>
        <v>-0.98</v>
      </c>
      <c r="AW180" s="10">
        <f t="shared" si="258"/>
        <v>-0.98</v>
      </c>
      <c r="AX180" s="10">
        <f t="shared" si="259"/>
        <v>-0.98</v>
      </c>
      <c r="AY180" s="10">
        <f t="shared" si="260"/>
        <v>-0.98</v>
      </c>
      <c r="AZ180" s="10">
        <f t="shared" si="261"/>
        <v>-0.98</v>
      </c>
      <c r="BA180" s="10">
        <f t="shared" si="262"/>
        <v>-0.98</v>
      </c>
      <c r="BC180" s="10">
        <v>-0.245</v>
      </c>
    </row>
    <row r="181" spans="2:56" x14ac:dyDescent="0.25">
      <c r="B181" s="10" t="s">
        <v>122</v>
      </c>
      <c r="C181" s="17">
        <v>-1.9E-2</v>
      </c>
      <c r="D181" s="17">
        <f>-0.04-C181</f>
        <v>-2.1000000000000001E-2</v>
      </c>
      <c r="E181" s="17">
        <f>-0.062-SUM(C181:D181)</f>
        <v>-2.1999999999999999E-2</v>
      </c>
      <c r="F181" s="17">
        <f>-0.083-SUM(C181:E181)</f>
        <v>-2.1000000000000005E-2</v>
      </c>
      <c r="G181" s="17">
        <v>-2.1999999999999999E-2</v>
      </c>
      <c r="H181" s="17">
        <f>-0.036-G181</f>
        <v>-1.3999999999999999E-2</v>
      </c>
      <c r="I181" s="17">
        <f>-0.054-SUM(G181:H181)</f>
        <v>-1.8000000000000002E-2</v>
      </c>
      <c r="J181" s="17">
        <f>-0.058-SUM(G181:I181)</f>
        <v>-4.0000000000000036E-3</v>
      </c>
      <c r="K181" s="17">
        <v>-0.02</v>
      </c>
      <c r="L181" s="17">
        <f>-0.031-K181</f>
        <v>-1.0999999999999999E-2</v>
      </c>
      <c r="M181" s="17">
        <f>-0.044-SUM(K181:L181)</f>
        <v>-1.2999999999999998E-2</v>
      </c>
      <c r="N181" s="17">
        <f>-0.074-SUM(K181:M181)</f>
        <v>-0.03</v>
      </c>
      <c r="O181" s="17">
        <v>-0.04</v>
      </c>
      <c r="P181" s="17">
        <f>-0.069-O181</f>
        <v>-2.9000000000000005E-2</v>
      </c>
      <c r="Q181" s="17">
        <f>-0.097-SUM(O181:P181)</f>
        <v>-2.7999999999999997E-2</v>
      </c>
      <c r="R181" s="17">
        <f>-0.129-SUM(O181:Q181)</f>
        <v>-3.2000000000000001E-2</v>
      </c>
      <c r="AR181" s="10">
        <f t="shared" si="253"/>
        <v>-8.3000000000000004E-2</v>
      </c>
      <c r="AS181" s="10">
        <f t="shared" si="254"/>
        <v>-5.8000000000000003E-2</v>
      </c>
      <c r="AT181" s="10">
        <f t="shared" si="255"/>
        <v>-7.3999999999999996E-2</v>
      </c>
      <c r="AU181" s="10">
        <f t="shared" si="256"/>
        <v>-0.129</v>
      </c>
      <c r="AV181" s="10">
        <f t="shared" si="257"/>
        <v>0</v>
      </c>
      <c r="AW181" s="10">
        <f t="shared" si="258"/>
        <v>0</v>
      </c>
      <c r="AX181" s="10">
        <f t="shared" si="259"/>
        <v>0</v>
      </c>
      <c r="AY181" s="10">
        <f t="shared" si="260"/>
        <v>0</v>
      </c>
      <c r="AZ181" s="10">
        <f t="shared" si="261"/>
        <v>0</v>
      </c>
      <c r="BA181" s="10">
        <f t="shared" si="262"/>
        <v>0</v>
      </c>
    </row>
    <row r="182" spans="2:56" x14ac:dyDescent="0.25">
      <c r="B182" s="10" t="s">
        <v>121</v>
      </c>
      <c r="C182" s="17">
        <v>0</v>
      </c>
      <c r="D182" s="17">
        <v>0</v>
      </c>
      <c r="E182" s="17">
        <f>-1-SUM(C182:D182)</f>
        <v>-1</v>
      </c>
      <c r="F182" s="17">
        <f>-1-SUM(C182:E182)</f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f>-1.179-K182</f>
        <v>-1.179</v>
      </c>
      <c r="M182" s="17">
        <f>-1.25-SUM(K182:L182)</f>
        <v>-7.0999999999999952E-2</v>
      </c>
      <c r="N182" s="17">
        <f>-1.25-SUM(K182:M182)</f>
        <v>0</v>
      </c>
      <c r="O182" s="17">
        <v>0</v>
      </c>
      <c r="P182" s="17">
        <f>-3.389-O182</f>
        <v>-3.3889999999999998</v>
      </c>
      <c r="Q182" s="17">
        <f>-1.25-SUM(O182:P182)</f>
        <v>2.1389999999999998</v>
      </c>
      <c r="R182" s="17">
        <f>-1.25-SUM(O182:Q182)</f>
        <v>0</v>
      </c>
      <c r="AR182" s="10">
        <f t="shared" si="253"/>
        <v>-1</v>
      </c>
      <c r="AS182" s="10">
        <f t="shared" si="254"/>
        <v>0</v>
      </c>
      <c r="AT182" s="10">
        <f t="shared" si="255"/>
        <v>-1.25</v>
      </c>
      <c r="AU182" s="10">
        <f t="shared" si="256"/>
        <v>-1.25</v>
      </c>
      <c r="AV182" s="10">
        <f t="shared" si="257"/>
        <v>0</v>
      </c>
      <c r="AW182" s="10">
        <f t="shared" si="258"/>
        <v>0</v>
      </c>
      <c r="AX182" s="10">
        <f t="shared" si="259"/>
        <v>0</v>
      </c>
      <c r="AY182" s="10">
        <f t="shared" si="260"/>
        <v>0</v>
      </c>
      <c r="AZ182" s="10">
        <f t="shared" si="261"/>
        <v>0</v>
      </c>
      <c r="BA182" s="10">
        <f t="shared" si="262"/>
        <v>0</v>
      </c>
    </row>
    <row r="183" spans="2:56" x14ac:dyDescent="0.25">
      <c r="B183" s="10" t="s">
        <v>53</v>
      </c>
      <c r="C183" s="17">
        <v>-2E-3</v>
      </c>
      <c r="D183" s="17">
        <f>-0.002-C183</f>
        <v>0</v>
      </c>
      <c r="E183" s="17">
        <f>-0.002-SUM(C183:D183)</f>
        <v>0</v>
      </c>
      <c r="F183" s="17">
        <f>-0.007-SUM(C183:E183)</f>
        <v>-5.0000000000000001E-3</v>
      </c>
      <c r="G183" s="17">
        <v>0</v>
      </c>
      <c r="H183" s="17">
        <f>0.001-G183</f>
        <v>1E-3</v>
      </c>
      <c r="I183" s="17">
        <f>0.001-SUM(G183:H183)</f>
        <v>0</v>
      </c>
      <c r="J183" s="17">
        <f>-0.002-SUM(G183:I183)</f>
        <v>-3.0000000000000001E-3</v>
      </c>
      <c r="K183" s="17">
        <v>0</v>
      </c>
      <c r="L183" s="17">
        <v>0</v>
      </c>
      <c r="M183" s="17">
        <f>-0.001-SUM(K183:L183)</f>
        <v>-1E-3</v>
      </c>
      <c r="N183" s="17">
        <f>-0.001-SUM(K183:M183)</f>
        <v>0</v>
      </c>
      <c r="O183" s="17">
        <v>0</v>
      </c>
      <c r="P183" s="17">
        <v>0</v>
      </c>
      <c r="Q183" s="17">
        <v>0</v>
      </c>
      <c r="R183" s="17">
        <v>0</v>
      </c>
      <c r="AR183" s="10">
        <f t="shared" si="253"/>
        <v>-7.0000000000000001E-3</v>
      </c>
      <c r="AS183" s="10">
        <f t="shared" si="254"/>
        <v>-2E-3</v>
      </c>
      <c r="AT183" s="10">
        <f t="shared" si="255"/>
        <v>-1E-3</v>
      </c>
      <c r="AU183" s="10">
        <f t="shared" si="256"/>
        <v>0</v>
      </c>
      <c r="AV183" s="10">
        <f t="shared" si="257"/>
        <v>0</v>
      </c>
      <c r="AW183" s="10">
        <f t="shared" si="258"/>
        <v>0</v>
      </c>
      <c r="AX183" s="10">
        <f t="shared" si="259"/>
        <v>0</v>
      </c>
      <c r="AY183" s="10">
        <f t="shared" si="260"/>
        <v>0</v>
      </c>
      <c r="AZ183" s="10">
        <f t="shared" si="261"/>
        <v>0</v>
      </c>
      <c r="BA183" s="10">
        <f t="shared" si="262"/>
        <v>0</v>
      </c>
    </row>
    <row r="184" spans="2:56" x14ac:dyDescent="0.25">
      <c r="B184" s="8" t="s">
        <v>60</v>
      </c>
      <c r="C184" s="8">
        <f>SUM(C176:C183)</f>
        <v>-0.47099999999999997</v>
      </c>
      <c r="D184" s="8">
        <f t="shared" ref="D184:AP184" si="266">SUM(D176:D183)</f>
        <v>4.5010000000000003</v>
      </c>
      <c r="E184" s="8">
        <f t="shared" si="266"/>
        <v>-1.42</v>
      </c>
      <c r="F184" s="8">
        <f t="shared" si="266"/>
        <v>-0.74499999999999988</v>
      </c>
      <c r="G184" s="8">
        <f t="shared" si="266"/>
        <v>-2.4459999999999997</v>
      </c>
      <c r="H184" s="8">
        <f t="shared" si="266"/>
        <v>-3.762</v>
      </c>
      <c r="I184" s="8">
        <f t="shared" si="266"/>
        <v>-3.7530000000000001</v>
      </c>
      <c r="J184" s="8">
        <f t="shared" si="266"/>
        <v>-1.6559999999999993</v>
      </c>
      <c r="K184" s="8">
        <f t="shared" si="266"/>
        <v>-0.38</v>
      </c>
      <c r="L184" s="8">
        <f t="shared" si="266"/>
        <v>-5.0990000000000002</v>
      </c>
      <c r="M184" s="8">
        <f t="shared" si="266"/>
        <v>-4.5249999999999995</v>
      </c>
      <c r="N184" s="8">
        <f t="shared" si="266"/>
        <v>-3.629</v>
      </c>
      <c r="O184" s="8">
        <f t="shared" si="266"/>
        <v>-9.3450000000000006</v>
      </c>
      <c r="P184" s="8">
        <f t="shared" si="266"/>
        <v>-10.319999999999999</v>
      </c>
      <c r="Q184" s="8">
        <f t="shared" si="266"/>
        <v>-12.744999999999999</v>
      </c>
      <c r="R184" s="8">
        <f t="shared" si="266"/>
        <v>-9.9490000000000034</v>
      </c>
      <c r="S184" s="8">
        <f t="shared" si="266"/>
        <v>-9.9180000000000028</v>
      </c>
      <c r="T184" s="8">
        <f t="shared" si="266"/>
        <v>-9.9180000000000028</v>
      </c>
      <c r="U184" s="8">
        <f t="shared" si="266"/>
        <v>-9.9180000000000028</v>
      </c>
      <c r="V184" s="8">
        <f t="shared" si="266"/>
        <v>-9.9180000000000028</v>
      </c>
      <c r="W184" s="8">
        <f t="shared" si="266"/>
        <v>-9.9180000000000028</v>
      </c>
      <c r="X184" s="8">
        <f t="shared" si="266"/>
        <v>-9.9180000000000028</v>
      </c>
      <c r="Y184" s="8">
        <f t="shared" si="266"/>
        <v>-9.9180000000000028</v>
      </c>
      <c r="Z184" s="8">
        <f t="shared" si="266"/>
        <v>-9.9180000000000028</v>
      </c>
      <c r="AA184" s="8">
        <f t="shared" si="266"/>
        <v>-9.9180000000000028</v>
      </c>
      <c r="AB184" s="8">
        <f t="shared" si="266"/>
        <v>-9.9180000000000028</v>
      </c>
      <c r="AC184" s="8">
        <f t="shared" si="266"/>
        <v>-9.9180000000000028</v>
      </c>
      <c r="AD184" s="8">
        <f t="shared" si="266"/>
        <v>-9.9180000000000028</v>
      </c>
      <c r="AE184" s="8">
        <f t="shared" si="266"/>
        <v>-9.9180000000000028</v>
      </c>
      <c r="AF184" s="8">
        <f t="shared" si="266"/>
        <v>-9.9180000000000028</v>
      </c>
      <c r="AG184" s="8">
        <f t="shared" si="266"/>
        <v>-9.9180000000000028</v>
      </c>
      <c r="AH184" s="8">
        <f t="shared" si="266"/>
        <v>-9.9180000000000028</v>
      </c>
      <c r="AI184" s="8">
        <f t="shared" si="266"/>
        <v>-9.9180000000000028</v>
      </c>
      <c r="AJ184" s="8">
        <f t="shared" si="266"/>
        <v>-9.9180000000000028</v>
      </c>
      <c r="AK184" s="8">
        <f t="shared" si="266"/>
        <v>-9.9180000000000028</v>
      </c>
      <c r="AL184" s="8">
        <f t="shared" si="266"/>
        <v>-9.9180000000000028</v>
      </c>
      <c r="AM184" s="8">
        <f t="shared" si="266"/>
        <v>-9.9180000000000028</v>
      </c>
      <c r="AN184" s="8">
        <f t="shared" si="266"/>
        <v>-9.9180000000000028</v>
      </c>
      <c r="AO184" s="8">
        <f t="shared" si="266"/>
        <v>-9.9180000000000028</v>
      </c>
      <c r="AP184" s="8">
        <f t="shared" si="266"/>
        <v>-9.9180000000000028</v>
      </c>
      <c r="AR184" s="8">
        <f t="shared" ref="AR184:BA184" si="267">SUM(AR176:AR183)</f>
        <v>1.865</v>
      </c>
      <c r="AS184" s="8">
        <f t="shared" si="267"/>
        <v>-11.616999999999999</v>
      </c>
      <c r="AT184" s="8">
        <f t="shared" si="267"/>
        <v>-13.632999999999997</v>
      </c>
      <c r="AU184" s="8">
        <f t="shared" si="267"/>
        <v>-42.359000000000002</v>
      </c>
      <c r="AV184" s="8">
        <f t="shared" si="267"/>
        <v>-39.672000000000011</v>
      </c>
      <c r="AW184" s="8">
        <f t="shared" si="267"/>
        <v>-39.672000000000011</v>
      </c>
      <c r="AX184" s="8">
        <f t="shared" si="267"/>
        <v>-39.672000000000011</v>
      </c>
      <c r="AY184" s="8">
        <f t="shared" si="267"/>
        <v>-39.672000000000011</v>
      </c>
      <c r="AZ184" s="8">
        <f t="shared" si="267"/>
        <v>-39.672000000000011</v>
      </c>
      <c r="BA184" s="8">
        <f t="shared" si="267"/>
        <v>-39.672000000000011</v>
      </c>
      <c r="BC184" s="8">
        <v>-9.9180000000000028</v>
      </c>
      <c r="BD184" s="8"/>
    </row>
    <row r="186" spans="2:56" x14ac:dyDescent="0.25">
      <c r="B186" s="8" t="s">
        <v>125</v>
      </c>
      <c r="C186" s="8">
        <f t="shared" ref="C186:J186" si="268">C162+C173+C184</f>
        <v>0.13099999999999967</v>
      </c>
      <c r="D186" s="8">
        <f t="shared" si="268"/>
        <v>4.6499999999999995</v>
      </c>
      <c r="E186" s="8">
        <f t="shared" si="268"/>
        <v>-4.3399999999999981</v>
      </c>
      <c r="F186" s="8">
        <f t="shared" si="268"/>
        <v>0.70199999999999729</v>
      </c>
      <c r="G186" s="8">
        <f t="shared" si="268"/>
        <v>1.8970000000000011</v>
      </c>
      <c r="H186" s="8">
        <f t="shared" si="268"/>
        <v>-0.87399999999999833</v>
      </c>
      <c r="I186" s="8">
        <f t="shared" si="268"/>
        <v>-0.2129999999999983</v>
      </c>
      <c r="J186" s="8">
        <f t="shared" si="268"/>
        <v>0.57499999999999885</v>
      </c>
      <c r="K186" s="8">
        <f t="shared" ref="K186:AP186" si="269">K162+K173+K184</f>
        <v>1.69</v>
      </c>
      <c r="L186" s="8">
        <f t="shared" si="269"/>
        <v>2.2949999999999999</v>
      </c>
      <c r="M186" s="8">
        <f t="shared" si="269"/>
        <v>-9.0799999999999983</v>
      </c>
      <c r="N186" s="8">
        <f t="shared" si="269"/>
        <v>7.105000000000004</v>
      </c>
      <c r="O186" s="8">
        <f t="shared" si="269"/>
        <v>0.30700000000000038</v>
      </c>
      <c r="P186" s="8">
        <f t="shared" si="269"/>
        <v>0.98500000000000298</v>
      </c>
      <c r="Q186" s="8">
        <f t="shared" si="269"/>
        <v>0.53599999999999426</v>
      </c>
      <c r="R186" s="8">
        <f t="shared" si="269"/>
        <v>-0.51900000000001789</v>
      </c>
      <c r="S186" s="8">
        <f t="shared" si="269"/>
        <v>10.784999999999993</v>
      </c>
      <c r="T186" s="8">
        <f t="shared" si="269"/>
        <v>11.53266015286902</v>
      </c>
      <c r="U186" s="8">
        <f t="shared" si="269"/>
        <v>15.140622423747985</v>
      </c>
      <c r="V186" s="8">
        <f t="shared" si="269"/>
        <v>17.541279623607917</v>
      </c>
      <c r="W186" s="8">
        <f t="shared" si="269"/>
        <v>18.844276636319513</v>
      </c>
      <c r="X186" s="8">
        <f t="shared" si="269"/>
        <v>22.946101398551196</v>
      </c>
      <c r="Y186" s="8">
        <f t="shared" si="269"/>
        <v>26.234370795478231</v>
      </c>
      <c r="Z186" s="8">
        <f t="shared" si="269"/>
        <v>28.745369537316716</v>
      </c>
      <c r="AA186" s="8">
        <f t="shared" si="269"/>
        <v>28.749085494046252</v>
      </c>
      <c r="AB186" s="8">
        <f t="shared" si="269"/>
        <v>34.943682054183014</v>
      </c>
      <c r="AC186" s="8">
        <f t="shared" si="269"/>
        <v>39.475076557540177</v>
      </c>
      <c r="AD186" s="8">
        <f t="shared" si="269"/>
        <v>43.110406592370367</v>
      </c>
      <c r="AE186" s="8">
        <f t="shared" si="269"/>
        <v>41.040320928884739</v>
      </c>
      <c r="AF186" s="8">
        <f t="shared" si="269"/>
        <v>49.564191970160152</v>
      </c>
      <c r="AG186" s="8">
        <f t="shared" si="269"/>
        <v>55.608790375248788</v>
      </c>
      <c r="AH186" s="8">
        <f t="shared" si="269"/>
        <v>60.637417150161355</v>
      </c>
      <c r="AI186" s="8">
        <f t="shared" si="269"/>
        <v>57.815503301983782</v>
      </c>
      <c r="AJ186" s="8">
        <f t="shared" si="269"/>
        <v>69.201917763486108</v>
      </c>
      <c r="AK186" s="8">
        <f t="shared" si="269"/>
        <v>77.276769623962863</v>
      </c>
      <c r="AL186" s="8">
        <f t="shared" si="269"/>
        <v>84.20723511916799</v>
      </c>
      <c r="AM186" s="8">
        <f t="shared" si="269"/>
        <v>80.839642673182368</v>
      </c>
      <c r="AN186" s="8">
        <f t="shared" si="269"/>
        <v>95.67891291466465</v>
      </c>
      <c r="AO186" s="8">
        <f t="shared" si="269"/>
        <v>106.49033914059576</v>
      </c>
      <c r="AP186" s="8">
        <f t="shared" si="269"/>
        <v>115.99537787564945</v>
      </c>
      <c r="AR186" s="8">
        <f t="shared" ref="AR186:BA186" si="270">AR162+AR173+AR184</f>
        <v>1.1430000000000005</v>
      </c>
      <c r="AS186" s="8">
        <f t="shared" si="270"/>
        <v>1.3850000000000033</v>
      </c>
      <c r="AT186" s="8">
        <f t="shared" si="270"/>
        <v>2.0100000000000122</v>
      </c>
      <c r="AU186" s="8">
        <f t="shared" si="270"/>
        <v>1.308999999999962</v>
      </c>
      <c r="AV186" s="8">
        <f t="shared" si="270"/>
        <v>54.999562200224915</v>
      </c>
      <c r="AW186" s="8">
        <f t="shared" si="270"/>
        <v>96.77011836766566</v>
      </c>
      <c r="AX186" s="8">
        <f t="shared" si="270"/>
        <v>146.2782506981398</v>
      </c>
      <c r="AY186" s="8">
        <f t="shared" si="270"/>
        <v>206.85072042445506</v>
      </c>
      <c r="AZ186" s="8">
        <f t="shared" si="270"/>
        <v>288.50142580860074</v>
      </c>
      <c r="BA186" s="8">
        <f t="shared" si="270"/>
        <v>399.00427260409225</v>
      </c>
      <c r="BC186" s="8">
        <v>14.825050523825997</v>
      </c>
      <c r="BD186" s="8"/>
    </row>
    <row r="187" spans="2:56" x14ac:dyDescent="0.25">
      <c r="B187" s="10" t="s">
        <v>126</v>
      </c>
      <c r="C187" s="17">
        <v>0.84699999999999998</v>
      </c>
      <c r="D187" s="15">
        <f>C188</f>
        <v>0.97799999999999998</v>
      </c>
      <c r="E187" s="15">
        <f>D188</f>
        <v>5.6280000000000001</v>
      </c>
      <c r="F187" s="15">
        <f>E188</f>
        <v>1.288</v>
      </c>
      <c r="G187" s="15">
        <f t="shared" ref="G187:L187" si="271">F188</f>
        <v>1.99</v>
      </c>
      <c r="H187" s="15">
        <f t="shared" si="271"/>
        <v>3.887</v>
      </c>
      <c r="I187" s="15">
        <f t="shared" si="271"/>
        <v>3.0129999999999999</v>
      </c>
      <c r="J187" s="15">
        <f t="shared" si="271"/>
        <v>2.8</v>
      </c>
      <c r="K187" s="15">
        <f t="shared" si="271"/>
        <v>3.3889999999999998</v>
      </c>
      <c r="L187" s="15">
        <f t="shared" si="271"/>
        <v>5.0789999999999997</v>
      </c>
      <c r="M187" s="15">
        <f t="shared" ref="M187:R187" si="272">L188</f>
        <v>5.7830000000000004</v>
      </c>
      <c r="N187" s="15">
        <f t="shared" si="272"/>
        <v>5.5190000000000001</v>
      </c>
      <c r="O187" s="15">
        <f t="shared" si="272"/>
        <v>7.28</v>
      </c>
      <c r="P187" s="15">
        <f t="shared" si="272"/>
        <v>7.5869999999999997</v>
      </c>
      <c r="Q187" s="15">
        <f t="shared" si="272"/>
        <v>8.5630000000000006</v>
      </c>
      <c r="R187" s="15">
        <f t="shared" si="272"/>
        <v>9.1069999999999993</v>
      </c>
    </row>
    <row r="188" spans="2:56" x14ac:dyDescent="0.25">
      <c r="B188" s="10" t="s">
        <v>127</v>
      </c>
      <c r="C188" s="15">
        <f>C107</f>
        <v>0.97799999999999998</v>
      </c>
      <c r="D188" s="15">
        <f t="shared" ref="D188:R188" si="273">D107</f>
        <v>5.6280000000000001</v>
      </c>
      <c r="E188" s="15">
        <f t="shared" si="273"/>
        <v>1.288</v>
      </c>
      <c r="F188" s="15">
        <f t="shared" si="273"/>
        <v>1.99</v>
      </c>
      <c r="G188" s="15">
        <f t="shared" si="273"/>
        <v>3.887</v>
      </c>
      <c r="H188" s="15">
        <f t="shared" si="273"/>
        <v>3.0129999999999999</v>
      </c>
      <c r="I188" s="15">
        <f t="shared" si="273"/>
        <v>2.8</v>
      </c>
      <c r="J188" s="15">
        <f t="shared" si="273"/>
        <v>3.3889999999999998</v>
      </c>
      <c r="K188" s="15">
        <f t="shared" si="273"/>
        <v>5.0789999999999997</v>
      </c>
      <c r="L188" s="15">
        <f t="shared" si="273"/>
        <v>5.7830000000000004</v>
      </c>
      <c r="M188" s="15">
        <f t="shared" si="273"/>
        <v>5.5190000000000001</v>
      </c>
      <c r="N188" s="15">
        <f t="shared" si="273"/>
        <v>7.28</v>
      </c>
      <c r="O188" s="15">
        <f t="shared" si="273"/>
        <v>7.5869999999999997</v>
      </c>
      <c r="P188" s="15">
        <f t="shared" si="273"/>
        <v>8.5630000000000006</v>
      </c>
      <c r="Q188" s="15">
        <f t="shared" si="273"/>
        <v>9.1069999999999993</v>
      </c>
      <c r="R188" s="15">
        <f t="shared" si="273"/>
        <v>8.5890000000000004</v>
      </c>
    </row>
    <row r="190" spans="2:56" x14ac:dyDescent="0.25">
      <c r="B190" s="10" t="s">
        <v>128</v>
      </c>
      <c r="C190" s="17"/>
      <c r="D190" s="17">
        <f>0.241-C190</f>
        <v>0.24099999999999999</v>
      </c>
      <c r="E190" s="17">
        <f>0.313-SUM(C190:D190)</f>
        <v>7.2000000000000008E-2</v>
      </c>
      <c r="F190" s="17">
        <f>1.404-SUM(C190:E190)</f>
        <v>1.091</v>
      </c>
      <c r="G190" s="17"/>
      <c r="H190" s="17">
        <f>1.108-G190</f>
        <v>1.1080000000000001</v>
      </c>
      <c r="I190" s="17">
        <f>4.676-SUM(G190:H190)</f>
        <v>3.5680000000000001</v>
      </c>
      <c r="J190" s="17">
        <f>1.404-SUM(G190:I190)</f>
        <v>-3.2720000000000002</v>
      </c>
      <c r="K190" s="17"/>
      <c r="L190" s="17"/>
      <c r="M190" s="17">
        <v>4.6760000000000002</v>
      </c>
      <c r="N190" s="17">
        <v>6.5490000000000004</v>
      </c>
      <c r="O190" s="17"/>
      <c r="P190" s="17">
        <f>7.449-O190</f>
        <v>7.4489999999999998</v>
      </c>
      <c r="Q190" s="17">
        <f>10.989-SUM(O190:P190)</f>
        <v>3.5400000000000009</v>
      </c>
      <c r="R190" s="17">
        <f>15.118-SUM(O190:Q190)</f>
        <v>4.1289999999999996</v>
      </c>
      <c r="AR190" s="10">
        <f>SUM(C190:F190)</f>
        <v>1.4039999999999999</v>
      </c>
      <c r="AS190" s="10">
        <f>SUM(G190:J190)</f>
        <v>1.4039999999999999</v>
      </c>
      <c r="AT190" s="10">
        <f>SUM(K190:N190)</f>
        <v>11.225000000000001</v>
      </c>
      <c r="AU190" s="10">
        <f>SUM(O190:R190)</f>
        <v>15.118</v>
      </c>
      <c r="AV190" s="10">
        <f>SUM(S190:V190)</f>
        <v>0</v>
      </c>
      <c r="AW190" s="10">
        <f>SUM(W190:Z190)</f>
        <v>0</v>
      </c>
      <c r="AX190" s="10">
        <f>SUM(AA190:AD190)</f>
        <v>0</v>
      </c>
      <c r="AY190" s="10">
        <f>SUM(AE190:AH190)</f>
        <v>0</v>
      </c>
      <c r="AZ190" s="10">
        <f>SUM(AI190:AL190)</f>
        <v>0</v>
      </c>
      <c r="BA190" s="10">
        <f>SUM(AM190:AP190)</f>
        <v>0</v>
      </c>
    </row>
    <row r="191" spans="2:56" x14ac:dyDescent="0.25">
      <c r="B191" s="10" t="s">
        <v>129</v>
      </c>
      <c r="C191" s="17"/>
      <c r="D191" s="17"/>
      <c r="E191" s="17"/>
      <c r="F191" s="17"/>
      <c r="G191" s="17"/>
      <c r="H191" s="17"/>
      <c r="I191" s="17"/>
      <c r="J191" s="17">
        <f>0.254-SUM(G191:I191)</f>
        <v>0.254</v>
      </c>
      <c r="K191" s="17"/>
      <c r="L191" s="17"/>
      <c r="M191" s="17"/>
      <c r="N191" s="17">
        <v>0.252</v>
      </c>
      <c r="O191" s="17"/>
      <c r="P191" s="17"/>
      <c r="Q191" s="17"/>
      <c r="R191" s="17">
        <f>0.246-SUM(O191:Q191)</f>
        <v>0.246</v>
      </c>
      <c r="AR191" s="10">
        <f>SUM(C191:F191)</f>
        <v>0</v>
      </c>
      <c r="AS191" s="10">
        <f>SUM(G191:J191)</f>
        <v>0.254</v>
      </c>
      <c r="AT191" s="10">
        <f>SUM(K191:N191)</f>
        <v>0.252</v>
      </c>
      <c r="AU191" s="10">
        <f>SUM(O191:R191)</f>
        <v>0.246</v>
      </c>
      <c r="AV191" s="10">
        <f>SUM(S191:V191)</f>
        <v>0</v>
      </c>
      <c r="AW191" s="10">
        <f>SUM(W191:Z191)</f>
        <v>0</v>
      </c>
      <c r="AX191" s="10">
        <f>SUM(AA191:AD191)</f>
        <v>0</v>
      </c>
      <c r="AY191" s="10">
        <f>SUM(AE191:AH191)</f>
        <v>0</v>
      </c>
      <c r="AZ191" s="10">
        <f>SUM(AI191:AL191)</f>
        <v>0</v>
      </c>
      <c r="BA191" s="10">
        <f>SUM(AM191:AP191)</f>
        <v>0</v>
      </c>
    </row>
    <row r="194" spans="3:18" x14ac:dyDescent="0.25">
      <c r="C194" s="10" t="b">
        <f>ROUND(C186,3)=ROUND(C188-C187,3)</f>
        <v>1</v>
      </c>
      <c r="D194" s="10" t="b">
        <f>ROUND(D186,3)=ROUND(D188-D187,3)</f>
        <v>1</v>
      </c>
      <c r="E194" s="10" t="b">
        <f>ROUND(E186,3)=ROUND(E188-E187,3)</f>
        <v>1</v>
      </c>
      <c r="F194" s="10" t="b">
        <f>ROUND(F186,3)=ROUND(F188-F187,3)</f>
        <v>1</v>
      </c>
      <c r="G194" s="10" t="b">
        <f t="shared" ref="G194:R194" si="274">ROUND(G186,3)=ROUND(G188-G187,3)</f>
        <v>1</v>
      </c>
      <c r="H194" s="10" t="b">
        <f t="shared" si="274"/>
        <v>1</v>
      </c>
      <c r="I194" s="10" t="b">
        <f t="shared" si="274"/>
        <v>1</v>
      </c>
      <c r="J194" s="10" t="b">
        <f t="shared" si="274"/>
        <v>0</v>
      </c>
      <c r="K194" s="10" t="b">
        <f t="shared" si="274"/>
        <v>1</v>
      </c>
      <c r="L194" s="10" t="b">
        <f t="shared" si="274"/>
        <v>0</v>
      </c>
      <c r="M194" s="10" t="b">
        <f t="shared" si="274"/>
        <v>0</v>
      </c>
      <c r="N194" s="10" t="b">
        <f t="shared" si="274"/>
        <v>0</v>
      </c>
      <c r="O194" s="10" t="b">
        <f t="shared" si="274"/>
        <v>1</v>
      </c>
      <c r="P194" s="10" t="b">
        <f t="shared" si="274"/>
        <v>0</v>
      </c>
      <c r="Q194" s="10" t="b">
        <f t="shared" si="274"/>
        <v>0</v>
      </c>
      <c r="R194" s="10" t="b">
        <f t="shared" si="274"/>
        <v>0</v>
      </c>
    </row>
  </sheetData>
  <pageMargins left="0.7" right="0.7" top="0.75" bottom="0.75" header="0.3" footer="0.3"/>
  <pageSetup orientation="portrait" r:id="rId1"/>
  <ignoredErrors>
    <ignoredError sqref="B11:D11 B13:F14 S112:AP112 S135:AP135 P11:Q11 O14:R14 P13 F11 O61:O64 C61:E64 G61:I64 K61:M64 B71 G72:M74 J12 S62:AP63 X11:AA11 O72:R74 R12 R63 S124 AR112:BA112 S126:AP127 AT11:BA14 AE11:AP11 AB15:BB37 AB11:AD11 AQ11:AS11 AB12:AS14 BB12:BB14 BB11 L150 D147 F147 T11:W11" formula="1"/>
    <ignoredError sqref="N11:N14 N61:N64 J61:J64 N72:N74 AX68:BA92 AX96:BA97 AU62:BA67 AX93:BA95 AT62:AT67 AT84 AR62:AS65" formula="1" formulaRange="1"/>
    <ignoredError sqref="G48:I48 E50 G50:J50 G12:I12 G15:M17 H36:I36 K12:M12 K36:M36 G53:J53 G51:I51 G59:I59 G54 F72 F74 G37:M42 G23:M26 G34:M35 G57:I57 S68:AQ71 S75:AQ80 AQ72:AQ74 S98:AW100 S84:AQ84 T83:AQ83 K18:L18 K19:L19 K20:L20 K22:L22 G27:I27 K27:L27 G28:I28 K28:L28 K29:L29 K30:L30 K31:L31 K32:L32 K33:L33 T82:AQ82 T81:AQ81 S87:AQ95 T85:AQ85 U86:AQ86 T97:AQ97 T96:AQ96" evalError="1"/>
    <ignoredError sqref="N1:N5 N15:N17 J54 J56 N50:N51 N59 J69:J70 N80:N85 N91 N45:N48 N93 N23:N26 N34:N43 N95 N7:N10 N87 AT59:AT61 N119:N121 AT46:AT57 N53:N57 N98:N105 N112 N126 N130:N132 N139:N148 N162:N164 N174:N175 N185 N189 N192:N193 R191 N195:N1048576 AR150:AU178 AS182:AV183 AR61:AS61 AT96:AU97 AT72:AT74 AR66:AS67 AT69:AU69 AT83 AT75:AT82 AT91:AU91 AU61:BA61 AT68 AT70:AT71 AT85:AT90 AT92 AU41:AZ45 AT41:AT45 AS41:AS45 BA41:BA45" formulaRange="1"/>
    <ignoredError sqref="G11:M11 G13:M14 F62 F64 S72:AP74" evalError="1" formula="1"/>
    <ignoredError sqref="J59 J57 AR83:AS83 AR85:AS97 AR72:AS74 AR75:AS82 AR68:AS71" evalError="1" formulaRange="1"/>
    <ignoredError sqref="AV91:AW91 AU92:AW92 AV69:AW69 AU70:AW83 AT93:AW95 AU68:AW68 AV96:AW97 AU84:AW90 AR84:AS84" evalError="1" formula="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21C-49F4-45DE-8211-B0E933788003}">
  <dimension ref="B2:I9"/>
  <sheetViews>
    <sheetView showGridLines="0" workbookViewId="0">
      <selection activeCell="D7" sqref="D7"/>
    </sheetView>
  </sheetViews>
  <sheetFormatPr defaultRowHeight="15" x14ac:dyDescent="0.25"/>
  <cols>
    <col min="2" max="2" width="16.28515625" bestFit="1" customWidth="1"/>
    <col min="3" max="3" width="17.140625" bestFit="1" customWidth="1"/>
  </cols>
  <sheetData>
    <row r="2" spans="2:9" x14ac:dyDescent="0.25">
      <c r="B2" s="1" t="s">
        <v>2</v>
      </c>
    </row>
    <row r="4" spans="2:9" x14ac:dyDescent="0.25">
      <c r="B4" s="1" t="s">
        <v>133</v>
      </c>
      <c r="C4" s="1">
        <v>2025</v>
      </c>
      <c r="D4" s="1">
        <f t="shared" ref="D4:I4" si="0">C4+1</f>
        <v>2026</v>
      </c>
      <c r="E4" s="1">
        <f t="shared" si="0"/>
        <v>2027</v>
      </c>
      <c r="F4" s="1">
        <f t="shared" si="0"/>
        <v>2028</v>
      </c>
      <c r="G4" s="1">
        <f t="shared" si="0"/>
        <v>2029</v>
      </c>
      <c r="H4" s="1">
        <f t="shared" si="0"/>
        <v>2030</v>
      </c>
      <c r="I4" s="1">
        <f t="shared" si="0"/>
        <v>2031</v>
      </c>
    </row>
    <row r="5" spans="2:9" x14ac:dyDescent="0.25">
      <c r="B5" t="s">
        <v>134</v>
      </c>
      <c r="C5" s="36">
        <f>SUM(Sheet1!O92:R92)</f>
        <v>74.561999999999998</v>
      </c>
      <c r="D5" s="36">
        <f>SUM(Sheet1!S92:V92)</f>
        <v>91.423562200224936</v>
      </c>
      <c r="E5" s="36">
        <f>SUM(Sheet1!W92:Z92)</f>
        <v>133.92211836766566</v>
      </c>
      <c r="F5" s="36">
        <f>SUM(Sheet1!AA92:AD92)</f>
        <v>183.43025069813982</v>
      </c>
      <c r="G5" s="36">
        <f>SUM(Sheet1!AE92:AH92)</f>
        <v>244.00272042445505</v>
      </c>
      <c r="H5" s="36">
        <f>SUM(Sheet1!AI92:AL92)</f>
        <v>325.65342580860073</v>
      </c>
      <c r="I5" s="36">
        <f>SUM(Sheet1!AM92:AP92)</f>
        <v>436.15627260409224</v>
      </c>
    </row>
    <row r="6" spans="2:9" x14ac:dyDescent="0.25">
      <c r="B6" t="s">
        <v>62</v>
      </c>
      <c r="C6" s="4">
        <v>40</v>
      </c>
      <c r="D6" s="4">
        <v>40</v>
      </c>
      <c r="E6" s="4">
        <v>40</v>
      </c>
      <c r="F6" s="4">
        <v>40</v>
      </c>
      <c r="G6" s="4">
        <v>40</v>
      </c>
      <c r="H6" s="4">
        <v>40</v>
      </c>
      <c r="I6" s="4">
        <v>40</v>
      </c>
    </row>
    <row r="7" spans="2:9" x14ac:dyDescent="0.25">
      <c r="B7" t="s">
        <v>63</v>
      </c>
      <c r="C7" s="3">
        <f>C5*C6</f>
        <v>2982.48</v>
      </c>
      <c r="D7" s="3">
        <f t="shared" ref="D7:I7" si="1">D5*D6</f>
        <v>3656.9424880089973</v>
      </c>
      <c r="E7" s="3">
        <f t="shared" si="1"/>
        <v>5356.8847347066267</v>
      </c>
      <c r="F7" s="3">
        <f t="shared" si="1"/>
        <v>7337.2100279255928</v>
      </c>
      <c r="G7" s="3">
        <f t="shared" si="1"/>
        <v>9760.1088169782015</v>
      </c>
      <c r="H7" s="3">
        <f t="shared" si="1"/>
        <v>13026.13703234403</v>
      </c>
      <c r="I7" s="3">
        <f t="shared" si="1"/>
        <v>17446.250904163688</v>
      </c>
    </row>
    <row r="8" spans="2:9" x14ac:dyDescent="0.25">
      <c r="B8" t="s">
        <v>64</v>
      </c>
      <c r="C8" s="2">
        <f>Sheet1!$R$97</f>
        <v>24.803999999999998</v>
      </c>
      <c r="D8" s="2">
        <f>Sheet1!$Q$97</f>
        <v>24.774000000000001</v>
      </c>
      <c r="E8" s="2">
        <f>Sheet1!$Q$97</f>
        <v>24.774000000000001</v>
      </c>
      <c r="F8" s="2">
        <f>Sheet1!$Q$97</f>
        <v>24.774000000000001</v>
      </c>
      <c r="G8" s="2">
        <f>Sheet1!$Q$97</f>
        <v>24.774000000000001</v>
      </c>
      <c r="H8" s="2">
        <f>Sheet1!$Q$97</f>
        <v>24.774000000000001</v>
      </c>
      <c r="I8" s="2">
        <f>Sheet1!$Q$97</f>
        <v>24.774000000000001</v>
      </c>
    </row>
    <row r="9" spans="2:9" x14ac:dyDescent="0.25">
      <c r="B9" t="s">
        <v>65</v>
      </c>
      <c r="C9" s="2">
        <f>C7/C8</f>
        <v>120.24189646831157</v>
      </c>
      <c r="D9" s="2">
        <f t="shared" ref="D9:I9" si="2">D7/D8</f>
        <v>147.61211302207948</v>
      </c>
      <c r="E9" s="2">
        <f t="shared" si="2"/>
        <v>216.23010957885793</v>
      </c>
      <c r="F9" s="2">
        <f t="shared" si="2"/>
        <v>296.16573940121066</v>
      </c>
      <c r="G9" s="2">
        <f t="shared" si="2"/>
        <v>393.96580354315819</v>
      </c>
      <c r="H9" s="2">
        <f t="shared" si="2"/>
        <v>525.7987015558258</v>
      </c>
      <c r="I9" s="2">
        <f t="shared" si="2"/>
        <v>704.2161501640303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2024-11-07T15:14:00Z</dcterms:created>
  <dcterms:modified xsi:type="dcterms:W3CDTF">2025-05-29T04:52:44Z</dcterms:modified>
</cp:coreProperties>
</file>