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ikkel\Saxo2020\papers and conferences\_papers\QuantWealth\analysis\data\raw_data\"/>
    </mc:Choice>
  </mc:AlternateContent>
  <bookViews>
    <workbookView xWindow="0" yWindow="0" windowWidth="19200" windowHeight="4160" activeTab="2"/>
  </bookViews>
  <sheets>
    <sheet name="Moravia_CW_metals" sheetId="1" r:id="rId1"/>
    <sheet name="complex objects measurements" sheetId="3" r:id="rId2"/>
    <sheet name="Metal parallel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2" l="1"/>
  <c r="M14" i="2" l="1"/>
  <c r="U19" i="1" l="1"/>
  <c r="U18" i="1"/>
  <c r="U31" i="1"/>
  <c r="U30" i="1"/>
  <c r="U29" i="1"/>
  <c r="U28" i="1"/>
  <c r="U26" i="1"/>
  <c r="U25" i="1"/>
  <c r="U23" i="1"/>
  <c r="U22" i="1"/>
  <c r="U20" i="1"/>
  <c r="U13" i="1"/>
  <c r="U12" i="1"/>
  <c r="U8" i="1"/>
  <c r="U7" i="1"/>
  <c r="U5" i="1"/>
  <c r="H18" i="3"/>
  <c r="G17" i="3"/>
  <c r="G16" i="3"/>
  <c r="G15" i="3"/>
  <c r="G14" i="3"/>
  <c r="G13" i="3"/>
  <c r="N10" i="1" l="1"/>
  <c r="N11" i="1"/>
  <c r="L18" i="2"/>
  <c r="L19" i="2"/>
  <c r="H10" i="3"/>
  <c r="C10" i="3"/>
  <c r="G3" i="3"/>
  <c r="G4" i="3"/>
  <c r="G5" i="3"/>
  <c r="G6" i="3"/>
  <c r="G7" i="3"/>
  <c r="G8" i="3"/>
  <c r="G9" i="3"/>
  <c r="G2" i="3"/>
  <c r="L14" i="2"/>
  <c r="A42" i="2"/>
  <c r="A40" i="2"/>
  <c r="A39" i="2"/>
  <c r="A38" i="2"/>
  <c r="E37" i="2"/>
  <c r="E36" i="2"/>
  <c r="E35" i="2"/>
  <c r="E34" i="2"/>
  <c r="A41" i="2" l="1"/>
</calcChain>
</file>

<file path=xl/sharedStrings.xml><?xml version="1.0" encoding="utf-8"?>
<sst xmlns="http://schemas.openxmlformats.org/spreadsheetml/2006/main" count="391" uniqueCount="278">
  <si>
    <t>GraveID</t>
  </si>
  <si>
    <t>object type</t>
  </si>
  <si>
    <t>length</t>
  </si>
  <si>
    <t>diameter</t>
  </si>
  <si>
    <t>155.1.4 (barrow 6)</t>
  </si>
  <si>
    <t>copper awl</t>
  </si>
  <si>
    <t>length (mm)</t>
  </si>
  <si>
    <t>diameter (mm)</t>
  </si>
  <si>
    <t>173.1.4</t>
  </si>
  <si>
    <t>177.1.1</t>
  </si>
  <si>
    <t>copper hair decorations (wire)</t>
  </si>
  <si>
    <t>simple copper wire coiled to form spiral of 5 threads, with one pointed end and one end hammered flat</t>
  </si>
  <si>
    <t>32/35</t>
  </si>
  <si>
    <t>wire thickness (mm)</t>
  </si>
  <si>
    <t>copper necklace</t>
  </si>
  <si>
    <t>eight strongly corroded tubes made of simple copper wire coiled to form spirals</t>
  </si>
  <si>
    <t>description_detail</t>
  </si>
  <si>
    <t>15-54</t>
  </si>
  <si>
    <t>6-8</t>
  </si>
  <si>
    <t>2</t>
  </si>
  <si>
    <t>part_count</t>
  </si>
  <si>
    <t>whole_item_count</t>
  </si>
  <si>
    <t>sheet thickness (mm)</t>
  </si>
  <si>
    <t>copper sheet decorations are of rectangular shape, their ends are folded</t>
  </si>
  <si>
    <t>197.1.1</t>
  </si>
  <si>
    <t>simple wire wound in a five-fold spiral. One end pointed, the other frayed</t>
  </si>
  <si>
    <t>198.1.1</t>
  </si>
  <si>
    <t>281.1.1</t>
  </si>
  <si>
    <t>only as coloration on temporal bone</t>
  </si>
  <si>
    <t>copper decoration (coloration)</t>
  </si>
  <si>
    <t>314.1.2</t>
  </si>
  <si>
    <t>copper "ring" (deteriorated)</t>
  </si>
  <si>
    <t>368.1.1</t>
  </si>
  <si>
    <t>oval shape, of flat beaten wire with overlapping ends, one of them pointed</t>
  </si>
  <si>
    <t>4-5</t>
  </si>
  <si>
    <t>19-20</t>
  </si>
  <si>
    <t>2-3 mm</t>
  </si>
  <si>
    <t>1 large bead of thin copper wire coiled in oval, overlapping ends, L - 5 mm; diameter -7x10 mm - 2 small beads coiled from narrow thin copper band, 3rd bead disintegrated when skull was cleaned</t>
  </si>
  <si>
    <t>4 copper beads</t>
  </si>
  <si>
    <t>58.1.1</t>
  </si>
  <si>
    <t>points on both sides, rectangular cross section, set in bone handle of unidentified sheep/goat bone</t>
  </si>
  <si>
    <t>copper razor</t>
  </si>
  <si>
    <t>97.1.1</t>
  </si>
  <si>
    <t>thin slightly bent strip of copper</t>
  </si>
  <si>
    <t>copper sheet</t>
  </si>
  <si>
    <t>fragment, circular cross section</t>
  </si>
  <si>
    <t>23 (preserved length)</t>
  </si>
  <si>
    <t>copper needle</t>
  </si>
  <si>
    <t>coiled of simple gold wire with overlapping ends</t>
  </si>
  <si>
    <t>pointed on both sides with rectangular cross section</t>
  </si>
  <si>
    <t>copper object</t>
  </si>
  <si>
    <t>rectangular shape with pin-like handle</t>
  </si>
  <si>
    <t>coiled of simple copper wire and overlapping ends, one of them pointed the other blunt</t>
  </si>
  <si>
    <t>deteriorated</t>
  </si>
  <si>
    <t>Solid, round, silver hair-ring /Lockenring/ in bad condition (corroded). Weight: 3.9 g. h.: 2.16 cm, w.: 2.06 cm. (Fig. 4. 3)</t>
  </si>
  <si>
    <t>silver</t>
  </si>
  <si>
    <t>Hollow, oval hair-ring /Lockenring/ bent from a gold sheet. Weight: 6.1 g. h.: 2.25 cm, w.: 1.96 cm. (Fig. 4. 2)</t>
  </si>
  <si>
    <t>Solid, prolate gold hair-ring /Lockenring/. Weight: 8.37 g. h.: 1.8 cm, w.: 1.43 cm. (Fig. 5. 3)</t>
  </si>
  <si>
    <t>gold</t>
  </si>
  <si>
    <t>Solid, thick, somewhat oval, silver hair-ring /Lockenring/. Weight: 10.1 g, h.:1.67 cm, w.: 1.45 cm; (Fig. 5. 4)</t>
  </si>
  <si>
    <t>Willow leaf shaped copper dagger with spiked grasp. Weight: 202.5g, h.: 22.77 cm, largest w.: 3.7 cm, largest th.: 0.57 cm. (Fig. 5.7)</t>
  </si>
  <si>
    <t>Knob ended copper axe with handle-tube. There are three coils made up of plastic ribs running from the upper part of the handle-hole to the start of the handle-tube, intersecting each other at the handle-tube. Weight: 308.43 g</t>
  </si>
  <si>
    <t>Balanica 2019 (West Yamnaya metal)</t>
  </si>
  <si>
    <t>Popescu and Frinculeasa 2016 metal blades EBA lower Danube</t>
  </si>
  <si>
    <t>metal (copper?) blade - length 23.5 cm, a maximum width 8.15 cm, and a weight of 268.97 g.</t>
  </si>
  <si>
    <t>copper (98,9%), arsenic (0.3%), (minimal lead and silver) blade - triangular  in  shape,  with  a  slightly  asymmetrical  aspect,  sharp  cutting‐edges  and  a  prominent V‐shaped midrib (Fig. 1/2; 6/a‐b). On the edge of  the  hafting‐plate  there  are  four  rivet  holes  with  a diameter of approximately 0.3–0.35 cm. The artefact has a length of 19.8 cm, a maximum width of 7.7 cm, and a  weight  of  205.248  g.  T</t>
  </si>
  <si>
    <t>Bronze (6.3% tin) blade is triangular, with sharp cutting‐edges and a  pronounced  V‐shaped  midrib.  The  rounded  butt  is damaged, and  if  the  rivet  holes ever existed,  they were not  preserved  (Fig.  1/1;  5/a‐e).  The  artefact  is  slightly asymmetrical, but this might be only an impression given by the damaging of the hilt‐plate. The length of the blade is 25.5 cm, the maximum width is 7.7 cm and the weight is 258 g</t>
  </si>
  <si>
    <t>copper blade  length  18.5  cm,  maximum width of 5.8 cm and a weight of 162 g</t>
  </si>
  <si>
    <t>width (cm)</t>
  </si>
  <si>
    <t>weight (g)</t>
  </si>
  <si>
    <t>Moravian copper knife: 28% and 31% (c. 3% average)</t>
  </si>
  <si>
    <t>copper</t>
  </si>
  <si>
    <t>copper dagger</t>
  </si>
  <si>
    <t>copper axe</t>
  </si>
  <si>
    <t>copper awl (fragmented)</t>
  </si>
  <si>
    <t>3-4</t>
  </si>
  <si>
    <t>copper(?) blade</t>
  </si>
  <si>
    <t>material object type</t>
  </si>
  <si>
    <t>copper blade</t>
  </si>
  <si>
    <t>bronze blade (6,3% tin)</t>
  </si>
  <si>
    <t>g/cm3</t>
  </si>
  <si>
    <t>copper pin - length = 48 mm, thickness = 3 mm, diameter of the head = 11 mm, diameter of the perforation = 3 mm; weight 4,39 g; typology: the Megyaszó type</t>
  </si>
  <si>
    <t>fragmentary copper awl, square cross-section; length = 28 mm, thickness = 3-4 mm; weight 2.10 g</t>
  </si>
  <si>
    <t>silver hair-ring (solid, thick)</t>
  </si>
  <si>
    <t>gold hair-ring (solid, prolate)</t>
  </si>
  <si>
    <t>silver hair-ring (solid, round, corroded)</t>
  </si>
  <si>
    <t>gold hair-ring (hollow, oval, sheet)</t>
  </si>
  <si>
    <t>copper hair decoration (wire)</t>
  </si>
  <si>
    <t>gold hair ring (wire)</t>
  </si>
  <si>
    <t>copper ring (wire)</t>
  </si>
  <si>
    <t>estimated weight (g, based on mean of measurements and mean of weight in similar objects, see "Metal parallels" sheet)</t>
  </si>
  <si>
    <t>material density (peiodic table)</t>
  </si>
  <si>
    <t>ratio (compared to one step heavier metal)</t>
  </si>
  <si>
    <t>NA</t>
  </si>
  <si>
    <t>20,5/24 (mean 22,25)</t>
  </si>
  <si>
    <t>62 and 45 (bone handle)</t>
  </si>
  <si>
    <t>not needed</t>
  </si>
  <si>
    <t>weight of comparison artefact</t>
  </si>
  <si>
    <t>8,37 (gold hair-ring)</t>
  </si>
  <si>
    <t>2,59 (copper awl)</t>
  </si>
  <si>
    <t>mean of weight estimates of preserved copper rings in this study</t>
  </si>
  <si>
    <t>1,2</t>
  </si>
  <si>
    <t>2-2,5</t>
  </si>
  <si>
    <t>5 (measured from drawing (2:3 ratio)</t>
  </si>
  <si>
    <t>Bead made of a rolled piece of metal sheet (in three pieces)</t>
  </si>
  <si>
    <t>A massive wire earring</t>
  </si>
  <si>
    <t>A bead made of a rolled piece of metal sheet</t>
  </si>
  <si>
    <t>4,15, 5,81, and 8,3</t>
  </si>
  <si>
    <t>Width (mm)</t>
  </si>
  <si>
    <t>Height (mm)</t>
  </si>
  <si>
    <t>13, 18, and 26 (circumference calculated from diameter)</t>
  </si>
  <si>
    <t>3,6-4,5 (mean 4,1) and 5-6,5 (mean 5,8)</t>
  </si>
  <si>
    <t>1 and 1,7</t>
  </si>
  <si>
    <t>conversion notes</t>
  </si>
  <si>
    <t>75x17,5x1,5 = 1969</t>
  </si>
  <si>
    <t>2 (guess)</t>
  </si>
  <si>
    <t>0,41 and 0,3 (mm3: 0,09)</t>
  </si>
  <si>
    <t>14,58 (based on mm3 volume)</t>
  </si>
  <si>
    <t>dimension ratio (compared to reference artefacts with reported weights)</t>
  </si>
  <si>
    <t>copper tube necklace part</t>
  </si>
  <si>
    <t>Total</t>
  </si>
  <si>
    <t>Volume (mm3)</t>
  </si>
  <si>
    <t>based on drawing measurements, see "complex objects measurement" sheet</t>
  </si>
  <si>
    <t>15-17 (mean 16)</t>
  </si>
  <si>
    <t>c. 31 (surface height 20-22 (mean 21) + folded ends (10 mm)</t>
  </si>
  <si>
    <t>4,79 (copper wire bracelet, single coil)</t>
  </si>
  <si>
    <t>12-18 (mean 15)</t>
  </si>
  <si>
    <t>5-9 (mean 7)</t>
  </si>
  <si>
    <t>tubes/cylinders</t>
  </si>
  <si>
    <t>1,03 (12x23x1 mm metal sheet, 276 mm3)</t>
  </si>
  <si>
    <t>3,32 and 8,3</t>
  </si>
  <si>
    <t>14,94 and 34,86</t>
  </si>
  <si>
    <t>148,8 (handle) and 868,0 (blade)</t>
  </si>
  <si>
    <t>Ho4_801</t>
  </si>
  <si>
    <t>copper wire ring</t>
  </si>
  <si>
    <t>3-2 (mean 2,5)</t>
  </si>
  <si>
    <t>2-1,5 (mean 1,75)</t>
  </si>
  <si>
    <t>4-2 (mean 3)</t>
  </si>
  <si>
    <t>6-7 (mean 6,5)</t>
  </si>
  <si>
    <t>7-8 (mean 7,5)</t>
  </si>
  <si>
    <t>Single-coil copper wire bracelet (open shape)</t>
  </si>
  <si>
    <t>662,68 (cylinder volume formula πr2h)</t>
  </si>
  <si>
    <t>22-20 (mean 21, diameter of whole ring)</t>
  </si>
  <si>
    <t>87-86 (mean 86,5, diameter of whole ring)</t>
  </si>
  <si>
    <t>open bracelet ring shape, diameter not useful</t>
  </si>
  <si>
    <t>66 (circumference of diameter of whole ring)</t>
  </si>
  <si>
    <t>135 (estimated circumference of whole wire from drawing measurement)</t>
  </si>
  <si>
    <t>158,75 (cylinder volume formula πr2h)</t>
  </si>
  <si>
    <t>1920,89 (cylinder volume formula πr2h)</t>
  </si>
  <si>
    <t>16 (= circumference 50,26)</t>
  </si>
  <si>
    <t>Small circular (wire) earring</t>
  </si>
  <si>
    <t>1,75 (small circular copper wire earring)</t>
  </si>
  <si>
    <t>1,75 (measured from drawing)</t>
  </si>
  <si>
    <t>Ho4_838</t>
  </si>
  <si>
    <t>broken in 2 pieces</t>
  </si>
  <si>
    <t>495 (reported as length in catalogue)</t>
  </si>
  <si>
    <t>1-2,5 (mean 1,75)</t>
  </si>
  <si>
    <t>cylinder volume formula πr2h</t>
  </si>
  <si>
    <t>21,15 (massive thick earring, 1920,89 mm3)</t>
  </si>
  <si>
    <t>copper wire neck ring</t>
  </si>
  <si>
    <t>5+5+1,5+4 = 15,5 ring shapes including fragments so objects 1-4 in catalogue)</t>
  </si>
  <si>
    <t>copper spiral (long, incl. fragments)</t>
  </si>
  <si>
    <t>1, 1,5, 1, 2 (mean 1,375)</t>
  </si>
  <si>
    <t>15-17 (mean 16), circumference 50,26 x 15,5 ring shapes = 779</t>
  </si>
  <si>
    <t>1,75 (small circular wire ring, 158,75 mm3)</t>
  </si>
  <si>
    <t>Iv3_2_805</t>
  </si>
  <si>
    <t>one end split</t>
  </si>
  <si>
    <t>copper spiral (semi-long, whole)</t>
  </si>
  <si>
    <t>17 (circumference 53.4, x 4,25 ring shapes = 226,95)</t>
  </si>
  <si>
    <t>Iv3_2_809</t>
  </si>
  <si>
    <t>copper tubes</t>
  </si>
  <si>
    <t>copper tube fragments</t>
  </si>
  <si>
    <t>sheet/wire thickness</t>
  </si>
  <si>
    <t>3a</t>
  </si>
  <si>
    <t>3b</t>
  </si>
  <si>
    <t>sheet thickness</t>
  </si>
  <si>
    <t>fragments of probably same tube, see "complex objects measurements" sheet</t>
  </si>
  <si>
    <t>rectangular volume formula (LxWxH)</t>
  </si>
  <si>
    <t>see "complex objects measurements" sheet</t>
  </si>
  <si>
    <t>Iv4_800</t>
  </si>
  <si>
    <t>copper spiral (fragmented)</t>
  </si>
  <si>
    <t>1,5 (all fragments)</t>
  </si>
  <si>
    <t>3,5+2,5+1,25 = 7,25 ring shapes</t>
  </si>
  <si>
    <t>13, 14,14 (mean 13,33, circumference 41,88) x 7,25 = 303,63</t>
  </si>
  <si>
    <t>Iv4_810</t>
  </si>
  <si>
    <t>3,5 ring shapes</t>
  </si>
  <si>
    <t>copper spiral</t>
  </si>
  <si>
    <t>26 (circumference 81,68 x 3,5 ring shapes = 285,88)</t>
  </si>
  <si>
    <t>unclassified, flat</t>
  </si>
  <si>
    <t>total_copper weight per grave</t>
  </si>
  <si>
    <t>0,39 (per piece) x 60 pieces = 23,4</t>
  </si>
  <si>
    <t>1,85 (per piece) x 24 pieces = 44,4</t>
  </si>
  <si>
    <t>4.1x13 = 53 + 4.1x18 = 74 + 5,8x26x1,7 = 256, total = 383</t>
  </si>
  <si>
    <t>weight % of 200 g copper adze (Brinkmann 2019)</t>
  </si>
  <si>
    <t>shaping person-hours</t>
  </si>
  <si>
    <t>raw material person-hours</t>
  </si>
  <si>
    <t>12+1+1</t>
  </si>
  <si>
    <t>total person-hours</t>
  </si>
  <si>
    <t>triple copper bracelet 1a (tubular parts)</t>
  </si>
  <si>
    <t>triple copper bracelet 1b (rectangular parts)</t>
  </si>
  <si>
    <t>aktivguld_weight (assuming gold density)</t>
  </si>
  <si>
    <t>aktiv_guld_weight (density corrected)</t>
  </si>
  <si>
    <t>reference</t>
  </si>
  <si>
    <t>(Dani and Nepper 2006 East Hungarian EBA Yamnaya tumuli)</t>
  </si>
  <si>
    <t>Wilk and Garbacz-Klempka 2017 Eneolithic Poland</t>
  </si>
  <si>
    <t>shape_category</t>
  </si>
  <si>
    <t>wire</t>
  </si>
  <si>
    <t>sheet</t>
  </si>
  <si>
    <t>cast</t>
  </si>
  <si>
    <t>bar</t>
  </si>
  <si>
    <r>
      <rPr>
        <sz val="9"/>
        <rFont val="Times New Roman"/>
        <family val="1"/>
      </rPr>
      <t>143.1.7. Gr. 7</t>
    </r>
  </si>
  <si>
    <t>copper knife</t>
  </si>
  <si>
    <t>143.1.7.7. Copper knife (blade fragment. Patina marks, tool was set with the blunt side into handle. Pres. L - 52 mm; W - 18 mm)</t>
  </si>
  <si>
    <t>143.1.7.8. Copper chisel-like awl. (L - 88 mm; W -7 mm.)</t>
  </si>
  <si>
    <t>Plate_number</t>
  </si>
  <si>
    <t>35:4</t>
  </si>
  <si>
    <t>35:5</t>
  </si>
  <si>
    <t>52x18x1 = 936</t>
  </si>
  <si>
    <t>material correction (if reference object made from other metal)</t>
  </si>
  <si>
    <t>length (cm)</t>
  </si>
  <si>
    <t>Yamnaya width/length</t>
  </si>
  <si>
    <t>Yamnaya W/L mean</t>
  </si>
  <si>
    <t>CW width/length</t>
  </si>
  <si>
    <t>copper awl - length = 47 mm, width and thickness = 3-4 mm; weight 2.59 g; typology: awl with straight end</t>
  </si>
  <si>
    <t>88x7x3 = 264</t>
  </si>
  <si>
    <t>47x3.5x3.5 = 576</t>
  </si>
  <si>
    <t>2 (estimate)</t>
  </si>
  <si>
    <t>grave fill</t>
  </si>
  <si>
    <t>232.1.1 Grave 5 (VN 1)</t>
  </si>
  <si>
    <t>sheet copper knife (upper part bent outwards. L - 61 mm; W - 14.5 mm)</t>
  </si>
  <si>
    <t>copper awl (chisel-like, L - 57 mm, butt L - 10 mm)</t>
  </si>
  <si>
    <t>small copper bead (rolled from narrow sheet. L - 4 mm; diameter - 2 mm)</t>
  </si>
  <si>
    <t>copper bead</t>
  </si>
  <si>
    <t>57+10 (butt)</t>
  </si>
  <si>
    <t>80:12</t>
  </si>
  <si>
    <t>80:11</t>
  </si>
  <si>
    <t>80:10</t>
  </si>
  <si>
    <t>small copper sheet fragments (no info)</t>
  </si>
  <si>
    <t>1.8 (from drawing)</t>
  </si>
  <si>
    <t>3 (mean of 4 drawing measurements)</t>
  </si>
  <si>
    <t>volume (mm3, estimated, only used for dimension ratio of some flat or rectangular objects like sheet, awl and blade)</t>
  </si>
  <si>
    <t>67x3x1.8 = 361.8</t>
  </si>
  <si>
    <t>1.5 (guess)</t>
  </si>
  <si>
    <t>1 (guess)</t>
  </si>
  <si>
    <t>3 (guess)</t>
  </si>
  <si>
    <t>aktivguld.com calculator (on pure silver)</t>
  </si>
  <si>
    <t>circumference (calculated from diameter at https://www.omnicalculator.com/math/circumference)</t>
  </si>
  <si>
    <t>6.28 (circumference) x 4x0.5 = 12.56</t>
  </si>
  <si>
    <t>corrected weight given</t>
  </si>
  <si>
    <t>est_weight_g_whole_item</t>
  </si>
  <si>
    <t>61 (max), mean = 59 mm</t>
  </si>
  <si>
    <t>59x14.5x1 = 855.5</t>
  </si>
  <si>
    <t>162 (copper blade, 21460 mm3)</t>
  </si>
  <si>
    <t>0.05 (per piece, 0.1 g assuming 2 pieces)</t>
  </si>
  <si>
    <t>weight_g</t>
  </si>
  <si>
    <t>width_mm</t>
  </si>
  <si>
    <t>height_length_mm</t>
  </si>
  <si>
    <t>thickness_mm_diam.</t>
  </si>
  <si>
    <t>37.7+10 (pinhead) mm</t>
  </si>
  <si>
    <t>266.5+633.8 (minus holes c. 45% empty) 288.1 = 554.6</t>
  </si>
  <si>
    <t>copper-tin pin (with bulged, perforated head)</t>
  </si>
  <si>
    <t>28x3.5x3.5 = 343</t>
  </si>
  <si>
    <t>(pin) 3, (pin head) 11, (perforation diam.) 3</t>
  </si>
  <si>
    <t>height/width (ie. diameters) mean (rings)</t>
  </si>
  <si>
    <t>height 154.5</t>
  </si>
  <si>
    <t>shafthole_diam</t>
  </si>
  <si>
    <t>largest w.: 28, edge w.: 27.5</t>
  </si>
  <si>
    <t>16.5-17 (top) and 18.3-19 (bottom)</t>
  </si>
  <si>
    <t>125641-7649 (hole) = 117992</t>
  </si>
  <si>
    <t>volume_mm3_description</t>
  </si>
  <si>
    <t>5 (estimate based on copper dagger)</t>
  </si>
  <si>
    <t>object_description</t>
  </si>
  <si>
    <t>circumference mm3  (calculated from mean diameter)</t>
  </si>
  <si>
    <t>volume_mm3_numeric</t>
  </si>
  <si>
    <t>weight_pure_g</t>
  </si>
  <si>
    <t>dim.ratio based on length of this awl (23 mm) divided by length of reference awl (47 mm)</t>
  </si>
  <si>
    <t>dim.ratio based on length of this awl (62 mm) divided by length of reference awl (47 mm)</t>
  </si>
  <si>
    <t>3,9 (silver hair-ring, solid wire-based, mean diam. 21,1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</si>
</sst>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9"/>
      <name val="Times New Roman"/>
      <family val="1"/>
    </font>
    <font>
      <sz val="10"/>
      <color indexed="8"/>
      <name val="Arial"/>
      <family val="2"/>
    </font>
    <font>
      <sz val="11"/>
      <color indexed="8"/>
      <name val="Calibri"/>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59">
    <xf numFmtId="0" fontId="0" fillId="0" borderId="0" xfId="0"/>
    <xf numFmtId="0" fontId="1" fillId="0" borderId="0" xfId="0" applyFont="1"/>
    <xf numFmtId="16" fontId="0" fillId="0" borderId="0" xfId="0" quotePrefix="1" applyNumberFormat="1"/>
    <xf numFmtId="0" fontId="0" fillId="0" borderId="0" xfId="0" quotePrefix="1"/>
    <xf numFmtId="17" fontId="0" fillId="0" borderId="0" xfId="0" quotePrefix="1" applyNumberFormat="1"/>
    <xf numFmtId="0" fontId="0" fillId="0" borderId="0" xfId="0" applyAlignment="1">
      <alignment wrapText="1"/>
    </xf>
    <xf numFmtId="0" fontId="0" fillId="0" borderId="0" xfId="0" applyFont="1"/>
    <xf numFmtId="2" fontId="1" fillId="0" borderId="0" xfId="0" applyNumberFormat="1" applyFont="1"/>
    <xf numFmtId="0" fontId="0" fillId="2" borderId="0" xfId="0" applyFill="1"/>
    <xf numFmtId="0" fontId="0" fillId="4" borderId="0" xfId="0" applyFont="1" applyFill="1"/>
    <xf numFmtId="0" fontId="0" fillId="2" borderId="0" xfId="0" applyFont="1" applyFill="1"/>
    <xf numFmtId="0" fontId="0" fillId="5" borderId="0" xfId="0" applyFont="1" applyFill="1"/>
    <xf numFmtId="0" fontId="0" fillId="6" borderId="0" xfId="0" applyFont="1" applyFill="1"/>
    <xf numFmtId="0" fontId="0" fillId="5" borderId="0" xfId="0" applyFill="1"/>
    <xf numFmtId="0" fontId="0" fillId="4" borderId="0" xfId="0" applyFill="1"/>
    <xf numFmtId="0" fontId="0" fillId="3" borderId="0" xfId="0" applyFill="1"/>
    <xf numFmtId="0" fontId="0" fillId="0" borderId="0" xfId="0" applyFill="1"/>
    <xf numFmtId="0" fontId="0" fillId="0" borderId="0" xfId="0" applyAlignment="1">
      <alignment vertical="center"/>
    </xf>
    <xf numFmtId="0" fontId="0" fillId="2" borderId="0" xfId="0" quotePrefix="1" applyFill="1"/>
    <xf numFmtId="16" fontId="0" fillId="2" borderId="0" xfId="0" quotePrefix="1" applyNumberFormat="1" applyFill="1"/>
    <xf numFmtId="0" fontId="0" fillId="5" borderId="0" xfId="0" quotePrefix="1" applyFill="1"/>
    <xf numFmtId="0" fontId="0" fillId="2" borderId="0" xfId="0" applyFill="1" applyAlignment="1">
      <alignment horizontal="left"/>
    </xf>
    <xf numFmtId="0" fontId="0" fillId="2" borderId="1" xfId="0" applyFill="1" applyBorder="1" applyAlignment="1">
      <alignment horizontal="left"/>
    </xf>
    <xf numFmtId="0" fontId="0" fillId="2" borderId="1" xfId="0" applyFill="1" applyBorder="1" applyAlignment="1">
      <alignment horizontal="left" vertical="center"/>
    </xf>
    <xf numFmtId="0" fontId="0" fillId="2" borderId="1" xfId="0"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1" fillId="0" borderId="1" xfId="0" applyFont="1" applyBorder="1" applyAlignment="1">
      <alignment horizontal="left"/>
    </xf>
    <xf numFmtId="0" fontId="0" fillId="4" borderId="1" xfId="0" applyFill="1" applyBorder="1" applyAlignment="1">
      <alignment horizontal="left"/>
    </xf>
    <xf numFmtId="0" fontId="0" fillId="5" borderId="1" xfId="0" applyFill="1" applyBorder="1" applyAlignment="1">
      <alignment horizontal="left"/>
    </xf>
    <xf numFmtId="0" fontId="0" fillId="0" borderId="1" xfId="0" applyBorder="1" applyAlignment="1">
      <alignment horizontal="left"/>
    </xf>
    <xf numFmtId="0" fontId="0" fillId="0" borderId="0" xfId="0" applyBorder="1" applyAlignment="1">
      <alignment horizontal="left"/>
    </xf>
    <xf numFmtId="0" fontId="0" fillId="3" borderId="1" xfId="0" applyFill="1" applyBorder="1" applyAlignment="1">
      <alignment horizontal="left"/>
    </xf>
    <xf numFmtId="0" fontId="1" fillId="0" borderId="0" xfId="0" applyFont="1" applyFill="1" applyBorder="1"/>
    <xf numFmtId="0" fontId="1" fillId="0" borderId="0" xfId="0" applyFont="1" applyBorder="1" applyAlignment="1">
      <alignment horizontal="left"/>
    </xf>
    <xf numFmtId="0" fontId="0" fillId="2" borderId="0" xfId="0" applyFill="1" applyBorder="1" applyAlignment="1">
      <alignment horizontal="left" vertical="top"/>
    </xf>
    <xf numFmtId="0" fontId="0" fillId="2" borderId="0" xfId="0" quotePrefix="1" applyFill="1" applyBorder="1" applyAlignment="1">
      <alignment horizontal="left" vertical="top"/>
    </xf>
    <xf numFmtId="0" fontId="0" fillId="5" borderId="0" xfId="0" applyFill="1" applyBorder="1" applyAlignment="1">
      <alignment horizontal="left" vertical="top"/>
    </xf>
    <xf numFmtId="0" fontId="0" fillId="5" borderId="0" xfId="0" quotePrefix="1" applyFill="1" applyBorder="1" applyAlignment="1">
      <alignment horizontal="left" vertical="top"/>
    </xf>
    <xf numFmtId="0" fontId="1" fillId="5" borderId="0" xfId="0" applyFont="1" applyFill="1"/>
    <xf numFmtId="0" fontId="1" fillId="5" borderId="1" xfId="0" applyFont="1" applyFill="1" applyBorder="1" applyAlignment="1">
      <alignment horizontal="left"/>
    </xf>
    <xf numFmtId="0" fontId="1" fillId="5" borderId="0" xfId="0" applyFont="1" applyFill="1" applyBorder="1" applyAlignment="1">
      <alignment horizontal="left"/>
    </xf>
    <xf numFmtId="0" fontId="1" fillId="5" borderId="0" xfId="0" applyFont="1" applyFill="1" applyBorder="1"/>
    <xf numFmtId="0" fontId="0" fillId="2" borderId="0" xfId="0" applyFill="1" applyBorder="1" applyAlignment="1">
      <alignment horizontal="left"/>
    </xf>
    <xf numFmtId="0" fontId="4" fillId="2" borderId="2" xfId="1" applyFont="1" applyFill="1" applyBorder="1" applyAlignment="1">
      <alignment shrinkToFit="1"/>
    </xf>
    <xf numFmtId="0" fontId="4" fillId="5" borderId="2" xfId="1" applyFont="1" applyFill="1" applyBorder="1" applyAlignment="1">
      <alignment shrinkToFit="1"/>
    </xf>
    <xf numFmtId="0" fontId="0" fillId="5" borderId="0" xfId="0" applyFill="1" applyBorder="1" applyAlignment="1">
      <alignment horizontal="left"/>
    </xf>
    <xf numFmtId="46" fontId="0" fillId="2" borderId="0" xfId="0" quotePrefix="1" applyNumberFormat="1" applyFill="1"/>
    <xf numFmtId="0" fontId="1" fillId="0" borderId="3" xfId="0" applyFont="1" applyBorder="1"/>
    <xf numFmtId="0" fontId="1" fillId="0" borderId="4" xfId="0" applyFont="1"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1" xfId="0"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center" vertical="center"/>
    </xf>
  </cellXfs>
  <cellStyles count="2">
    <cellStyle name="Normal" xfId="0" builtinId="0"/>
    <cellStyle name="Standaard_Blad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workbookViewId="0">
      <pane ySplit="1" topLeftCell="A2" activePane="bottomLeft" state="frozen"/>
      <selection activeCell="J1" sqref="J1"/>
      <selection pane="bottomLeft" activeCell="P2" sqref="P2"/>
    </sheetView>
  </sheetViews>
  <sheetFormatPr defaultRowHeight="14.5" x14ac:dyDescent="0.35"/>
  <cols>
    <col min="1" max="2" width="17.36328125" customWidth="1"/>
    <col min="3" max="4" width="34.1796875" customWidth="1"/>
    <col min="7" max="7" width="10.90625" customWidth="1"/>
    <col min="8" max="8" width="12.453125" customWidth="1"/>
    <col min="10" max="10" width="13.54296875" customWidth="1"/>
    <col min="12" max="12" width="4.7265625" customWidth="1"/>
    <col min="13" max="13" width="13.54296875" customWidth="1"/>
    <col min="16" max="16" width="13.54296875" customWidth="1"/>
    <col min="18" max="19" width="10.36328125" customWidth="1"/>
    <col min="20" max="20" width="14.7265625" style="32" customWidth="1"/>
    <col min="21" max="21" width="13.90625" style="32" customWidth="1"/>
  </cols>
  <sheetData>
    <row r="1" spans="1:26" x14ac:dyDescent="0.35">
      <c r="A1" s="1" t="s">
        <v>0</v>
      </c>
      <c r="B1" s="1" t="s">
        <v>214</v>
      </c>
      <c r="C1" s="1" t="s">
        <v>1</v>
      </c>
      <c r="D1" s="1" t="s">
        <v>16</v>
      </c>
      <c r="E1" s="1" t="s">
        <v>21</v>
      </c>
      <c r="F1" s="1" t="s">
        <v>20</v>
      </c>
      <c r="G1" s="1" t="s">
        <v>6</v>
      </c>
      <c r="H1" s="1" t="s">
        <v>108</v>
      </c>
      <c r="I1" s="1" t="s">
        <v>109</v>
      </c>
      <c r="J1" s="1" t="s">
        <v>7</v>
      </c>
      <c r="K1" s="1" t="s">
        <v>13</v>
      </c>
      <c r="L1" s="1" t="s">
        <v>22</v>
      </c>
      <c r="M1" s="1" t="s">
        <v>118</v>
      </c>
      <c r="N1" s="1" t="s">
        <v>240</v>
      </c>
      <c r="O1" s="1" t="s">
        <v>113</v>
      </c>
      <c r="P1" s="1" t="s">
        <v>97</v>
      </c>
      <c r="Q1" s="1" t="s">
        <v>90</v>
      </c>
      <c r="R1" s="1" t="s">
        <v>218</v>
      </c>
      <c r="S1" s="1" t="s">
        <v>249</v>
      </c>
      <c r="T1" s="28" t="s">
        <v>189</v>
      </c>
      <c r="U1" s="28" t="s">
        <v>193</v>
      </c>
      <c r="V1" s="34" t="s">
        <v>195</v>
      </c>
      <c r="W1" s="34" t="s">
        <v>194</v>
      </c>
      <c r="X1" s="34" t="s">
        <v>197</v>
      </c>
      <c r="Y1" s="34" t="s">
        <v>200</v>
      </c>
      <c r="Z1" s="34" t="s">
        <v>201</v>
      </c>
    </row>
    <row r="2" spans="1:26" x14ac:dyDescent="0.35">
      <c r="A2" s="36" t="s">
        <v>210</v>
      </c>
      <c r="B2" s="37" t="s">
        <v>215</v>
      </c>
      <c r="C2" s="6" t="s">
        <v>211</v>
      </c>
      <c r="D2" t="s">
        <v>212</v>
      </c>
      <c r="E2" s="1">
        <v>1</v>
      </c>
      <c r="F2" s="1">
        <v>1</v>
      </c>
      <c r="G2" s="1">
        <v>52</v>
      </c>
      <c r="H2" s="1">
        <v>18</v>
      </c>
      <c r="I2" s="1"/>
      <c r="J2" s="1"/>
      <c r="K2" s="1"/>
      <c r="L2" s="1">
        <v>1</v>
      </c>
      <c r="M2" s="6">
        <v>4.3999999999999997E-2</v>
      </c>
      <c r="N2" s="6">
        <v>936</v>
      </c>
      <c r="O2" s="6" t="s">
        <v>217</v>
      </c>
      <c r="P2" s="14" t="s">
        <v>252</v>
      </c>
      <c r="Q2" s="6">
        <v>7.07</v>
      </c>
      <c r="R2" s="11" t="s">
        <v>96</v>
      </c>
      <c r="S2" s="6">
        <v>7.07</v>
      </c>
      <c r="T2" s="28"/>
      <c r="U2" s="35"/>
      <c r="V2" s="34"/>
      <c r="W2" s="34"/>
      <c r="X2" s="34"/>
      <c r="Y2" s="34"/>
      <c r="Z2" s="34"/>
    </row>
    <row r="3" spans="1:26" s="13" customFormat="1" x14ac:dyDescent="0.35">
      <c r="A3" s="38" t="s">
        <v>210</v>
      </c>
      <c r="B3" s="39" t="s">
        <v>216</v>
      </c>
      <c r="C3" s="11" t="s">
        <v>5</v>
      </c>
      <c r="D3" s="13" t="s">
        <v>213</v>
      </c>
      <c r="E3" s="40">
        <v>1</v>
      </c>
      <c r="F3" s="40">
        <v>1</v>
      </c>
      <c r="G3" s="40">
        <v>88</v>
      </c>
      <c r="H3" s="40">
        <v>7</v>
      </c>
      <c r="I3" s="40">
        <v>3</v>
      </c>
      <c r="J3" s="40"/>
      <c r="K3" s="40"/>
      <c r="L3" s="40"/>
      <c r="M3" s="11">
        <v>3.21</v>
      </c>
      <c r="N3" s="11">
        <v>1848</v>
      </c>
      <c r="O3" s="11" t="s">
        <v>224</v>
      </c>
      <c r="P3" s="13" t="s">
        <v>99</v>
      </c>
      <c r="Q3" s="11">
        <v>10.3</v>
      </c>
      <c r="R3" s="11" t="s">
        <v>96</v>
      </c>
      <c r="S3" s="11">
        <v>10.3</v>
      </c>
      <c r="T3" s="41"/>
      <c r="U3" s="42"/>
      <c r="V3" s="43"/>
      <c r="W3" s="43"/>
      <c r="X3" s="43"/>
      <c r="Y3" s="43"/>
      <c r="Z3" s="43"/>
    </row>
    <row r="4" spans="1:26" s="15" customFormat="1" x14ac:dyDescent="0.35">
      <c r="A4" s="15" t="s">
        <v>4</v>
      </c>
      <c r="C4" s="15" t="s">
        <v>88</v>
      </c>
      <c r="D4" s="15" t="s">
        <v>48</v>
      </c>
      <c r="E4" s="15">
        <v>1</v>
      </c>
      <c r="F4" s="15">
        <v>1</v>
      </c>
      <c r="J4" s="15">
        <v>12</v>
      </c>
      <c r="M4" s="15">
        <v>0.74</v>
      </c>
      <c r="P4" s="15" t="s">
        <v>98</v>
      </c>
      <c r="Q4" s="15">
        <v>6.19</v>
      </c>
      <c r="R4" s="15" t="s">
        <v>96</v>
      </c>
      <c r="S4" s="15">
        <v>6.19</v>
      </c>
      <c r="T4" s="33"/>
      <c r="V4" s="33">
        <v>49.52</v>
      </c>
      <c r="W4" s="15" t="s">
        <v>196</v>
      </c>
      <c r="X4" s="15">
        <v>63.52</v>
      </c>
    </row>
    <row r="5" spans="1:26" s="13" customFormat="1" x14ac:dyDescent="0.35">
      <c r="A5" s="13" t="s">
        <v>4</v>
      </c>
      <c r="C5" s="13" t="s">
        <v>5</v>
      </c>
      <c r="D5" s="13" t="s">
        <v>49</v>
      </c>
      <c r="E5" s="13">
        <v>1</v>
      </c>
      <c r="F5" s="13">
        <v>1</v>
      </c>
      <c r="G5" s="13">
        <v>60</v>
      </c>
      <c r="M5" s="13">
        <v>1.28</v>
      </c>
      <c r="P5" s="13" t="s">
        <v>99</v>
      </c>
      <c r="Q5" s="13">
        <v>3.31</v>
      </c>
      <c r="R5" s="13" t="s">
        <v>96</v>
      </c>
      <c r="S5" s="13">
        <v>3.31</v>
      </c>
      <c r="T5" s="56">
        <v>7.11</v>
      </c>
      <c r="U5" s="56">
        <f>T5/200</f>
        <v>3.5549999999999998E-2</v>
      </c>
    </row>
    <row r="6" spans="1:26" x14ac:dyDescent="0.35">
      <c r="A6" t="s">
        <v>4</v>
      </c>
      <c r="C6" t="s">
        <v>50</v>
      </c>
      <c r="D6" t="s">
        <v>51</v>
      </c>
      <c r="E6">
        <v>1</v>
      </c>
      <c r="F6">
        <v>1</v>
      </c>
      <c r="G6" t="s">
        <v>131</v>
      </c>
      <c r="H6" t="s">
        <v>130</v>
      </c>
      <c r="K6" s="16">
        <v>3</v>
      </c>
      <c r="L6" s="16"/>
      <c r="M6" s="16">
        <v>3.68</v>
      </c>
      <c r="N6" s="16">
        <v>1016.8</v>
      </c>
      <c r="O6" s="16" t="s">
        <v>132</v>
      </c>
      <c r="P6" s="16" t="s">
        <v>129</v>
      </c>
      <c r="Q6" s="16">
        <v>3.8</v>
      </c>
      <c r="R6" s="16" t="s">
        <v>96</v>
      </c>
      <c r="S6" s="16">
        <v>3.8</v>
      </c>
      <c r="T6" s="56"/>
      <c r="U6" s="56"/>
    </row>
    <row r="7" spans="1:26" s="8" customFormat="1" x14ac:dyDescent="0.35">
      <c r="A7" s="8" t="s">
        <v>8</v>
      </c>
      <c r="C7" s="8" t="s">
        <v>87</v>
      </c>
      <c r="D7" s="8" t="s">
        <v>52</v>
      </c>
      <c r="E7" s="8">
        <v>1</v>
      </c>
      <c r="F7" s="8">
        <v>1</v>
      </c>
      <c r="J7" s="8">
        <v>18</v>
      </c>
      <c r="K7" s="8" t="s">
        <v>102</v>
      </c>
      <c r="M7" s="8">
        <v>0.85</v>
      </c>
      <c r="P7" s="8" t="s">
        <v>277</v>
      </c>
      <c r="Q7" s="8">
        <v>3.32</v>
      </c>
      <c r="R7" s="8">
        <v>2.82</v>
      </c>
      <c r="S7" s="8">
        <v>2.82</v>
      </c>
      <c r="T7" s="22">
        <v>2.82</v>
      </c>
      <c r="U7" s="23">
        <f>T7/200</f>
        <v>1.41E-2</v>
      </c>
    </row>
    <row r="8" spans="1:26" s="8" customFormat="1" x14ac:dyDescent="0.35">
      <c r="A8" s="8" t="s">
        <v>9</v>
      </c>
      <c r="C8" s="8" t="s">
        <v>10</v>
      </c>
      <c r="D8" s="8" t="s">
        <v>11</v>
      </c>
      <c r="E8" s="8">
        <v>1</v>
      </c>
      <c r="F8" s="8">
        <v>2</v>
      </c>
      <c r="G8" s="8" t="s">
        <v>12</v>
      </c>
      <c r="J8" s="18" t="s">
        <v>35</v>
      </c>
      <c r="K8" s="19" t="s">
        <v>36</v>
      </c>
      <c r="M8" s="8">
        <v>0.92</v>
      </c>
      <c r="P8" s="8" t="s">
        <v>277</v>
      </c>
      <c r="Q8" s="8">
        <v>3.6</v>
      </c>
      <c r="R8" s="8">
        <v>3.05</v>
      </c>
      <c r="S8" s="8">
        <v>3.05</v>
      </c>
      <c r="T8" s="55">
        <v>108.12</v>
      </c>
      <c r="U8" s="55">
        <f>T8/200</f>
        <v>0.54059999999999997</v>
      </c>
    </row>
    <row r="9" spans="1:26" x14ac:dyDescent="0.35">
      <c r="A9" t="s">
        <v>9</v>
      </c>
      <c r="C9" t="s">
        <v>14</v>
      </c>
      <c r="D9" t="s">
        <v>15</v>
      </c>
      <c r="E9">
        <v>1</v>
      </c>
      <c r="F9">
        <v>8</v>
      </c>
      <c r="G9" t="s">
        <v>17</v>
      </c>
      <c r="J9" s="2" t="s">
        <v>18</v>
      </c>
      <c r="K9" s="3" t="s">
        <v>19</v>
      </c>
      <c r="M9">
        <v>7.78</v>
      </c>
      <c r="N9">
        <v>10997.36</v>
      </c>
      <c r="O9" t="s">
        <v>122</v>
      </c>
      <c r="P9" s="6" t="s">
        <v>125</v>
      </c>
      <c r="Q9">
        <v>37.270000000000003</v>
      </c>
      <c r="R9" t="s">
        <v>96</v>
      </c>
      <c r="S9">
        <v>37.270000000000003</v>
      </c>
      <c r="T9" s="55"/>
      <c r="U9" s="55"/>
    </row>
    <row r="10" spans="1:26" x14ac:dyDescent="0.35">
      <c r="A10" t="s">
        <v>9</v>
      </c>
      <c r="C10" t="s">
        <v>198</v>
      </c>
      <c r="D10" t="s">
        <v>128</v>
      </c>
      <c r="E10" s="58">
        <v>1</v>
      </c>
      <c r="F10">
        <v>60</v>
      </c>
      <c r="I10" s="4" t="s">
        <v>126</v>
      </c>
      <c r="J10" s="3" t="s">
        <v>127</v>
      </c>
      <c r="L10">
        <v>1</v>
      </c>
      <c r="M10">
        <v>0.38</v>
      </c>
      <c r="N10">
        <f>15*7*1</f>
        <v>105</v>
      </c>
      <c r="P10" t="s">
        <v>129</v>
      </c>
      <c r="Q10" t="s">
        <v>190</v>
      </c>
      <c r="S10">
        <v>23.4</v>
      </c>
      <c r="T10" s="55"/>
      <c r="U10" s="55"/>
    </row>
    <row r="11" spans="1:26" x14ac:dyDescent="0.35">
      <c r="A11" t="s">
        <v>9</v>
      </c>
      <c r="C11" t="s">
        <v>199</v>
      </c>
      <c r="D11" t="s">
        <v>23</v>
      </c>
      <c r="E11" s="58"/>
      <c r="F11">
        <v>24</v>
      </c>
      <c r="G11" t="s">
        <v>124</v>
      </c>
      <c r="H11" s="3" t="s">
        <v>123</v>
      </c>
      <c r="L11">
        <v>1</v>
      </c>
      <c r="M11">
        <v>1.8</v>
      </c>
      <c r="N11">
        <f>31*16*1</f>
        <v>496</v>
      </c>
      <c r="P11" t="s">
        <v>129</v>
      </c>
      <c r="Q11" t="s">
        <v>191</v>
      </c>
      <c r="S11">
        <v>44.4</v>
      </c>
      <c r="T11" s="55"/>
      <c r="U11" s="55"/>
    </row>
    <row r="12" spans="1:26" s="14" customFormat="1" x14ac:dyDescent="0.35">
      <c r="A12" s="14" t="s">
        <v>24</v>
      </c>
      <c r="C12" s="14" t="s">
        <v>41</v>
      </c>
      <c r="D12" s="14" t="s">
        <v>227</v>
      </c>
      <c r="E12" s="14">
        <v>1</v>
      </c>
      <c r="F12" s="14">
        <v>1</v>
      </c>
      <c r="G12" s="14">
        <v>75</v>
      </c>
      <c r="H12" s="14">
        <v>17.5</v>
      </c>
      <c r="L12" s="14">
        <v>1.5</v>
      </c>
      <c r="M12" s="14" t="s">
        <v>116</v>
      </c>
      <c r="N12" s="14">
        <v>1969</v>
      </c>
      <c r="O12" s="14" t="s">
        <v>114</v>
      </c>
      <c r="P12" s="14" t="s">
        <v>252</v>
      </c>
      <c r="Q12" s="14" t="s">
        <v>117</v>
      </c>
      <c r="R12" s="14" t="s">
        <v>96</v>
      </c>
      <c r="S12" s="14">
        <v>14.58</v>
      </c>
      <c r="T12" s="29">
        <v>14.58</v>
      </c>
      <c r="U12" s="25">
        <f>T12/200</f>
        <v>7.2900000000000006E-2</v>
      </c>
    </row>
    <row r="13" spans="1:26" s="8" customFormat="1" ht="15" thickBot="1" x14ac:dyDescent="0.4">
      <c r="A13" s="8" t="s">
        <v>26</v>
      </c>
      <c r="C13" s="8" t="s">
        <v>87</v>
      </c>
      <c r="D13" s="8" t="s">
        <v>25</v>
      </c>
      <c r="E13" s="8">
        <v>1</v>
      </c>
      <c r="F13" s="8">
        <v>1</v>
      </c>
      <c r="G13" s="8">
        <v>28</v>
      </c>
      <c r="K13" s="8">
        <v>3</v>
      </c>
      <c r="M13" s="8">
        <v>1.33</v>
      </c>
      <c r="P13" s="8" t="s">
        <v>277</v>
      </c>
      <c r="Q13" s="8">
        <v>5.19</v>
      </c>
      <c r="R13" s="8" t="s">
        <v>96</v>
      </c>
      <c r="S13" s="8">
        <v>5.19</v>
      </c>
      <c r="T13" s="22">
        <v>5.19</v>
      </c>
      <c r="U13" s="23">
        <f>T13/200</f>
        <v>2.5950000000000001E-2</v>
      </c>
    </row>
    <row r="14" spans="1:26" s="8" customFormat="1" ht="15" thickBot="1" x14ac:dyDescent="0.4">
      <c r="A14" s="45" t="s">
        <v>228</v>
      </c>
      <c r="B14" s="48" t="s">
        <v>234</v>
      </c>
      <c r="C14" s="6" t="s">
        <v>211</v>
      </c>
      <c r="D14" s="8" t="s">
        <v>229</v>
      </c>
      <c r="E14" s="8">
        <v>1</v>
      </c>
      <c r="F14" s="8">
        <v>1</v>
      </c>
      <c r="G14" s="8" t="s">
        <v>250</v>
      </c>
      <c r="H14" s="8">
        <v>14.5</v>
      </c>
      <c r="L14" s="8" t="s">
        <v>243</v>
      </c>
      <c r="M14" s="8">
        <v>0.04</v>
      </c>
      <c r="N14" s="8">
        <v>855.5</v>
      </c>
      <c r="O14" s="8" t="s">
        <v>251</v>
      </c>
      <c r="P14" s="14" t="s">
        <v>252</v>
      </c>
      <c r="Q14" s="8">
        <v>6.48</v>
      </c>
      <c r="S14" s="8">
        <v>6.48</v>
      </c>
      <c r="T14" s="44"/>
      <c r="U14" s="24"/>
    </row>
    <row r="15" spans="1:26" s="13" customFormat="1" ht="15" thickBot="1" x14ac:dyDescent="0.4">
      <c r="A15" s="46" t="s">
        <v>228</v>
      </c>
      <c r="B15" s="20" t="s">
        <v>235</v>
      </c>
      <c r="C15" s="11" t="s">
        <v>5</v>
      </c>
      <c r="D15" s="13" t="s">
        <v>230</v>
      </c>
      <c r="E15" s="13">
        <v>1</v>
      </c>
      <c r="F15" s="13">
        <v>1</v>
      </c>
      <c r="G15" s="13" t="s">
        <v>233</v>
      </c>
      <c r="H15" s="13" t="s">
        <v>239</v>
      </c>
      <c r="I15" s="13" t="s">
        <v>238</v>
      </c>
      <c r="M15" s="13">
        <v>0.628</v>
      </c>
      <c r="N15" s="13">
        <v>361.8</v>
      </c>
      <c r="O15" s="13" t="s">
        <v>241</v>
      </c>
      <c r="P15" s="13">
        <v>2.59</v>
      </c>
      <c r="Q15" s="13">
        <v>1.63</v>
      </c>
      <c r="S15" s="13">
        <v>1.63</v>
      </c>
      <c r="T15" s="47"/>
      <c r="U15" s="26"/>
    </row>
    <row r="16" spans="1:26" s="8" customFormat="1" ht="15" thickBot="1" x14ac:dyDescent="0.4">
      <c r="A16" s="45" t="s">
        <v>228</v>
      </c>
      <c r="B16" s="18" t="s">
        <v>236</v>
      </c>
      <c r="C16" s="8" t="s">
        <v>232</v>
      </c>
      <c r="D16" s="8" t="s">
        <v>231</v>
      </c>
      <c r="E16" s="8">
        <v>1</v>
      </c>
      <c r="F16" s="8">
        <v>1</v>
      </c>
      <c r="G16" s="8">
        <v>4</v>
      </c>
      <c r="J16" s="8">
        <v>2</v>
      </c>
      <c r="L16" s="8">
        <v>0.5</v>
      </c>
      <c r="M16" s="8">
        <v>4.5999999999999999E-2</v>
      </c>
      <c r="N16" s="8">
        <v>12.56</v>
      </c>
      <c r="O16" s="8" t="s">
        <v>247</v>
      </c>
      <c r="Q16" s="8">
        <v>0.56999999999999995</v>
      </c>
      <c r="R16" s="8" t="s">
        <v>96</v>
      </c>
      <c r="S16" s="8">
        <v>0.56999999999999995</v>
      </c>
      <c r="T16" s="44"/>
      <c r="U16" s="24"/>
    </row>
    <row r="17" spans="1:21" s="8" customFormat="1" ht="15" thickBot="1" x14ac:dyDescent="0.4">
      <c r="A17" s="45" t="s">
        <v>228</v>
      </c>
      <c r="B17" s="8" t="s">
        <v>93</v>
      </c>
      <c r="C17" s="8" t="s">
        <v>44</v>
      </c>
      <c r="D17" s="8" t="s">
        <v>237</v>
      </c>
      <c r="E17" s="8">
        <v>1</v>
      </c>
      <c r="F17" s="8">
        <v>2</v>
      </c>
      <c r="G17" s="8" t="s">
        <v>244</v>
      </c>
      <c r="H17" s="8" t="s">
        <v>115</v>
      </c>
      <c r="I17" s="8" t="s">
        <v>243</v>
      </c>
      <c r="M17" s="8" t="s">
        <v>245</v>
      </c>
      <c r="Q17" s="8" t="s">
        <v>253</v>
      </c>
      <c r="R17" s="8" t="s">
        <v>248</v>
      </c>
      <c r="S17" s="8">
        <v>0.1</v>
      </c>
      <c r="T17" s="44"/>
      <c r="U17" s="24"/>
    </row>
    <row r="18" spans="1:21" s="8" customFormat="1" x14ac:dyDescent="0.35">
      <c r="A18" s="8" t="s">
        <v>27</v>
      </c>
      <c r="C18" s="8" t="s">
        <v>29</v>
      </c>
      <c r="D18" s="8" t="s">
        <v>28</v>
      </c>
      <c r="E18" s="8">
        <v>1</v>
      </c>
      <c r="F18" s="8">
        <v>1</v>
      </c>
      <c r="M18" s="8" t="s">
        <v>93</v>
      </c>
      <c r="P18" s="8" t="s">
        <v>100</v>
      </c>
      <c r="Q18" s="8" t="s">
        <v>93</v>
      </c>
      <c r="R18" s="8">
        <v>3.67</v>
      </c>
      <c r="S18" s="8">
        <v>3.67</v>
      </c>
      <c r="T18" s="21">
        <v>3.67</v>
      </c>
      <c r="U18" s="23">
        <f>T18/200</f>
        <v>1.8349999999999998E-2</v>
      </c>
    </row>
    <row r="19" spans="1:21" s="8" customFormat="1" x14ac:dyDescent="0.35">
      <c r="A19" s="8" t="s">
        <v>30</v>
      </c>
      <c r="C19" s="8" t="s">
        <v>31</v>
      </c>
      <c r="D19" s="8" t="s">
        <v>53</v>
      </c>
      <c r="E19" s="8">
        <v>1</v>
      </c>
      <c r="F19" s="8">
        <v>1</v>
      </c>
      <c r="M19" s="8" t="s">
        <v>93</v>
      </c>
      <c r="P19" s="8" t="s">
        <v>100</v>
      </c>
      <c r="Q19" s="8" t="s">
        <v>93</v>
      </c>
      <c r="R19" s="8">
        <v>3.67</v>
      </c>
      <c r="S19" s="8">
        <v>3.67</v>
      </c>
      <c r="T19" s="21">
        <v>3.67</v>
      </c>
      <c r="U19" s="23">
        <f>T19/200</f>
        <v>1.8349999999999998E-2</v>
      </c>
    </row>
    <row r="20" spans="1:21" x14ac:dyDescent="0.35">
      <c r="A20" t="s">
        <v>32</v>
      </c>
      <c r="C20" t="s">
        <v>38</v>
      </c>
      <c r="D20" t="s">
        <v>37</v>
      </c>
      <c r="E20">
        <v>1</v>
      </c>
      <c r="F20">
        <v>4</v>
      </c>
      <c r="G20" t="s">
        <v>111</v>
      </c>
      <c r="I20" t="s">
        <v>110</v>
      </c>
      <c r="J20" t="s">
        <v>107</v>
      </c>
      <c r="K20" t="s">
        <v>112</v>
      </c>
      <c r="M20">
        <v>1.39</v>
      </c>
      <c r="N20">
        <v>383</v>
      </c>
      <c r="O20" t="s">
        <v>192</v>
      </c>
      <c r="P20" t="s">
        <v>129</v>
      </c>
      <c r="Q20">
        <v>1.43</v>
      </c>
      <c r="R20" t="s">
        <v>96</v>
      </c>
      <c r="S20">
        <v>1.43</v>
      </c>
      <c r="T20" s="57">
        <v>4.91</v>
      </c>
      <c r="U20" s="57">
        <f>T20/200</f>
        <v>2.4550000000000002E-2</v>
      </c>
    </row>
    <row r="21" spans="1:21" s="8" customFormat="1" x14ac:dyDescent="0.35">
      <c r="A21" s="8" t="s">
        <v>32</v>
      </c>
      <c r="C21" s="8" t="s">
        <v>89</v>
      </c>
      <c r="D21" s="8" t="s">
        <v>33</v>
      </c>
      <c r="E21" s="8">
        <v>1</v>
      </c>
      <c r="F21" s="8">
        <v>1</v>
      </c>
      <c r="H21" s="19" t="s">
        <v>34</v>
      </c>
      <c r="J21" s="8" t="s">
        <v>94</v>
      </c>
      <c r="K21" s="8">
        <v>1.5</v>
      </c>
      <c r="M21" s="8">
        <v>1.05</v>
      </c>
      <c r="P21" s="8" t="s">
        <v>277</v>
      </c>
      <c r="Q21" s="8">
        <v>4.0999999999999996</v>
      </c>
      <c r="R21" s="8">
        <v>3.48</v>
      </c>
      <c r="S21" s="8">
        <v>3.48</v>
      </c>
      <c r="T21" s="57"/>
      <c r="U21" s="57"/>
    </row>
    <row r="22" spans="1:21" s="13" customFormat="1" x14ac:dyDescent="0.35">
      <c r="A22" s="13" t="s">
        <v>39</v>
      </c>
      <c r="C22" s="13" t="s">
        <v>5</v>
      </c>
      <c r="D22" s="13" t="s">
        <v>40</v>
      </c>
      <c r="E22" s="13">
        <v>1</v>
      </c>
      <c r="F22" s="13">
        <v>1</v>
      </c>
      <c r="G22" s="13" t="s">
        <v>95</v>
      </c>
      <c r="M22" s="13">
        <v>1.32</v>
      </c>
      <c r="O22" s="13" t="s">
        <v>276</v>
      </c>
      <c r="P22" s="13" t="s">
        <v>99</v>
      </c>
      <c r="Q22" s="13">
        <v>3.42</v>
      </c>
      <c r="R22" s="13" t="s">
        <v>96</v>
      </c>
      <c r="S22" s="13">
        <v>3.42</v>
      </c>
      <c r="T22" s="30">
        <v>3.42</v>
      </c>
      <c r="U22" s="26">
        <f>T22/200</f>
        <v>1.7100000000000001E-2</v>
      </c>
    </row>
    <row r="23" spans="1:21" x14ac:dyDescent="0.35">
      <c r="A23" t="s">
        <v>42</v>
      </c>
      <c r="C23" t="s">
        <v>44</v>
      </c>
      <c r="D23" t="s">
        <v>43</v>
      </c>
      <c r="E23">
        <v>1</v>
      </c>
      <c r="F23">
        <v>1</v>
      </c>
      <c r="G23">
        <v>40</v>
      </c>
      <c r="H23" t="s">
        <v>103</v>
      </c>
      <c r="M23">
        <v>0.73</v>
      </c>
      <c r="N23">
        <v>200</v>
      </c>
      <c r="P23" t="s">
        <v>129</v>
      </c>
      <c r="Q23">
        <v>0.75</v>
      </c>
      <c r="R23" t="s">
        <v>96</v>
      </c>
      <c r="S23">
        <v>0.75</v>
      </c>
      <c r="T23" s="57">
        <v>2.02</v>
      </c>
      <c r="U23" s="57">
        <f>T23/200</f>
        <v>1.01E-2</v>
      </c>
    </row>
    <row r="24" spans="1:21" s="13" customFormat="1" x14ac:dyDescent="0.35">
      <c r="A24" s="13" t="s">
        <v>42</v>
      </c>
      <c r="C24" s="13" t="s">
        <v>47</v>
      </c>
      <c r="D24" s="13" t="s">
        <v>45</v>
      </c>
      <c r="E24" s="13">
        <v>1</v>
      </c>
      <c r="F24" s="13">
        <v>1</v>
      </c>
      <c r="G24" s="13" t="s">
        <v>46</v>
      </c>
      <c r="K24" s="20" t="s">
        <v>101</v>
      </c>
      <c r="M24" s="13">
        <v>0.49</v>
      </c>
      <c r="O24" s="13" t="s">
        <v>275</v>
      </c>
      <c r="P24" s="13" t="s">
        <v>99</v>
      </c>
      <c r="Q24" s="13">
        <v>1.27</v>
      </c>
      <c r="R24" s="13" t="s">
        <v>96</v>
      </c>
      <c r="S24" s="13">
        <v>1.27</v>
      </c>
      <c r="T24" s="57"/>
      <c r="U24" s="57"/>
    </row>
    <row r="25" spans="1:21" s="8" customFormat="1" x14ac:dyDescent="0.35">
      <c r="A25" s="8" t="s">
        <v>133</v>
      </c>
      <c r="C25" s="8" t="s">
        <v>134</v>
      </c>
      <c r="E25" s="8">
        <v>1</v>
      </c>
      <c r="F25" s="8">
        <v>1</v>
      </c>
      <c r="J25" s="8" t="s">
        <v>149</v>
      </c>
      <c r="K25" s="8" t="s">
        <v>152</v>
      </c>
      <c r="M25" s="8">
        <v>0.76</v>
      </c>
      <c r="N25" s="8">
        <v>120.89</v>
      </c>
      <c r="O25" s="8" t="s">
        <v>157</v>
      </c>
      <c r="P25" s="10" t="s">
        <v>151</v>
      </c>
      <c r="Q25" s="8">
        <v>1.33</v>
      </c>
      <c r="R25" s="8" t="s">
        <v>96</v>
      </c>
      <c r="S25" s="8">
        <v>1.33</v>
      </c>
      <c r="T25" s="22">
        <v>1.33</v>
      </c>
      <c r="U25" s="23">
        <f>T25/200</f>
        <v>6.6500000000000005E-3</v>
      </c>
    </row>
    <row r="26" spans="1:21" x14ac:dyDescent="0.35">
      <c r="A26" t="s">
        <v>153</v>
      </c>
      <c r="C26" t="s">
        <v>159</v>
      </c>
      <c r="D26" t="s">
        <v>154</v>
      </c>
      <c r="E26">
        <v>1</v>
      </c>
      <c r="F26">
        <v>1</v>
      </c>
      <c r="J26" t="s">
        <v>155</v>
      </c>
      <c r="K26" t="s">
        <v>156</v>
      </c>
      <c r="M26">
        <v>0.62</v>
      </c>
      <c r="N26">
        <v>1190.6199999999999</v>
      </c>
      <c r="O26" t="s">
        <v>157</v>
      </c>
      <c r="P26" s="6" t="s">
        <v>158</v>
      </c>
      <c r="Q26">
        <v>13.11</v>
      </c>
      <c r="R26" t="s">
        <v>96</v>
      </c>
      <c r="S26">
        <v>13.11</v>
      </c>
      <c r="T26" s="57">
        <v>25.87</v>
      </c>
      <c r="U26" s="57">
        <f>T26/200</f>
        <v>0.12934999999999999</v>
      </c>
    </row>
    <row r="27" spans="1:21" x14ac:dyDescent="0.35">
      <c r="A27" t="s">
        <v>153</v>
      </c>
      <c r="C27" t="s">
        <v>161</v>
      </c>
      <c r="D27" t="s">
        <v>160</v>
      </c>
      <c r="E27">
        <v>1</v>
      </c>
      <c r="F27">
        <v>1</v>
      </c>
      <c r="J27" t="s">
        <v>163</v>
      </c>
      <c r="K27" t="s">
        <v>162</v>
      </c>
      <c r="M27">
        <v>7.29</v>
      </c>
      <c r="N27">
        <v>1156.73</v>
      </c>
      <c r="O27" t="s">
        <v>157</v>
      </c>
      <c r="P27" s="6" t="s">
        <v>164</v>
      </c>
      <c r="Q27">
        <v>12.76</v>
      </c>
      <c r="R27" t="s">
        <v>96</v>
      </c>
      <c r="S27">
        <v>12.76</v>
      </c>
      <c r="T27" s="57"/>
      <c r="U27" s="57"/>
    </row>
    <row r="28" spans="1:21" x14ac:dyDescent="0.35">
      <c r="A28" t="s">
        <v>165</v>
      </c>
      <c r="C28" t="s">
        <v>167</v>
      </c>
      <c r="D28" t="s">
        <v>166</v>
      </c>
      <c r="E28">
        <v>1</v>
      </c>
      <c r="F28">
        <v>1</v>
      </c>
      <c r="J28" t="s">
        <v>168</v>
      </c>
      <c r="K28">
        <v>1.5</v>
      </c>
      <c r="M28">
        <v>2.5299999999999998</v>
      </c>
      <c r="N28">
        <v>401.05</v>
      </c>
      <c r="O28" t="s">
        <v>157</v>
      </c>
      <c r="P28" s="6" t="s">
        <v>164</v>
      </c>
      <c r="Q28">
        <v>4.43</v>
      </c>
      <c r="R28" t="s">
        <v>96</v>
      </c>
      <c r="S28">
        <v>4.43</v>
      </c>
      <c r="T28" s="31">
        <v>4.43</v>
      </c>
      <c r="U28" s="27">
        <f>T28/200</f>
        <v>2.215E-2</v>
      </c>
    </row>
    <row r="29" spans="1:21" x14ac:dyDescent="0.35">
      <c r="A29" t="s">
        <v>169</v>
      </c>
      <c r="C29" t="s">
        <v>170</v>
      </c>
      <c r="D29" t="s">
        <v>176</v>
      </c>
      <c r="E29">
        <v>1</v>
      </c>
      <c r="F29">
        <v>1</v>
      </c>
      <c r="J29" t="s">
        <v>178</v>
      </c>
      <c r="M29">
        <v>3.42</v>
      </c>
      <c r="N29">
        <v>942.63</v>
      </c>
      <c r="O29" t="s">
        <v>177</v>
      </c>
      <c r="P29" t="s">
        <v>129</v>
      </c>
      <c r="Q29">
        <v>3.52</v>
      </c>
      <c r="R29" t="s">
        <v>96</v>
      </c>
      <c r="S29">
        <v>3.52</v>
      </c>
      <c r="T29" s="31">
        <v>3.52</v>
      </c>
      <c r="U29" s="27">
        <f>T29/200</f>
        <v>1.7600000000000001E-2</v>
      </c>
    </row>
    <row r="30" spans="1:21" x14ac:dyDescent="0.35">
      <c r="A30" t="s">
        <v>179</v>
      </c>
      <c r="C30" t="s">
        <v>180</v>
      </c>
      <c r="D30" t="s">
        <v>182</v>
      </c>
      <c r="E30">
        <v>1</v>
      </c>
      <c r="F30">
        <v>1</v>
      </c>
      <c r="J30" t="s">
        <v>183</v>
      </c>
      <c r="K30" t="s">
        <v>181</v>
      </c>
      <c r="M30">
        <v>3.38</v>
      </c>
      <c r="N30">
        <v>536.54999999999995</v>
      </c>
      <c r="P30" s="6" t="s">
        <v>164</v>
      </c>
      <c r="Q30">
        <v>5.92</v>
      </c>
      <c r="R30" t="s">
        <v>96</v>
      </c>
      <c r="S30">
        <v>5.92</v>
      </c>
      <c r="T30" s="31">
        <v>5.92</v>
      </c>
      <c r="U30" s="27">
        <f>T30/200</f>
        <v>2.9600000000000001E-2</v>
      </c>
    </row>
    <row r="31" spans="1:21" x14ac:dyDescent="0.35">
      <c r="A31" t="s">
        <v>184</v>
      </c>
      <c r="C31" t="s">
        <v>186</v>
      </c>
      <c r="D31" t="s">
        <v>185</v>
      </c>
      <c r="E31">
        <v>1</v>
      </c>
      <c r="F31">
        <v>1</v>
      </c>
      <c r="J31" t="s">
        <v>187</v>
      </c>
      <c r="K31">
        <v>1</v>
      </c>
      <c r="M31">
        <v>1.41</v>
      </c>
      <c r="N31">
        <v>224.52</v>
      </c>
      <c r="O31" t="s">
        <v>157</v>
      </c>
      <c r="P31" s="6" t="s">
        <v>164</v>
      </c>
      <c r="Q31">
        <v>2.48</v>
      </c>
      <c r="R31" t="s">
        <v>96</v>
      </c>
      <c r="S31">
        <v>2.48</v>
      </c>
      <c r="T31" s="57">
        <v>2.65</v>
      </c>
      <c r="U31" s="57">
        <f>T31/200</f>
        <v>1.325E-2</v>
      </c>
    </row>
    <row r="32" spans="1:21" x14ac:dyDescent="0.35">
      <c r="A32" t="s">
        <v>184</v>
      </c>
      <c r="C32" t="s">
        <v>50</v>
      </c>
      <c r="D32" t="s">
        <v>188</v>
      </c>
      <c r="E32">
        <v>1</v>
      </c>
      <c r="F32">
        <v>1</v>
      </c>
      <c r="G32">
        <v>9</v>
      </c>
      <c r="H32">
        <v>5</v>
      </c>
      <c r="K32">
        <v>1</v>
      </c>
      <c r="M32">
        <v>0.16</v>
      </c>
      <c r="N32">
        <v>45</v>
      </c>
      <c r="O32" t="s">
        <v>177</v>
      </c>
      <c r="P32" t="s">
        <v>129</v>
      </c>
      <c r="Q32">
        <v>0.17</v>
      </c>
      <c r="R32" t="s">
        <v>96</v>
      </c>
      <c r="S32">
        <v>0.17</v>
      </c>
      <c r="T32" s="57"/>
      <c r="U32" s="57"/>
    </row>
  </sheetData>
  <mergeCells count="13">
    <mergeCell ref="E10:E11"/>
    <mergeCell ref="T5:T6"/>
    <mergeCell ref="T8:T11"/>
    <mergeCell ref="T20:T21"/>
    <mergeCell ref="T23:T24"/>
    <mergeCell ref="U8:U11"/>
    <mergeCell ref="U5:U6"/>
    <mergeCell ref="T31:T32"/>
    <mergeCell ref="U31:U32"/>
    <mergeCell ref="U26:U27"/>
    <mergeCell ref="U23:U24"/>
    <mergeCell ref="U20:U21"/>
    <mergeCell ref="T26:T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G1" sqref="G1"/>
    </sheetView>
  </sheetViews>
  <sheetFormatPr defaultRowHeight="14.5" x14ac:dyDescent="0.35"/>
  <cols>
    <col min="2" max="2" width="13.81640625" customWidth="1"/>
  </cols>
  <sheetData>
    <row r="1" spans="1:8" x14ac:dyDescent="0.35">
      <c r="A1" s="1" t="s">
        <v>9</v>
      </c>
      <c r="B1" s="1" t="s">
        <v>119</v>
      </c>
      <c r="C1" s="1" t="s">
        <v>2</v>
      </c>
      <c r="D1" s="1" t="s">
        <v>3</v>
      </c>
      <c r="E1" s="1" t="s">
        <v>172</v>
      </c>
      <c r="F1" s="1" t="s">
        <v>246</v>
      </c>
      <c r="G1" s="1" t="s">
        <v>121</v>
      </c>
    </row>
    <row r="2" spans="1:8" x14ac:dyDescent="0.35">
      <c r="B2">
        <v>1</v>
      </c>
      <c r="C2">
        <v>15</v>
      </c>
      <c r="D2">
        <v>7</v>
      </c>
      <c r="E2">
        <v>2</v>
      </c>
      <c r="F2">
        <v>22</v>
      </c>
      <c r="G2">
        <f>C2*E2*F2</f>
        <v>660</v>
      </c>
    </row>
    <row r="3" spans="1:8" x14ac:dyDescent="0.35">
      <c r="B3">
        <v>2</v>
      </c>
      <c r="C3">
        <v>18.260000000000002</v>
      </c>
      <c r="D3">
        <v>7</v>
      </c>
      <c r="E3">
        <v>2</v>
      </c>
      <c r="F3">
        <v>22</v>
      </c>
      <c r="G3">
        <f t="shared" ref="G3:G9" si="0">C3*E3*F3</f>
        <v>803.44</v>
      </c>
    </row>
    <row r="4" spans="1:8" x14ac:dyDescent="0.35">
      <c r="B4">
        <v>3</v>
      </c>
      <c r="C4">
        <v>26.56</v>
      </c>
      <c r="D4">
        <v>7</v>
      </c>
      <c r="E4">
        <v>2</v>
      </c>
      <c r="F4">
        <v>22</v>
      </c>
      <c r="G4">
        <f t="shared" si="0"/>
        <v>1168.6399999999999</v>
      </c>
    </row>
    <row r="5" spans="1:8" x14ac:dyDescent="0.35">
      <c r="B5">
        <v>4</v>
      </c>
      <c r="C5">
        <v>31.54</v>
      </c>
      <c r="D5">
        <v>7</v>
      </c>
      <c r="E5">
        <v>2</v>
      </c>
      <c r="F5">
        <v>22</v>
      </c>
      <c r="G5">
        <f t="shared" si="0"/>
        <v>1387.76</v>
      </c>
    </row>
    <row r="6" spans="1:8" x14ac:dyDescent="0.35">
      <c r="B6">
        <v>5</v>
      </c>
      <c r="C6">
        <v>31.54</v>
      </c>
      <c r="D6">
        <v>7</v>
      </c>
      <c r="E6">
        <v>2</v>
      </c>
      <c r="F6">
        <v>22</v>
      </c>
      <c r="G6">
        <f t="shared" si="0"/>
        <v>1387.76</v>
      </c>
    </row>
    <row r="7" spans="1:8" x14ac:dyDescent="0.35">
      <c r="B7">
        <v>6</v>
      </c>
      <c r="C7">
        <v>31.54</v>
      </c>
      <c r="D7">
        <v>7</v>
      </c>
      <c r="E7">
        <v>2</v>
      </c>
      <c r="F7">
        <v>22</v>
      </c>
      <c r="G7">
        <f t="shared" si="0"/>
        <v>1387.76</v>
      </c>
    </row>
    <row r="8" spans="1:8" x14ac:dyDescent="0.35">
      <c r="B8">
        <v>7</v>
      </c>
      <c r="C8">
        <v>41.5</v>
      </c>
      <c r="D8">
        <v>7</v>
      </c>
      <c r="E8">
        <v>2</v>
      </c>
      <c r="F8">
        <v>22</v>
      </c>
      <c r="G8">
        <f t="shared" si="0"/>
        <v>1826</v>
      </c>
    </row>
    <row r="9" spans="1:8" x14ac:dyDescent="0.35">
      <c r="B9">
        <v>8</v>
      </c>
      <c r="C9">
        <v>54</v>
      </c>
      <c r="D9">
        <v>7</v>
      </c>
      <c r="E9">
        <v>2</v>
      </c>
      <c r="F9">
        <v>22</v>
      </c>
      <c r="G9">
        <f t="shared" si="0"/>
        <v>2376</v>
      </c>
    </row>
    <row r="10" spans="1:8" x14ac:dyDescent="0.35">
      <c r="B10" t="s">
        <v>120</v>
      </c>
      <c r="C10">
        <f>SUM(C2:C9)</f>
        <v>249.94</v>
      </c>
      <c r="D10">
        <v>7</v>
      </c>
      <c r="E10">
        <v>2</v>
      </c>
      <c r="F10">
        <v>22</v>
      </c>
      <c r="G10" s="1" t="s">
        <v>120</v>
      </c>
      <c r="H10" s="1">
        <f>C10*E10*F10</f>
        <v>10997.36</v>
      </c>
    </row>
    <row r="12" spans="1:8" x14ac:dyDescent="0.35">
      <c r="A12" s="1" t="s">
        <v>169</v>
      </c>
      <c r="B12" s="1" t="s">
        <v>171</v>
      </c>
      <c r="C12" s="1" t="s">
        <v>2</v>
      </c>
      <c r="D12" s="1" t="s">
        <v>3</v>
      </c>
      <c r="E12" s="1" t="s">
        <v>175</v>
      </c>
      <c r="F12" s="1"/>
      <c r="G12" s="1" t="s">
        <v>121</v>
      </c>
    </row>
    <row r="13" spans="1:8" x14ac:dyDescent="0.35">
      <c r="B13">
        <v>1</v>
      </c>
      <c r="C13">
        <v>10</v>
      </c>
      <c r="D13">
        <v>5</v>
      </c>
      <c r="E13">
        <v>1</v>
      </c>
      <c r="F13">
        <v>15.71</v>
      </c>
      <c r="G13">
        <f>C13*E13*F13</f>
        <v>157.10000000000002</v>
      </c>
    </row>
    <row r="14" spans="1:8" x14ac:dyDescent="0.35">
      <c r="B14">
        <v>2</v>
      </c>
      <c r="C14">
        <v>10</v>
      </c>
      <c r="D14">
        <v>7</v>
      </c>
      <c r="E14">
        <v>1</v>
      </c>
      <c r="F14">
        <v>22</v>
      </c>
      <c r="G14">
        <f>C14*E14*F14</f>
        <v>220</v>
      </c>
    </row>
    <row r="15" spans="1:8" x14ac:dyDescent="0.35">
      <c r="B15" t="s">
        <v>173</v>
      </c>
      <c r="C15">
        <v>12</v>
      </c>
      <c r="D15">
        <v>6</v>
      </c>
      <c r="E15">
        <v>1</v>
      </c>
      <c r="F15">
        <v>18.850000000000001</v>
      </c>
      <c r="G15">
        <f>C15*E15*F15</f>
        <v>226.20000000000002</v>
      </c>
    </row>
    <row r="16" spans="1:8" x14ac:dyDescent="0.35">
      <c r="B16" t="s">
        <v>174</v>
      </c>
      <c r="C16">
        <v>9</v>
      </c>
      <c r="D16">
        <v>4</v>
      </c>
      <c r="E16">
        <v>1</v>
      </c>
      <c r="F16">
        <v>12.57</v>
      </c>
      <c r="G16">
        <f>C16*E16*F16</f>
        <v>113.13</v>
      </c>
    </row>
    <row r="17" spans="2:8" x14ac:dyDescent="0.35">
      <c r="B17">
        <v>4</v>
      </c>
      <c r="C17">
        <v>12</v>
      </c>
      <c r="D17">
        <v>6</v>
      </c>
      <c r="E17">
        <v>1</v>
      </c>
      <c r="F17">
        <v>18.850000000000001</v>
      </c>
      <c r="G17">
        <f>C17*E17*F17</f>
        <v>226.20000000000002</v>
      </c>
    </row>
    <row r="18" spans="2:8" x14ac:dyDescent="0.35">
      <c r="G18" s="1" t="s">
        <v>120</v>
      </c>
      <c r="H18" s="1">
        <f>SUM(G13:G17)</f>
        <v>942.63000000000011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abSelected="1" topLeftCell="E1" workbookViewId="0">
      <selection activeCell="R4" sqref="R4"/>
    </sheetView>
  </sheetViews>
  <sheetFormatPr defaultRowHeight="14.5" x14ac:dyDescent="0.35"/>
  <cols>
    <col min="1" max="1" width="42.90625" customWidth="1"/>
    <col min="2" max="2" width="42.81640625" customWidth="1"/>
    <col min="3" max="3" width="21.08984375" customWidth="1"/>
    <col min="4" max="4" width="31.26953125" customWidth="1"/>
    <col min="5" max="5" width="12.1796875" customWidth="1"/>
    <col min="6" max="6" width="12.26953125" customWidth="1"/>
  </cols>
  <sheetData>
    <row r="1" spans="1:17" x14ac:dyDescent="0.35">
      <c r="A1" s="1" t="s">
        <v>271</v>
      </c>
      <c r="B1" s="1" t="s">
        <v>202</v>
      </c>
      <c r="C1" s="1" t="s">
        <v>205</v>
      </c>
      <c r="D1" s="1" t="s">
        <v>77</v>
      </c>
      <c r="E1" s="1" t="s">
        <v>254</v>
      </c>
      <c r="F1" s="1" t="s">
        <v>256</v>
      </c>
      <c r="G1" s="1" t="s">
        <v>255</v>
      </c>
      <c r="H1" s="1" t="s">
        <v>257</v>
      </c>
      <c r="I1" s="1" t="s">
        <v>265</v>
      </c>
      <c r="J1" s="1" t="s">
        <v>263</v>
      </c>
      <c r="K1" s="1" t="s">
        <v>272</v>
      </c>
      <c r="L1" s="1" t="s">
        <v>269</v>
      </c>
      <c r="M1" s="1" t="s">
        <v>273</v>
      </c>
      <c r="N1" s="1" t="s">
        <v>274</v>
      </c>
      <c r="O1" s="49" t="s">
        <v>91</v>
      </c>
      <c r="P1" s="50" t="s">
        <v>80</v>
      </c>
      <c r="Q1" s="1" t="s">
        <v>92</v>
      </c>
    </row>
    <row r="2" spans="1:17" x14ac:dyDescent="0.35">
      <c r="A2" t="s">
        <v>54</v>
      </c>
      <c r="B2" t="s">
        <v>203</v>
      </c>
      <c r="C2" t="s">
        <v>206</v>
      </c>
      <c r="D2" s="8" t="s">
        <v>85</v>
      </c>
      <c r="E2" s="1">
        <v>3.9</v>
      </c>
      <c r="F2">
        <v>21.6</v>
      </c>
      <c r="G2">
        <v>20.6</v>
      </c>
      <c r="H2" t="s">
        <v>242</v>
      </c>
      <c r="J2">
        <v>21.1</v>
      </c>
      <c r="K2" s="17">
        <v>349.66699999999997</v>
      </c>
      <c r="L2">
        <v>617.9</v>
      </c>
      <c r="M2">
        <v>618</v>
      </c>
      <c r="N2">
        <f>(M2/1000)*P3</f>
        <v>6.4828200000000002</v>
      </c>
      <c r="O2" s="51" t="s">
        <v>71</v>
      </c>
      <c r="P2" s="52">
        <v>8.92</v>
      </c>
      <c r="Q2">
        <v>0.85</v>
      </c>
    </row>
    <row r="3" spans="1:17" x14ac:dyDescent="0.35">
      <c r="A3" t="s">
        <v>59</v>
      </c>
      <c r="B3" t="s">
        <v>203</v>
      </c>
      <c r="C3" t="s">
        <v>206</v>
      </c>
      <c r="D3" s="8" t="s">
        <v>83</v>
      </c>
      <c r="E3" s="1">
        <v>10.1</v>
      </c>
      <c r="F3">
        <v>16.7</v>
      </c>
      <c r="G3">
        <v>14.5</v>
      </c>
      <c r="H3" t="s">
        <v>115</v>
      </c>
      <c r="J3">
        <v>15.6</v>
      </c>
      <c r="K3" s="17">
        <v>191.1345</v>
      </c>
      <c r="L3">
        <v>600.5</v>
      </c>
      <c r="M3">
        <v>601</v>
      </c>
      <c r="O3" s="51" t="s">
        <v>55</v>
      </c>
      <c r="P3" s="52">
        <v>10.49</v>
      </c>
      <c r="Q3">
        <v>0.54</v>
      </c>
    </row>
    <row r="4" spans="1:17" x14ac:dyDescent="0.35">
      <c r="A4" t="s">
        <v>56</v>
      </c>
      <c r="B4" t="s">
        <v>203</v>
      </c>
      <c r="C4" t="s">
        <v>207</v>
      </c>
      <c r="D4" s="8" t="s">
        <v>86</v>
      </c>
      <c r="E4" s="1">
        <v>6.1</v>
      </c>
      <c r="F4">
        <v>22.5</v>
      </c>
      <c r="G4">
        <v>19.600000000000001</v>
      </c>
      <c r="H4" t="s">
        <v>242</v>
      </c>
      <c r="J4">
        <v>21.05</v>
      </c>
      <c r="K4" s="17">
        <v>348.012</v>
      </c>
      <c r="L4">
        <v>615</v>
      </c>
      <c r="M4">
        <v>615</v>
      </c>
      <c r="O4" s="53" t="s">
        <v>58</v>
      </c>
      <c r="P4" s="54">
        <v>19.3</v>
      </c>
    </row>
    <row r="5" spans="1:17" x14ac:dyDescent="0.35">
      <c r="A5" t="s">
        <v>57</v>
      </c>
      <c r="B5" t="s">
        <v>203</v>
      </c>
      <c r="C5" t="s">
        <v>206</v>
      </c>
      <c r="D5" s="8" t="s">
        <v>84</v>
      </c>
      <c r="E5" s="1">
        <v>8.3699999999999992</v>
      </c>
      <c r="F5">
        <v>18</v>
      </c>
      <c r="G5">
        <v>14.3</v>
      </c>
      <c r="H5" t="s">
        <v>242</v>
      </c>
      <c r="J5">
        <v>16.149999999999999</v>
      </c>
      <c r="K5" s="17">
        <v>204.84950000000001</v>
      </c>
      <c r="L5">
        <v>362</v>
      </c>
      <c r="M5">
        <v>362</v>
      </c>
    </row>
    <row r="6" spans="1:17" x14ac:dyDescent="0.35">
      <c r="A6" t="s">
        <v>60</v>
      </c>
      <c r="B6" t="s">
        <v>203</v>
      </c>
      <c r="C6" t="s">
        <v>207</v>
      </c>
      <c r="D6" s="9" t="s">
        <v>72</v>
      </c>
      <c r="E6" s="1">
        <v>202.5</v>
      </c>
      <c r="F6">
        <v>227.7</v>
      </c>
      <c r="G6">
        <v>37</v>
      </c>
      <c r="H6">
        <v>5.7</v>
      </c>
      <c r="L6">
        <v>48021.9</v>
      </c>
      <c r="M6">
        <v>48022</v>
      </c>
    </row>
    <row r="7" spans="1:17" x14ac:dyDescent="0.35">
      <c r="A7" t="s">
        <v>61</v>
      </c>
      <c r="B7" t="s">
        <v>203</v>
      </c>
      <c r="C7" t="s">
        <v>208</v>
      </c>
      <c r="D7" s="12" t="s">
        <v>73</v>
      </c>
      <c r="E7" s="1">
        <v>308.43</v>
      </c>
      <c r="F7" t="s">
        <v>264</v>
      </c>
      <c r="G7" t="s">
        <v>266</v>
      </c>
      <c r="H7">
        <v>29.4</v>
      </c>
      <c r="I7" t="s">
        <v>267</v>
      </c>
      <c r="J7">
        <v>18.649999999999999</v>
      </c>
      <c r="L7" t="s">
        <v>268</v>
      </c>
      <c r="M7">
        <v>117992</v>
      </c>
    </row>
    <row r="8" spans="1:17" ht="50.5" customHeight="1" x14ac:dyDescent="0.35">
      <c r="A8" s="5" t="s">
        <v>81</v>
      </c>
      <c r="B8" s="1" t="s">
        <v>62</v>
      </c>
      <c r="C8" s="1" t="s">
        <v>209</v>
      </c>
      <c r="D8" s="11" t="s">
        <v>260</v>
      </c>
      <c r="E8" s="1">
        <v>4.3899999999999997</v>
      </c>
      <c r="F8" t="s">
        <v>258</v>
      </c>
      <c r="H8" t="s">
        <v>262</v>
      </c>
      <c r="L8" t="s">
        <v>259</v>
      </c>
    </row>
    <row r="9" spans="1:17" x14ac:dyDescent="0.35">
      <c r="A9" t="s">
        <v>223</v>
      </c>
      <c r="B9" s="1" t="s">
        <v>62</v>
      </c>
      <c r="C9" s="1" t="s">
        <v>209</v>
      </c>
      <c r="D9" s="11" t="s">
        <v>5</v>
      </c>
      <c r="E9" s="1">
        <v>2.59</v>
      </c>
      <c r="F9">
        <v>47</v>
      </c>
      <c r="G9" s="2" t="s">
        <v>75</v>
      </c>
      <c r="L9" t="s">
        <v>225</v>
      </c>
    </row>
    <row r="10" spans="1:17" x14ac:dyDescent="0.35">
      <c r="A10" t="s">
        <v>82</v>
      </c>
      <c r="B10" s="1" t="s">
        <v>62</v>
      </c>
      <c r="C10" s="1" t="s">
        <v>209</v>
      </c>
      <c r="D10" s="11" t="s">
        <v>74</v>
      </c>
      <c r="E10" s="1">
        <v>2.1</v>
      </c>
      <c r="F10">
        <v>28</v>
      </c>
      <c r="G10" s="3" t="s">
        <v>75</v>
      </c>
      <c r="L10" t="s">
        <v>261</v>
      </c>
    </row>
    <row r="11" spans="1:17" x14ac:dyDescent="0.35">
      <c r="A11" t="s">
        <v>64</v>
      </c>
      <c r="B11" s="1" t="s">
        <v>63</v>
      </c>
      <c r="C11" s="1" t="s">
        <v>208</v>
      </c>
      <c r="D11" s="9" t="s">
        <v>76</v>
      </c>
      <c r="E11" s="1">
        <v>268.97000000000003</v>
      </c>
      <c r="F11">
        <v>235</v>
      </c>
      <c r="G11">
        <v>81.5</v>
      </c>
      <c r="H11" t="s">
        <v>270</v>
      </c>
      <c r="L11">
        <v>95763</v>
      </c>
      <c r="M11">
        <v>95763</v>
      </c>
    </row>
    <row r="12" spans="1:17" x14ac:dyDescent="0.35">
      <c r="A12" t="s">
        <v>65</v>
      </c>
      <c r="B12" s="1" t="s">
        <v>63</v>
      </c>
      <c r="C12" s="1" t="s">
        <v>208</v>
      </c>
      <c r="D12" s="9" t="s">
        <v>78</v>
      </c>
      <c r="E12" s="1">
        <v>205.25</v>
      </c>
      <c r="F12">
        <v>198</v>
      </c>
      <c r="G12">
        <v>77</v>
      </c>
      <c r="H12" t="s">
        <v>270</v>
      </c>
      <c r="L12">
        <v>76230</v>
      </c>
      <c r="M12">
        <v>76230</v>
      </c>
    </row>
    <row r="13" spans="1:17" ht="100.5" customHeight="1" x14ac:dyDescent="0.35">
      <c r="A13" s="5" t="s">
        <v>66</v>
      </c>
      <c r="B13" s="1" t="s">
        <v>63</v>
      </c>
      <c r="C13" s="1" t="s">
        <v>208</v>
      </c>
      <c r="D13" s="9" t="s">
        <v>79</v>
      </c>
      <c r="E13" s="1">
        <v>258</v>
      </c>
      <c r="F13">
        <v>255</v>
      </c>
      <c r="G13">
        <v>77</v>
      </c>
      <c r="H13" t="s">
        <v>270</v>
      </c>
      <c r="L13">
        <v>95762.5</v>
      </c>
      <c r="M13">
        <v>95762.5</v>
      </c>
    </row>
    <row r="14" spans="1:17" x14ac:dyDescent="0.35">
      <c r="A14" t="s">
        <v>67</v>
      </c>
      <c r="B14" s="1" t="s">
        <v>63</v>
      </c>
      <c r="C14" s="1" t="s">
        <v>208</v>
      </c>
      <c r="D14" s="9" t="s">
        <v>78</v>
      </c>
      <c r="E14" s="1">
        <v>162</v>
      </c>
      <c r="F14">
        <v>185</v>
      </c>
      <c r="G14">
        <v>58</v>
      </c>
      <c r="H14" t="s">
        <v>226</v>
      </c>
      <c r="L14">
        <f>185*58*2</f>
        <v>21460</v>
      </c>
      <c r="M14">
        <f>185*58*2</f>
        <v>21460</v>
      </c>
    </row>
    <row r="15" spans="1:17" x14ac:dyDescent="0.35">
      <c r="A15" t="s">
        <v>140</v>
      </c>
      <c r="B15" t="s">
        <v>204</v>
      </c>
      <c r="C15" t="s">
        <v>206</v>
      </c>
      <c r="E15" s="1">
        <v>4.79</v>
      </c>
      <c r="G15" t="s">
        <v>144</v>
      </c>
      <c r="H15" s="3" t="s">
        <v>135</v>
      </c>
      <c r="K15" t="s">
        <v>146</v>
      </c>
      <c r="L15" t="s">
        <v>141</v>
      </c>
      <c r="M15">
        <v>662.68</v>
      </c>
    </row>
    <row r="16" spans="1:17" x14ac:dyDescent="0.35">
      <c r="A16" t="s">
        <v>150</v>
      </c>
      <c r="B16" t="s">
        <v>204</v>
      </c>
      <c r="C16" t="s">
        <v>206</v>
      </c>
      <c r="E16" s="1">
        <v>1.75</v>
      </c>
      <c r="G16" t="s">
        <v>142</v>
      </c>
      <c r="H16" t="s">
        <v>136</v>
      </c>
      <c r="K16" t="s">
        <v>145</v>
      </c>
      <c r="L16" t="s">
        <v>147</v>
      </c>
      <c r="M16">
        <v>158.75</v>
      </c>
    </row>
    <row r="17" spans="1:13" x14ac:dyDescent="0.35">
      <c r="A17" t="s">
        <v>105</v>
      </c>
      <c r="B17" t="s">
        <v>204</v>
      </c>
      <c r="C17" t="s">
        <v>206</v>
      </c>
      <c r="E17" s="1">
        <v>21.15</v>
      </c>
      <c r="G17" t="s">
        <v>143</v>
      </c>
      <c r="H17" s="2" t="s">
        <v>137</v>
      </c>
      <c r="K17">
        <v>271.75</v>
      </c>
      <c r="L17" t="s">
        <v>148</v>
      </c>
      <c r="M17">
        <v>1920.89</v>
      </c>
    </row>
    <row r="18" spans="1:13" x14ac:dyDescent="0.35">
      <c r="A18" t="s">
        <v>106</v>
      </c>
      <c r="B18" t="s">
        <v>204</v>
      </c>
      <c r="C18" t="s">
        <v>207</v>
      </c>
      <c r="E18" s="1">
        <v>0.41</v>
      </c>
      <c r="F18">
        <v>12</v>
      </c>
      <c r="G18" t="s">
        <v>138</v>
      </c>
      <c r="H18">
        <v>1</v>
      </c>
      <c r="K18">
        <v>20</v>
      </c>
      <c r="L18">
        <f>K18*H18*F18</f>
        <v>240</v>
      </c>
      <c r="M18">
        <v>240</v>
      </c>
    </row>
    <row r="19" spans="1:13" x14ac:dyDescent="0.35">
      <c r="A19" t="s">
        <v>104</v>
      </c>
      <c r="B19" t="s">
        <v>204</v>
      </c>
      <c r="C19" t="s">
        <v>207</v>
      </c>
      <c r="E19" s="1">
        <v>1.03</v>
      </c>
      <c r="F19">
        <v>12</v>
      </c>
      <c r="G19" t="s">
        <v>139</v>
      </c>
      <c r="H19">
        <v>1</v>
      </c>
      <c r="K19">
        <v>23</v>
      </c>
      <c r="L19">
        <f>K19*H19*F19</f>
        <v>276</v>
      </c>
      <c r="M19">
        <v>276</v>
      </c>
    </row>
    <row r="32" spans="1:13" x14ac:dyDescent="0.35">
      <c r="A32" s="1" t="s">
        <v>70</v>
      </c>
    </row>
    <row r="33" spans="1:5" x14ac:dyDescent="0.35">
      <c r="A33" s="1" t="s">
        <v>219</v>
      </c>
      <c r="B33" s="1" t="s">
        <v>68</v>
      </c>
      <c r="C33" s="1"/>
      <c r="D33" s="1" t="s">
        <v>69</v>
      </c>
    </row>
    <row r="34" spans="1:5" x14ac:dyDescent="0.35">
      <c r="A34" s="6">
        <v>18.5</v>
      </c>
      <c r="B34">
        <v>5.8</v>
      </c>
      <c r="D34">
        <v>162</v>
      </c>
      <c r="E34">
        <f>A34*B34</f>
        <v>107.3</v>
      </c>
    </row>
    <row r="35" spans="1:5" x14ac:dyDescent="0.35">
      <c r="A35" s="6">
        <v>23.5</v>
      </c>
      <c r="B35">
        <v>8.15</v>
      </c>
      <c r="D35">
        <v>269</v>
      </c>
      <c r="E35">
        <f>A35*B35</f>
        <v>191.52500000000001</v>
      </c>
    </row>
    <row r="36" spans="1:5" x14ac:dyDescent="0.35">
      <c r="A36" s="6">
        <v>19.8</v>
      </c>
      <c r="B36">
        <v>7.7</v>
      </c>
      <c r="D36">
        <v>205</v>
      </c>
      <c r="E36">
        <f>A36*B36</f>
        <v>152.46</v>
      </c>
    </row>
    <row r="37" spans="1:5" x14ac:dyDescent="0.35">
      <c r="A37" s="1">
        <v>5.2</v>
      </c>
      <c r="B37">
        <v>1.8</v>
      </c>
      <c r="E37">
        <f>A37*B37</f>
        <v>9.3600000000000012</v>
      </c>
    </row>
    <row r="38" spans="1:5" x14ac:dyDescent="0.35">
      <c r="A38" s="7">
        <f>5.8/18.5</f>
        <v>0.31351351351351353</v>
      </c>
      <c r="B38" t="s">
        <v>220</v>
      </c>
    </row>
    <row r="39" spans="1:5" x14ac:dyDescent="0.35">
      <c r="A39" s="7">
        <f>8.15/23.5</f>
        <v>0.34680851063829787</v>
      </c>
      <c r="B39" t="s">
        <v>220</v>
      </c>
    </row>
    <row r="40" spans="1:5" x14ac:dyDescent="0.35">
      <c r="A40" s="7">
        <f>7.7/19.8</f>
        <v>0.3888888888888889</v>
      </c>
      <c r="B40" t="s">
        <v>220</v>
      </c>
    </row>
    <row r="41" spans="1:5" x14ac:dyDescent="0.35">
      <c r="A41" s="7">
        <f>AVERAGE(A38:A40)</f>
        <v>0.34973697101356677</v>
      </c>
      <c r="B41" t="s">
        <v>221</v>
      </c>
    </row>
    <row r="42" spans="1:5" x14ac:dyDescent="0.35">
      <c r="A42" s="1">
        <f>1.8/5.2</f>
        <v>0.34615384615384615</v>
      </c>
      <c r="B42" t="s">
        <v>222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Moravia_CW_metals</vt:lpstr>
      <vt:lpstr>complex objects measurements</vt:lpstr>
      <vt:lpstr>Metal parallels</vt:lpstr>
    </vt:vector>
  </TitlesOfParts>
  <Company>SUND - KU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Johansen Nørtoft</dc:creator>
  <cp:lastModifiedBy>Mikkel Johansen Nørtoft</cp:lastModifiedBy>
  <dcterms:created xsi:type="dcterms:W3CDTF">2021-05-07T12:01:27Z</dcterms:created>
  <dcterms:modified xsi:type="dcterms:W3CDTF">2022-08-10T12:38:38Z</dcterms:modified>
</cp:coreProperties>
</file>