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01"/>
  <workbookPr filterPrivacy="1"/>
  <xr:revisionPtr revIDLastSave="0" documentId="13_ncr:1_{84BAEB64-3C22-4ECB-A0A9-B0B3DE8F1074}" xr6:coauthVersionLast="38" xr6:coauthVersionMax="38" xr10:uidLastSave="{00000000-0000-0000-0000-000000000000}"/>
  <bookViews>
    <workbookView xWindow="0" yWindow="0" windowWidth="22260" windowHeight="12648" tabRatio="912" activeTab="3" xr2:uid="{00000000-000D-0000-FFFF-FFFF00000000}"/>
  </bookViews>
  <sheets>
    <sheet name="Carátula" sheetId="4" r:id="rId1"/>
    <sheet name="Índice" sheetId="5" r:id="rId2"/>
    <sheet name="Hipótesis" sheetId="2" r:id="rId3"/>
    <sheet name="Proyección de ventas" sheetId="3" r:id="rId4"/>
    <sheet name="Modelo de ingresos" sheetId="6" r:id="rId5"/>
    <sheet name="Estructura de costos fijos" sheetId="7" r:id="rId6"/>
    <sheet name="Estructura de costos variables" sheetId="8" r:id="rId7"/>
    <sheet name="Estructura de costos RRHH" sheetId="9" r:id="rId8"/>
    <sheet name="Modelo de egresos" sheetId="10" r:id="rId9"/>
    <sheet name="Modelo de inversión" sheetId="11" r:id="rId10"/>
    <sheet name="Amortizaciones" sheetId="12" r:id="rId11"/>
    <sheet name="Presupuesto financiero" sheetId="13" r:id="rId12"/>
    <sheet name="Matriz de riesgos" sheetId="14" r:id="rId13"/>
    <sheet name="Escenario #1" sheetId="15" r:id="rId14"/>
    <sheet name="Escenario #2" sheetId="19" r:id="rId15"/>
    <sheet name="Escenario #3" sheetId="20" r:id="rId16"/>
    <sheet name="Contingencia #1" sheetId="16" r:id="rId17"/>
    <sheet name="Contingencia #2" sheetId="17" r:id="rId18"/>
    <sheet name="Contingencia #3" sheetId="18" r:id="rId19"/>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2" i="18" l="1"/>
  <c r="H23" i="18"/>
  <c r="H24" i="18"/>
  <c r="H22" i="18"/>
  <c r="M17" i="18"/>
  <c r="M16" i="18"/>
  <c r="M12" i="18"/>
  <c r="M13" i="18"/>
  <c r="M11" i="18"/>
  <c r="L19" i="18"/>
  <c r="M19" i="18"/>
  <c r="L16" i="18"/>
  <c r="L13" i="18"/>
  <c r="L11" i="18"/>
  <c r="M10" i="18"/>
  <c r="L10" i="18"/>
  <c r="K19" i="18"/>
  <c r="K13" i="18"/>
  <c r="K11" i="18"/>
  <c r="K10" i="18"/>
  <c r="J20" i="18"/>
  <c r="J19" i="18"/>
  <c r="H11" i="18"/>
  <c r="I12" i="18"/>
  <c r="I13" i="18"/>
  <c r="H15" i="18"/>
  <c r="H16" i="18"/>
  <c r="H17" i="18"/>
  <c r="H18" i="18"/>
  <c r="H19" i="18"/>
  <c r="H20" i="18"/>
  <c r="H10" i="18"/>
  <c r="H9" i="18"/>
  <c r="J9" i="18"/>
  <c r="K9" i="18"/>
  <c r="L9" i="18"/>
  <c r="M9" i="18"/>
  <c r="A23" i="18"/>
  <c r="B23" i="18"/>
  <c r="A24" i="18"/>
  <c r="B24" i="18"/>
  <c r="B22" i="18"/>
  <c r="A22" i="18"/>
  <c r="A10" i="18"/>
  <c r="D10" i="18"/>
  <c r="E10" i="18"/>
  <c r="F10" i="18"/>
  <c r="A11" i="18"/>
  <c r="B11" i="18"/>
  <c r="D11" i="18"/>
  <c r="E11" i="18"/>
  <c r="F11" i="18"/>
  <c r="B12" i="18"/>
  <c r="D12" i="18"/>
  <c r="E12" i="18"/>
  <c r="F12" i="18"/>
  <c r="B13" i="18"/>
  <c r="D13" i="18"/>
  <c r="E13" i="18"/>
  <c r="F13" i="18"/>
  <c r="D14" i="18"/>
  <c r="E14" i="18"/>
  <c r="F14" i="18"/>
  <c r="A15" i="18"/>
  <c r="D15" i="18"/>
  <c r="E15" i="18"/>
  <c r="F15" i="18"/>
  <c r="A16" i="18"/>
  <c r="E16" i="18"/>
  <c r="F16" i="18"/>
  <c r="A17" i="18"/>
  <c r="F17" i="18"/>
  <c r="A18" i="18"/>
  <c r="D18" i="18"/>
  <c r="E18" i="18"/>
  <c r="F18" i="18"/>
  <c r="A19" i="18"/>
  <c r="C19" i="18"/>
  <c r="D19" i="18"/>
  <c r="E19" i="18"/>
  <c r="F19" i="18"/>
  <c r="A20" i="18"/>
  <c r="C20" i="18"/>
  <c r="D20" i="18"/>
  <c r="E20" i="18"/>
  <c r="F20" i="18"/>
  <c r="C9" i="18"/>
  <c r="D9" i="18"/>
  <c r="E9" i="18"/>
  <c r="F9" i="18"/>
  <c r="A9" i="18"/>
  <c r="B7" i="18"/>
  <c r="B6" i="18"/>
  <c r="B5" i="18"/>
  <c r="B4" i="18"/>
  <c r="M19" i="17"/>
  <c r="L19" i="17"/>
  <c r="K19" i="17"/>
  <c r="J19" i="17"/>
  <c r="M13" i="17"/>
  <c r="M11" i="17"/>
  <c r="L13" i="17"/>
  <c r="L11" i="17"/>
  <c r="K13" i="17"/>
  <c r="K12" i="17"/>
  <c r="K11" i="17"/>
  <c r="J10" i="17"/>
  <c r="K10" i="17"/>
  <c r="J9" i="17"/>
  <c r="K9" i="17"/>
  <c r="L9" i="17"/>
  <c r="M9" i="17"/>
  <c r="H9" i="17"/>
  <c r="I11" i="17"/>
  <c r="I12" i="17"/>
  <c r="I13" i="17"/>
  <c r="J20" i="17"/>
  <c r="H11" i="17"/>
  <c r="H15" i="17"/>
  <c r="H16" i="17"/>
  <c r="H17" i="17"/>
  <c r="H18" i="17"/>
  <c r="H19" i="17"/>
  <c r="H20" i="17"/>
  <c r="H10" i="17"/>
  <c r="B23" i="17"/>
  <c r="B24" i="17"/>
  <c r="B22" i="17"/>
  <c r="A10" i="17"/>
  <c r="D10" i="17"/>
  <c r="E10" i="17"/>
  <c r="F10" i="17"/>
  <c r="A11" i="17"/>
  <c r="B11" i="17"/>
  <c r="D11" i="17"/>
  <c r="E11" i="17"/>
  <c r="F11" i="17"/>
  <c r="B12" i="17"/>
  <c r="D12" i="17"/>
  <c r="E12" i="17"/>
  <c r="F12" i="17"/>
  <c r="B13" i="17"/>
  <c r="D13" i="17"/>
  <c r="E13" i="17"/>
  <c r="F13" i="17"/>
  <c r="D14" i="17"/>
  <c r="E14" i="17"/>
  <c r="F14" i="17"/>
  <c r="A15" i="17"/>
  <c r="D15" i="17"/>
  <c r="E15" i="17"/>
  <c r="F15" i="17"/>
  <c r="A16" i="17"/>
  <c r="D16" i="17"/>
  <c r="E16" i="17"/>
  <c r="F16" i="17"/>
  <c r="A17" i="17"/>
  <c r="D17" i="17"/>
  <c r="E17" i="17"/>
  <c r="F17" i="17"/>
  <c r="A18" i="17"/>
  <c r="D18" i="17"/>
  <c r="E18" i="17"/>
  <c r="F18" i="17"/>
  <c r="A19" i="17"/>
  <c r="C19" i="17"/>
  <c r="D19" i="17"/>
  <c r="E19" i="17"/>
  <c r="F19" i="17"/>
  <c r="A20" i="17"/>
  <c r="C20" i="17"/>
  <c r="D20" i="17"/>
  <c r="E20" i="17"/>
  <c r="F20" i="17"/>
  <c r="C9" i="17"/>
  <c r="D9" i="17"/>
  <c r="E9" i="17"/>
  <c r="F9" i="17"/>
  <c r="A9" i="17"/>
  <c r="B7" i="17"/>
  <c r="B6" i="17"/>
  <c r="B5" i="17"/>
  <c r="B4" i="17"/>
  <c r="J14" i="14"/>
  <c r="K14" i="17" l="1"/>
  <c r="K15" i="17" s="1"/>
  <c r="K18" i="17" s="1"/>
  <c r="K20" i="17" s="1"/>
  <c r="I9" i="19"/>
  <c r="H10" i="19"/>
  <c r="H11" i="19"/>
  <c r="H9" i="19"/>
  <c r="H9" i="20"/>
  <c r="H10" i="20"/>
  <c r="H8" i="20"/>
  <c r="I8" i="20"/>
  <c r="I9" i="20" s="1"/>
  <c r="A19" i="20"/>
  <c r="F18" i="20"/>
  <c r="E18" i="20"/>
  <c r="D18" i="20"/>
  <c r="C18" i="20"/>
  <c r="C19" i="20" s="1"/>
  <c r="A18" i="20"/>
  <c r="A17" i="20"/>
  <c r="A16" i="20"/>
  <c r="A15" i="20"/>
  <c r="A14" i="20"/>
  <c r="D13" i="20"/>
  <c r="F12" i="20"/>
  <c r="E12" i="20"/>
  <c r="D12" i="20"/>
  <c r="B12" i="20"/>
  <c r="F11" i="20"/>
  <c r="E11" i="20"/>
  <c r="D11" i="20"/>
  <c r="B11" i="20"/>
  <c r="F10" i="20"/>
  <c r="F13" i="20" s="1"/>
  <c r="E10" i="20"/>
  <c r="E13" i="20" s="1"/>
  <c r="D10" i="20"/>
  <c r="B10" i="20"/>
  <c r="A10" i="20"/>
  <c r="F9" i="20"/>
  <c r="E9" i="20"/>
  <c r="D9" i="20"/>
  <c r="D14" i="20" s="1"/>
  <c r="D17" i="20" s="1"/>
  <c r="D19" i="20" s="1"/>
  <c r="A9" i="20"/>
  <c r="F8" i="20"/>
  <c r="E8" i="20"/>
  <c r="D8" i="20"/>
  <c r="C8" i="20"/>
  <c r="A8" i="20"/>
  <c r="B6" i="20"/>
  <c r="B5" i="20"/>
  <c r="B4" i="20"/>
  <c r="B3" i="20"/>
  <c r="A20" i="19"/>
  <c r="F19" i="19"/>
  <c r="E19" i="19"/>
  <c r="D19" i="19"/>
  <c r="C19" i="19"/>
  <c r="C20" i="19" s="1"/>
  <c r="A19" i="19"/>
  <c r="A18" i="19"/>
  <c r="A17" i="19"/>
  <c r="F16" i="19"/>
  <c r="E16" i="19"/>
  <c r="A16" i="19"/>
  <c r="A15" i="19"/>
  <c r="F13" i="19"/>
  <c r="E13" i="19"/>
  <c r="D13" i="19"/>
  <c r="B13" i="19"/>
  <c r="F12" i="19"/>
  <c r="E12" i="19"/>
  <c r="D12" i="19"/>
  <c r="B12" i="19"/>
  <c r="F11" i="19"/>
  <c r="F14" i="19" s="1"/>
  <c r="E11" i="19"/>
  <c r="E14" i="19" s="1"/>
  <c r="D11" i="19"/>
  <c r="B11" i="19"/>
  <c r="A11" i="19"/>
  <c r="F10" i="19"/>
  <c r="E10" i="19"/>
  <c r="D10" i="19"/>
  <c r="A10" i="19"/>
  <c r="F9" i="19"/>
  <c r="E9" i="19"/>
  <c r="D9" i="19"/>
  <c r="C9" i="19"/>
  <c r="A9" i="19"/>
  <c r="B7" i="19"/>
  <c r="B6" i="19"/>
  <c r="B5" i="19"/>
  <c r="B4" i="19"/>
  <c r="E14" i="20" l="1"/>
  <c r="F14" i="20"/>
  <c r="E15" i="20"/>
  <c r="F15" i="20"/>
  <c r="F15" i="19"/>
  <c r="D14" i="19"/>
  <c r="D15" i="19" s="1"/>
  <c r="E17" i="20"/>
  <c r="E19" i="20" s="1"/>
  <c r="F16" i="20"/>
  <c r="F17" i="20" s="1"/>
  <c r="F19" i="20" s="1"/>
  <c r="I10" i="20" s="1"/>
  <c r="E15" i="19"/>
  <c r="C35" i="16"/>
  <c r="C36" i="16"/>
  <c r="A48" i="16"/>
  <c r="B48" i="16"/>
  <c r="C48" i="16"/>
  <c r="D48" i="16"/>
  <c r="E48" i="16"/>
  <c r="F48" i="16"/>
  <c r="G48" i="16"/>
  <c r="H48" i="16"/>
  <c r="I48" i="16"/>
  <c r="J48" i="16"/>
  <c r="K48" i="16"/>
  <c r="L48" i="16"/>
  <c r="M48" i="16"/>
  <c r="A49" i="16"/>
  <c r="B49" i="16"/>
  <c r="C49" i="16"/>
  <c r="D49" i="16"/>
  <c r="F49" i="16"/>
  <c r="G49" i="16"/>
  <c r="H49" i="16"/>
  <c r="J49" i="16"/>
  <c r="K49" i="16"/>
  <c r="L49" i="16"/>
  <c r="A50" i="16"/>
  <c r="B50" i="16"/>
  <c r="C50" i="16"/>
  <c r="D50" i="16"/>
  <c r="K50" i="16"/>
  <c r="L50" i="16"/>
  <c r="M50" i="16"/>
  <c r="A51" i="16"/>
  <c r="B51" i="16"/>
  <c r="C51" i="16"/>
  <c r="D51" i="16"/>
  <c r="E51" i="16"/>
  <c r="F51" i="16"/>
  <c r="G51" i="16"/>
  <c r="H51" i="16"/>
  <c r="I51" i="16"/>
  <c r="J51" i="16"/>
  <c r="K51" i="16"/>
  <c r="L51" i="16"/>
  <c r="A52" i="16"/>
  <c r="B52" i="16"/>
  <c r="C52" i="16"/>
  <c r="D52" i="16"/>
  <c r="E52" i="16"/>
  <c r="F52" i="16"/>
  <c r="G52" i="16"/>
  <c r="H52" i="16"/>
  <c r="I52" i="16"/>
  <c r="J52" i="16"/>
  <c r="K52" i="16"/>
  <c r="L52" i="16"/>
  <c r="B47" i="16"/>
  <c r="C47" i="16"/>
  <c r="D47" i="16"/>
  <c r="E47" i="16"/>
  <c r="F47" i="16"/>
  <c r="G47" i="16"/>
  <c r="H47" i="16"/>
  <c r="I47" i="16"/>
  <c r="J47" i="16"/>
  <c r="K47" i="16"/>
  <c r="L47" i="16"/>
  <c r="M47" i="16"/>
  <c r="A47" i="16"/>
  <c r="E17" i="19" l="1"/>
  <c r="E18" i="19" s="1"/>
  <c r="E20" i="19" s="1"/>
  <c r="D18" i="19"/>
  <c r="D20" i="19" s="1"/>
  <c r="F17" i="19"/>
  <c r="F18" i="19" s="1"/>
  <c r="F20" i="19" s="1"/>
  <c r="A46" i="18"/>
  <c r="B46" i="18"/>
  <c r="C46" i="18"/>
  <c r="D46" i="18"/>
  <c r="E46" i="18"/>
  <c r="F46" i="18"/>
  <c r="G46" i="18"/>
  <c r="H46" i="18"/>
  <c r="I46" i="18"/>
  <c r="J46" i="18"/>
  <c r="K46" i="18"/>
  <c r="L46" i="18"/>
  <c r="A42" i="18"/>
  <c r="B42" i="18"/>
  <c r="C42" i="18"/>
  <c r="D42" i="18"/>
  <c r="E42" i="18"/>
  <c r="F42" i="18"/>
  <c r="G42" i="18"/>
  <c r="H42" i="18"/>
  <c r="I42" i="18"/>
  <c r="J42" i="18"/>
  <c r="K42" i="18"/>
  <c r="L42" i="18"/>
  <c r="M42" i="18"/>
  <c r="A43" i="18"/>
  <c r="B43" i="18"/>
  <c r="C43" i="18"/>
  <c r="D43" i="18"/>
  <c r="F43" i="18"/>
  <c r="G43" i="18"/>
  <c r="H43" i="18"/>
  <c r="J43" i="18"/>
  <c r="K43" i="18"/>
  <c r="L43" i="18"/>
  <c r="A44" i="18"/>
  <c r="B44" i="18"/>
  <c r="C44" i="18"/>
  <c r="D44" i="18"/>
  <c r="K44" i="18"/>
  <c r="L44" i="18"/>
  <c r="M44" i="18"/>
  <c r="A45" i="18"/>
  <c r="B45" i="18"/>
  <c r="C45" i="18"/>
  <c r="D45" i="18"/>
  <c r="E45" i="18"/>
  <c r="F45" i="18"/>
  <c r="G45" i="18"/>
  <c r="H45" i="18"/>
  <c r="I45" i="18"/>
  <c r="J45" i="18"/>
  <c r="K45" i="18"/>
  <c r="L45" i="18"/>
  <c r="B41" i="18"/>
  <c r="C41" i="18"/>
  <c r="D41" i="18"/>
  <c r="E41" i="18"/>
  <c r="F41" i="18"/>
  <c r="G41" i="18"/>
  <c r="H41" i="18"/>
  <c r="I41" i="18"/>
  <c r="J41" i="18"/>
  <c r="K41" i="18"/>
  <c r="L41" i="18"/>
  <c r="M41" i="18"/>
  <c r="A41" i="18"/>
  <c r="B35" i="18"/>
  <c r="C35" i="18"/>
  <c r="D35" i="18"/>
  <c r="A34" i="18"/>
  <c r="B34" i="18"/>
  <c r="C34" i="18"/>
  <c r="D34" i="18"/>
  <c r="E34" i="18"/>
  <c r="F34" i="18"/>
  <c r="G34" i="18"/>
  <c r="H34" i="18"/>
  <c r="I34" i="18"/>
  <c r="J34" i="18"/>
  <c r="K34" i="18"/>
  <c r="L34" i="18"/>
  <c r="M34" i="18"/>
  <c r="A35" i="18"/>
  <c r="A36" i="18"/>
  <c r="B36" i="18"/>
  <c r="C36" i="18"/>
  <c r="D36" i="18"/>
  <c r="K36" i="18"/>
  <c r="L36" i="18"/>
  <c r="M36" i="18"/>
  <c r="A37" i="18"/>
  <c r="B37" i="18"/>
  <c r="C37" i="18"/>
  <c r="D37" i="18"/>
  <c r="E37" i="18"/>
  <c r="F37" i="18"/>
  <c r="G37" i="18"/>
  <c r="H37" i="18"/>
  <c r="I37" i="18"/>
  <c r="J37" i="18"/>
  <c r="K37" i="18"/>
  <c r="L37" i="18"/>
  <c r="A38" i="18"/>
  <c r="B38" i="18"/>
  <c r="C38" i="18"/>
  <c r="D38" i="18"/>
  <c r="E38" i="18"/>
  <c r="F38" i="18"/>
  <c r="G38" i="18"/>
  <c r="H38" i="18"/>
  <c r="I38" i="18"/>
  <c r="J38" i="18"/>
  <c r="K38" i="18"/>
  <c r="L38" i="18"/>
  <c r="B33" i="18"/>
  <c r="C33" i="18"/>
  <c r="D33" i="18"/>
  <c r="E33" i="18"/>
  <c r="F33" i="18"/>
  <c r="G33" i="18"/>
  <c r="H33" i="18"/>
  <c r="I33" i="18"/>
  <c r="J33" i="18"/>
  <c r="K33" i="18"/>
  <c r="L33" i="18"/>
  <c r="M33" i="18"/>
  <c r="A33" i="18"/>
  <c r="C5" i="18"/>
  <c r="D5" i="18"/>
  <c r="E5" i="18"/>
  <c r="F5" i="18"/>
  <c r="B4" i="16"/>
  <c r="B5" i="16"/>
  <c r="B6" i="16"/>
  <c r="B4" i="15"/>
  <c r="B5" i="15"/>
  <c r="B6" i="15"/>
  <c r="I11" i="19" l="1"/>
  <c r="I10" i="19"/>
  <c r="K64" i="17"/>
  <c r="L64" i="17"/>
  <c r="M64" i="17"/>
  <c r="F63" i="17"/>
  <c r="G63" i="17"/>
  <c r="H63" i="17"/>
  <c r="J63" i="17"/>
  <c r="K63" i="17"/>
  <c r="L63" i="17"/>
  <c r="B61" i="17"/>
  <c r="C61" i="17"/>
  <c r="D61" i="17"/>
  <c r="E61" i="17"/>
  <c r="F61" i="17"/>
  <c r="G61" i="17"/>
  <c r="H61" i="17"/>
  <c r="I61" i="17"/>
  <c r="J61" i="17"/>
  <c r="K61" i="17"/>
  <c r="L61" i="17"/>
  <c r="M61" i="17"/>
  <c r="B62" i="17"/>
  <c r="C62" i="17"/>
  <c r="D62" i="17"/>
  <c r="E62" i="17"/>
  <c r="F62" i="17"/>
  <c r="G62" i="17"/>
  <c r="H62" i="17"/>
  <c r="I62" i="17"/>
  <c r="J62" i="17"/>
  <c r="K62" i="17"/>
  <c r="L62" i="17"/>
  <c r="M62" i="17"/>
  <c r="B63" i="17"/>
  <c r="C63" i="17"/>
  <c r="D63" i="17"/>
  <c r="B64" i="17"/>
  <c r="C64" i="17"/>
  <c r="D64" i="17"/>
  <c r="B65" i="17"/>
  <c r="C65" i="17"/>
  <c r="D65" i="17"/>
  <c r="E65" i="17"/>
  <c r="F65" i="17"/>
  <c r="G65" i="17"/>
  <c r="H65" i="17"/>
  <c r="I65" i="17"/>
  <c r="J65" i="17"/>
  <c r="K65" i="17"/>
  <c r="L65" i="17"/>
  <c r="B66" i="17"/>
  <c r="C66" i="17"/>
  <c r="D66" i="17"/>
  <c r="E66" i="17"/>
  <c r="F66" i="17"/>
  <c r="G66" i="17"/>
  <c r="H66" i="17"/>
  <c r="I66" i="17"/>
  <c r="J66" i="17"/>
  <c r="K66" i="17"/>
  <c r="L66" i="17"/>
  <c r="A66" i="17"/>
  <c r="A62" i="17"/>
  <c r="A63" i="17"/>
  <c r="A64" i="17"/>
  <c r="A65" i="17"/>
  <c r="A61" i="17"/>
  <c r="F55" i="17"/>
  <c r="G55" i="17"/>
  <c r="H55" i="17"/>
  <c r="J55" i="17"/>
  <c r="K55" i="17"/>
  <c r="L55" i="17"/>
  <c r="M53" i="17"/>
  <c r="M54" i="17"/>
  <c r="M56" i="17"/>
  <c r="B53" i="17"/>
  <c r="C53" i="17"/>
  <c r="D53" i="17"/>
  <c r="E53" i="17"/>
  <c r="F53" i="17"/>
  <c r="G53" i="17"/>
  <c r="H53" i="17"/>
  <c r="I53" i="17"/>
  <c r="J53" i="17"/>
  <c r="K53" i="17"/>
  <c r="L53" i="17"/>
  <c r="B54" i="17"/>
  <c r="C54" i="17"/>
  <c r="D54" i="17"/>
  <c r="E54" i="17"/>
  <c r="F54" i="17"/>
  <c r="G54" i="17"/>
  <c r="H54" i="17"/>
  <c r="I54" i="17"/>
  <c r="J54" i="17"/>
  <c r="K54" i="17"/>
  <c r="L54" i="17"/>
  <c r="B55" i="17"/>
  <c r="C55" i="17"/>
  <c r="D55" i="17"/>
  <c r="B56" i="17"/>
  <c r="C56" i="17"/>
  <c r="D56" i="17"/>
  <c r="K56" i="17"/>
  <c r="L56" i="17"/>
  <c r="B57" i="17"/>
  <c r="C57" i="17"/>
  <c r="D57" i="17"/>
  <c r="E57" i="17"/>
  <c r="F57" i="17"/>
  <c r="G57" i="17"/>
  <c r="H57" i="17"/>
  <c r="I57" i="17"/>
  <c r="J57" i="17"/>
  <c r="K57" i="17"/>
  <c r="L57" i="17"/>
  <c r="B58" i="17"/>
  <c r="C58" i="17"/>
  <c r="D58" i="17"/>
  <c r="E58" i="17"/>
  <c r="F58" i="17"/>
  <c r="G58" i="17"/>
  <c r="H58" i="17"/>
  <c r="I58" i="17"/>
  <c r="J58" i="17"/>
  <c r="K58" i="17"/>
  <c r="L58" i="17"/>
  <c r="A54" i="17"/>
  <c r="A55" i="17"/>
  <c r="A56" i="17"/>
  <c r="A57" i="17"/>
  <c r="A58" i="17"/>
  <c r="A53" i="17"/>
  <c r="E33" i="17"/>
  <c r="C33" i="17"/>
  <c r="B61" i="3"/>
  <c r="B44" i="3"/>
  <c r="A46" i="17"/>
  <c r="C46" i="17"/>
  <c r="D46" i="17"/>
  <c r="E46" i="17"/>
  <c r="F46" i="17"/>
  <c r="G46" i="17"/>
  <c r="H46" i="17"/>
  <c r="I46" i="17"/>
  <c r="J46" i="17"/>
  <c r="K46" i="17"/>
  <c r="L46" i="17"/>
  <c r="M46" i="17"/>
  <c r="N46" i="17"/>
  <c r="O46" i="17"/>
  <c r="P46" i="17"/>
  <c r="Q46" i="17"/>
  <c r="R46" i="17"/>
  <c r="S46" i="17"/>
  <c r="T46" i="17"/>
  <c r="U46" i="17"/>
  <c r="V46" i="17"/>
  <c r="W46" i="17"/>
  <c r="X46" i="17"/>
  <c r="Y46" i="17"/>
  <c r="Z46" i="17"/>
  <c r="AA46" i="17"/>
  <c r="AB46" i="17"/>
  <c r="AC46" i="17"/>
  <c r="AD46" i="17"/>
  <c r="AE46" i="17"/>
  <c r="AF46" i="17"/>
  <c r="AG46" i="17"/>
  <c r="AH46" i="17"/>
  <c r="AI46" i="17"/>
  <c r="AJ46" i="17"/>
  <c r="AK46" i="17"/>
  <c r="AL46" i="17"/>
  <c r="A50" i="17"/>
  <c r="C45" i="17"/>
  <c r="D45" i="17"/>
  <c r="E45" i="17"/>
  <c r="F45" i="17"/>
  <c r="G45" i="17"/>
  <c r="H45" i="17"/>
  <c r="I45" i="17"/>
  <c r="J45" i="17"/>
  <c r="K45" i="17"/>
  <c r="L45" i="17"/>
  <c r="M45" i="17"/>
  <c r="N45" i="17"/>
  <c r="O45" i="17"/>
  <c r="P45" i="17"/>
  <c r="Q45" i="17"/>
  <c r="R45" i="17"/>
  <c r="S45" i="17"/>
  <c r="T45" i="17"/>
  <c r="U45" i="17"/>
  <c r="V45" i="17"/>
  <c r="W45" i="17"/>
  <c r="X45" i="17"/>
  <c r="Y45" i="17"/>
  <c r="Z45" i="17"/>
  <c r="AA45" i="17"/>
  <c r="AB45" i="17"/>
  <c r="AC45" i="17"/>
  <c r="AD45" i="17"/>
  <c r="AE45" i="17"/>
  <c r="AF45" i="17"/>
  <c r="AG45" i="17"/>
  <c r="AH45" i="17"/>
  <c r="AI45" i="17"/>
  <c r="AJ45" i="17"/>
  <c r="AK45" i="17"/>
  <c r="AL45" i="17"/>
  <c r="E34" i="17"/>
  <c r="C34" i="17"/>
  <c r="B33" i="17"/>
  <c r="C37" i="17"/>
  <c r="D37" i="17"/>
  <c r="E37" i="17"/>
  <c r="F37" i="17"/>
  <c r="G37" i="17"/>
  <c r="H37" i="17"/>
  <c r="I37" i="17"/>
  <c r="J37" i="17"/>
  <c r="K37" i="17"/>
  <c r="L37" i="17"/>
  <c r="M37" i="17"/>
  <c r="N37" i="17"/>
  <c r="O37" i="17"/>
  <c r="P37" i="17"/>
  <c r="Q37" i="17"/>
  <c r="R37" i="17"/>
  <c r="S37" i="17"/>
  <c r="T37" i="17"/>
  <c r="U37" i="17"/>
  <c r="V37" i="17"/>
  <c r="W37" i="17"/>
  <c r="X37" i="17"/>
  <c r="Y37" i="17"/>
  <c r="Z37" i="17"/>
  <c r="AA37" i="17"/>
  <c r="AB37" i="17"/>
  <c r="AC37" i="17"/>
  <c r="AD37" i="17"/>
  <c r="AE37" i="17"/>
  <c r="AF37" i="17"/>
  <c r="AG37" i="17"/>
  <c r="AH37" i="17"/>
  <c r="AI37" i="17"/>
  <c r="AJ37" i="17"/>
  <c r="AK37" i="17"/>
  <c r="AL37" i="17"/>
  <c r="C38" i="17"/>
  <c r="D38" i="17"/>
  <c r="E38" i="17"/>
  <c r="F38" i="17"/>
  <c r="G38" i="17"/>
  <c r="H38" i="17"/>
  <c r="I38" i="17"/>
  <c r="J38" i="17"/>
  <c r="K38" i="17"/>
  <c r="L38" i="17"/>
  <c r="M38" i="17"/>
  <c r="N38" i="17"/>
  <c r="O38" i="17"/>
  <c r="P38" i="17"/>
  <c r="Q38" i="17"/>
  <c r="R38" i="17"/>
  <c r="S38" i="17"/>
  <c r="T38" i="17"/>
  <c r="U38" i="17"/>
  <c r="V38" i="17"/>
  <c r="W38" i="17"/>
  <c r="X38" i="17"/>
  <c r="Y38" i="17"/>
  <c r="Z38" i="17"/>
  <c r="AA38" i="17"/>
  <c r="AB38" i="17"/>
  <c r="AC38" i="17"/>
  <c r="AD38" i="17"/>
  <c r="AE38" i="17"/>
  <c r="AF38" i="17"/>
  <c r="AG38" i="17"/>
  <c r="AH38" i="17"/>
  <c r="AI38" i="17"/>
  <c r="AJ38" i="17"/>
  <c r="AK38" i="17"/>
  <c r="AL38" i="17"/>
  <c r="A38" i="17"/>
  <c r="A42" i="17"/>
  <c r="D34" i="17" l="1"/>
  <c r="D33" i="17"/>
  <c r="E36" i="16"/>
  <c r="E35" i="16"/>
  <c r="M58" i="16"/>
  <c r="L58" i="16"/>
  <c r="K58" i="16"/>
  <c r="F57" i="16"/>
  <c r="G57" i="16"/>
  <c r="H57" i="16"/>
  <c r="J57" i="16"/>
  <c r="K57" i="16"/>
  <c r="L57" i="16"/>
  <c r="L55" i="16"/>
  <c r="M55" i="16"/>
  <c r="L56" i="16"/>
  <c r="M56" i="16"/>
  <c r="L59" i="16"/>
  <c r="L60" i="16"/>
  <c r="A56" i="16"/>
  <c r="B56" i="16"/>
  <c r="C56" i="16"/>
  <c r="D56" i="16"/>
  <c r="E56" i="16"/>
  <c r="F56" i="16"/>
  <c r="G56" i="16"/>
  <c r="H56" i="16"/>
  <c r="I56" i="16"/>
  <c r="J56" i="16"/>
  <c r="K56" i="16"/>
  <c r="A57" i="16"/>
  <c r="B57" i="16"/>
  <c r="C57" i="16"/>
  <c r="D57" i="16"/>
  <c r="A58" i="16"/>
  <c r="B58" i="16"/>
  <c r="C58" i="16"/>
  <c r="D58" i="16"/>
  <c r="A59" i="16"/>
  <c r="B59" i="16"/>
  <c r="C59" i="16"/>
  <c r="D59" i="16"/>
  <c r="E59" i="16"/>
  <c r="F59" i="16"/>
  <c r="G59" i="16"/>
  <c r="H59" i="16"/>
  <c r="I59" i="16"/>
  <c r="J59" i="16"/>
  <c r="K59" i="16"/>
  <c r="A60" i="16"/>
  <c r="B60" i="16"/>
  <c r="C60" i="16"/>
  <c r="D60" i="16"/>
  <c r="E60" i="16"/>
  <c r="F60" i="16"/>
  <c r="G60" i="16"/>
  <c r="H60" i="16"/>
  <c r="I60" i="16"/>
  <c r="J60" i="16"/>
  <c r="K60" i="16"/>
  <c r="B55" i="16"/>
  <c r="C55" i="16"/>
  <c r="D55" i="16"/>
  <c r="E55" i="16"/>
  <c r="F55" i="16"/>
  <c r="G55" i="16"/>
  <c r="H55" i="16"/>
  <c r="I55" i="16"/>
  <c r="J55" i="16"/>
  <c r="K55" i="16"/>
  <c r="A55" i="16"/>
  <c r="E17" i="16"/>
  <c r="D17" i="16"/>
  <c r="D16" i="16"/>
  <c r="B35" i="16"/>
  <c r="B40" i="17" l="1"/>
  <c r="B48" i="17"/>
  <c r="D36" i="16"/>
  <c r="B43" i="16" s="1"/>
  <c r="D35" i="16"/>
  <c r="B42" i="16" s="1"/>
  <c r="B41" i="17"/>
  <c r="B49" i="17"/>
  <c r="M10" i="16"/>
  <c r="M14" i="16"/>
  <c r="AL39" i="16"/>
  <c r="AL40" i="16"/>
  <c r="AL41" i="16"/>
  <c r="AG39" i="16"/>
  <c r="AH39" i="16"/>
  <c r="AI39" i="16"/>
  <c r="AJ39" i="16"/>
  <c r="AK39" i="16"/>
  <c r="AG40" i="16"/>
  <c r="AH40" i="16"/>
  <c r="AI40" i="16"/>
  <c r="AJ40" i="16"/>
  <c r="AK40" i="16"/>
  <c r="AG41" i="16"/>
  <c r="AI41" i="16"/>
  <c r="AJ41" i="16"/>
  <c r="C39" i="16"/>
  <c r="D39" i="16"/>
  <c r="E39" i="16"/>
  <c r="F39" i="16"/>
  <c r="G39" i="16"/>
  <c r="H39" i="16"/>
  <c r="I39" i="16"/>
  <c r="J39" i="16"/>
  <c r="K39" i="16"/>
  <c r="L39" i="16"/>
  <c r="M39" i="16"/>
  <c r="N39" i="16"/>
  <c r="O39" i="16"/>
  <c r="P39" i="16"/>
  <c r="Q39" i="16"/>
  <c r="R39" i="16"/>
  <c r="S39" i="16"/>
  <c r="T39" i="16"/>
  <c r="U39" i="16"/>
  <c r="V39" i="16"/>
  <c r="W39" i="16"/>
  <c r="X39" i="16"/>
  <c r="Y39" i="16"/>
  <c r="Z39" i="16"/>
  <c r="AA39" i="16"/>
  <c r="AB39" i="16"/>
  <c r="AC39" i="16"/>
  <c r="AD39" i="16"/>
  <c r="AE39" i="16"/>
  <c r="AF39" i="16"/>
  <c r="C40" i="16"/>
  <c r="D40" i="16"/>
  <c r="E40" i="16"/>
  <c r="F40" i="16"/>
  <c r="G40" i="16"/>
  <c r="H40" i="16"/>
  <c r="I40" i="16"/>
  <c r="J40" i="16"/>
  <c r="K40" i="16"/>
  <c r="L40" i="16"/>
  <c r="M40" i="16"/>
  <c r="N40" i="16"/>
  <c r="O40" i="16"/>
  <c r="P40" i="16"/>
  <c r="Q40" i="16"/>
  <c r="R40" i="16"/>
  <c r="S40" i="16"/>
  <c r="T40" i="16"/>
  <c r="U40" i="16"/>
  <c r="V40" i="16"/>
  <c r="W40" i="16"/>
  <c r="X40" i="16"/>
  <c r="Y40" i="16"/>
  <c r="Z40" i="16"/>
  <c r="AA40" i="16"/>
  <c r="AB40" i="16"/>
  <c r="AC40" i="16"/>
  <c r="AD40" i="16"/>
  <c r="AE40" i="16"/>
  <c r="AF40" i="16"/>
  <c r="B41" i="16"/>
  <c r="C41" i="16"/>
  <c r="E41" i="16"/>
  <c r="F41" i="16"/>
  <c r="H41" i="16"/>
  <c r="I41" i="16"/>
  <c r="K41" i="16"/>
  <c r="L41" i="16"/>
  <c r="N41" i="16"/>
  <c r="O41" i="16"/>
  <c r="Q41" i="16"/>
  <c r="R41" i="16"/>
  <c r="T41" i="16"/>
  <c r="U41" i="16"/>
  <c r="W41" i="16"/>
  <c r="X41" i="16"/>
  <c r="Z41" i="16"/>
  <c r="AA41" i="16"/>
  <c r="AC41" i="16"/>
  <c r="AD41" i="16"/>
  <c r="AF41" i="16"/>
  <c r="A40" i="16"/>
  <c r="A44" i="16"/>
  <c r="G93" i="3"/>
  <c r="G89" i="3"/>
  <c r="G88" i="3"/>
  <c r="G85" i="3"/>
  <c r="G84" i="3"/>
  <c r="G81" i="3"/>
  <c r="G78" i="3"/>
  <c r="G77" i="3"/>
  <c r="G76" i="3"/>
  <c r="G79" i="3" l="1"/>
  <c r="G82" i="3" s="1"/>
  <c r="G86" i="3" s="1"/>
  <c r="G90" i="3" s="1"/>
  <c r="G94" i="3" s="1"/>
  <c r="M15" i="16"/>
  <c r="M16" i="16"/>
  <c r="H10" i="15"/>
  <c r="H11" i="15"/>
  <c r="I9" i="15"/>
  <c r="H9" i="15"/>
  <c r="A10" i="15"/>
  <c r="A11" i="15"/>
  <c r="A15" i="15"/>
  <c r="A16" i="15"/>
  <c r="A17" i="15"/>
  <c r="A18" i="15"/>
  <c r="A19" i="15"/>
  <c r="A20" i="15"/>
  <c r="C9" i="15"/>
  <c r="D9" i="15"/>
  <c r="E9" i="15"/>
  <c r="F9" i="15"/>
  <c r="A9" i="15"/>
  <c r="J6" i="14" l="1"/>
  <c r="J7" i="14"/>
  <c r="J8" i="14"/>
  <c r="J9" i="14"/>
  <c r="J10" i="14"/>
  <c r="J11" i="14"/>
  <c r="B7" i="15" s="1"/>
  <c r="J12" i="14"/>
  <c r="J13" i="14"/>
  <c r="J5" i="14"/>
  <c r="E8" i="13" l="1"/>
  <c r="B19" i="13" s="1"/>
  <c r="E9" i="13"/>
  <c r="B20" i="13" s="1"/>
  <c r="E7" i="13"/>
  <c r="B18" i="13" s="1"/>
  <c r="G4" i="13"/>
  <c r="H4" i="13"/>
  <c r="F4" i="13"/>
  <c r="B11" i="15" l="1"/>
  <c r="B13" i="15"/>
  <c r="B12" i="15"/>
  <c r="E85" i="7"/>
  <c r="J85" i="7"/>
  <c r="K85" i="7"/>
  <c r="M85" i="7"/>
  <c r="G86" i="7"/>
  <c r="I86" i="7"/>
  <c r="J86" i="7"/>
  <c r="E87" i="7"/>
  <c r="F87" i="7"/>
  <c r="G87" i="7"/>
  <c r="M87" i="7"/>
  <c r="N87" i="7"/>
  <c r="D88" i="7"/>
  <c r="I88" i="7"/>
  <c r="J88" i="7"/>
  <c r="K88" i="7"/>
  <c r="L88" i="7"/>
  <c r="E89" i="7"/>
  <c r="F89" i="7"/>
  <c r="G89" i="7"/>
  <c r="I89" i="7"/>
  <c r="M89" i="7"/>
  <c r="N89" i="7"/>
  <c r="C86" i="7"/>
  <c r="C88" i="7"/>
  <c r="C57" i="7"/>
  <c r="D57" i="7"/>
  <c r="D86" i="7" s="1"/>
  <c r="E57" i="7"/>
  <c r="E86" i="7" s="1"/>
  <c r="F57" i="7"/>
  <c r="F86" i="7" s="1"/>
  <c r="G57" i="7"/>
  <c r="H57" i="7"/>
  <c r="H86" i="7" s="1"/>
  <c r="I57" i="7"/>
  <c r="J57" i="7"/>
  <c r="K57" i="7"/>
  <c r="K86" i="7" s="1"/>
  <c r="L57" i="7"/>
  <c r="L86" i="7" s="1"/>
  <c r="M57" i="7"/>
  <c r="M86" i="7" s="1"/>
  <c r="N57" i="7"/>
  <c r="N86" i="7" s="1"/>
  <c r="C58" i="7"/>
  <c r="C87" i="7" s="1"/>
  <c r="D58" i="7"/>
  <c r="D87" i="7" s="1"/>
  <c r="E58" i="7"/>
  <c r="F58" i="7"/>
  <c r="G58" i="7"/>
  <c r="H58" i="7"/>
  <c r="H87" i="7" s="1"/>
  <c r="I58" i="7"/>
  <c r="I87" i="7" s="1"/>
  <c r="J58" i="7"/>
  <c r="J87" i="7" s="1"/>
  <c r="K58" i="7"/>
  <c r="K87" i="7" s="1"/>
  <c r="L58" i="7"/>
  <c r="L87" i="7" s="1"/>
  <c r="M58" i="7"/>
  <c r="N58" i="7"/>
  <c r="C59" i="7"/>
  <c r="D59" i="7"/>
  <c r="E59" i="7"/>
  <c r="E88" i="7" s="1"/>
  <c r="F59" i="7"/>
  <c r="F88" i="7" s="1"/>
  <c r="G59" i="7"/>
  <c r="G88" i="7" s="1"/>
  <c r="H59" i="7"/>
  <c r="H88" i="7" s="1"/>
  <c r="I59" i="7"/>
  <c r="J59" i="7"/>
  <c r="K59" i="7"/>
  <c r="L59" i="7"/>
  <c r="M59" i="7"/>
  <c r="M88" i="7" s="1"/>
  <c r="N59" i="7"/>
  <c r="N88" i="7" s="1"/>
  <c r="C60" i="7"/>
  <c r="C89" i="7" s="1"/>
  <c r="D60" i="7"/>
  <c r="D89" i="7" s="1"/>
  <c r="E60" i="7"/>
  <c r="F60" i="7"/>
  <c r="G60" i="7"/>
  <c r="H60" i="7"/>
  <c r="H89" i="7" s="1"/>
  <c r="I60" i="7"/>
  <c r="J60" i="7"/>
  <c r="J89" i="7" s="1"/>
  <c r="K60" i="7"/>
  <c r="K89" i="7" s="1"/>
  <c r="L60" i="7"/>
  <c r="L89" i="7" s="1"/>
  <c r="M60" i="7"/>
  <c r="N60" i="7"/>
  <c r="D56" i="7"/>
  <c r="D85" i="7" s="1"/>
  <c r="E56" i="7"/>
  <c r="F56" i="7"/>
  <c r="F85" i="7" s="1"/>
  <c r="G56" i="7"/>
  <c r="G85" i="7" s="1"/>
  <c r="H56" i="7"/>
  <c r="H85" i="7" s="1"/>
  <c r="I56" i="7"/>
  <c r="I85" i="7" s="1"/>
  <c r="J56" i="7"/>
  <c r="K56" i="7"/>
  <c r="L56" i="7"/>
  <c r="L85" i="7" s="1"/>
  <c r="M56" i="7"/>
  <c r="N56" i="7"/>
  <c r="N85" i="7" s="1"/>
  <c r="C56" i="7"/>
  <c r="C85" i="7" s="1"/>
  <c r="D26" i="11" l="1"/>
  <c r="F25" i="12" l="1"/>
  <c r="E25" i="12"/>
  <c r="F24" i="12"/>
  <c r="E24" i="12"/>
  <c r="F22" i="12"/>
  <c r="E22" i="12"/>
  <c r="F13" i="12"/>
  <c r="E13" i="12"/>
  <c r="F12" i="12"/>
  <c r="E12" i="12"/>
  <c r="F10" i="12"/>
  <c r="E10" i="12"/>
  <c r="F8" i="12"/>
  <c r="E8" i="12"/>
  <c r="F7" i="12"/>
  <c r="E7" i="12"/>
  <c r="A20" i="12"/>
  <c r="B21" i="12"/>
  <c r="E21" i="12"/>
  <c r="F21" i="12"/>
  <c r="B23" i="12"/>
  <c r="E23" i="12"/>
  <c r="F23" i="12"/>
  <c r="B26" i="12"/>
  <c r="E26" i="12"/>
  <c r="F26" i="12"/>
  <c r="B27" i="12"/>
  <c r="E27" i="12"/>
  <c r="F27" i="12"/>
  <c r="B11" i="12"/>
  <c r="E11" i="12"/>
  <c r="F11" i="12"/>
  <c r="B14" i="12"/>
  <c r="E14" i="12"/>
  <c r="F14" i="12"/>
  <c r="B16" i="12"/>
  <c r="E16" i="12"/>
  <c r="F16" i="12"/>
  <c r="E9" i="12"/>
  <c r="F9" i="12"/>
  <c r="B9" i="12"/>
  <c r="B6" i="12"/>
  <c r="F6" i="12"/>
  <c r="E6" i="12"/>
  <c r="J24" i="12" l="1"/>
  <c r="K13" i="12"/>
  <c r="I14" i="12"/>
  <c r="K8" i="12"/>
  <c r="J22" i="12"/>
  <c r="K6" i="12"/>
  <c r="I21" i="12"/>
  <c r="K25" i="12"/>
  <c r="J26" i="12"/>
  <c r="I9" i="12"/>
  <c r="J11" i="12"/>
  <c r="K21" i="12"/>
  <c r="K10" i="12"/>
  <c r="K22" i="12"/>
  <c r="J23" i="12"/>
  <c r="K9" i="12"/>
  <c r="J16" i="12"/>
  <c r="J6" i="12"/>
  <c r="I27" i="12"/>
  <c r="K24" i="12"/>
  <c r="J14" i="12"/>
  <c r="J12" i="12"/>
  <c r="K14" i="12"/>
  <c r="J9" i="12"/>
  <c r="J7" i="12"/>
  <c r="I6" i="12"/>
  <c r="J21" i="12"/>
  <c r="I11" i="12"/>
  <c r="K26" i="12"/>
  <c r="I26" i="12"/>
  <c r="K7" i="12"/>
  <c r="K11" i="12"/>
  <c r="I16" i="12"/>
  <c r="I23" i="12"/>
  <c r="K16" i="12"/>
  <c r="K23" i="12"/>
  <c r="K27" i="12"/>
  <c r="K12" i="12"/>
  <c r="J27" i="12"/>
  <c r="D12" i="11"/>
  <c r="D75" i="11"/>
  <c r="D74" i="11"/>
  <c r="D71" i="11"/>
  <c r="D70" i="11"/>
  <c r="D67" i="11"/>
  <c r="D66" i="11"/>
  <c r="D65" i="11"/>
  <c r="D58" i="11"/>
  <c r="D55" i="11"/>
  <c r="D54" i="11"/>
  <c r="D51" i="11"/>
  <c r="D50" i="11"/>
  <c r="D49" i="11"/>
  <c r="D42" i="11"/>
  <c r="D41" i="11"/>
  <c r="D38" i="11"/>
  <c r="D37" i="11"/>
  <c r="D34" i="11"/>
  <c r="D33" i="11"/>
  <c r="D23" i="11"/>
  <c r="D22" i="11"/>
  <c r="D21" i="11"/>
  <c r="D20" i="11"/>
  <c r="D11" i="11"/>
  <c r="D17" i="11"/>
  <c r="D16" i="11"/>
  <c r="D15" i="11"/>
  <c r="D10" i="11"/>
  <c r="D9" i="11"/>
  <c r="D8" i="11"/>
  <c r="D27" i="11" l="1"/>
  <c r="I28" i="12"/>
  <c r="K28" i="12"/>
  <c r="J28" i="12"/>
  <c r="I17" i="12"/>
  <c r="J17" i="12"/>
  <c r="K17" i="12"/>
  <c r="D76" i="11"/>
  <c r="K5" i="11" s="1"/>
  <c r="F26" i="13" s="1"/>
  <c r="D59" i="11"/>
  <c r="J5" i="11" s="1"/>
  <c r="E26" i="13" s="1"/>
  <c r="H5" i="11"/>
  <c r="C26" i="13" s="1"/>
  <c r="D43" i="11"/>
  <c r="I5" i="11" s="1"/>
  <c r="D26" i="13" s="1"/>
  <c r="I7" i="10"/>
  <c r="H7" i="10"/>
  <c r="G7" i="10"/>
  <c r="D19" i="15" l="1"/>
  <c r="D19" i="16" s="1"/>
  <c r="F19" i="15"/>
  <c r="F19" i="16" s="1"/>
  <c r="C27" i="13"/>
  <c r="C20" i="15" s="1"/>
  <c r="C20" i="16" s="1"/>
  <c r="C19" i="15"/>
  <c r="C19" i="16" s="1"/>
  <c r="E19" i="15"/>
  <c r="E19" i="16" s="1"/>
  <c r="P5" i="12"/>
  <c r="G12" i="13" s="1"/>
  <c r="Q5" i="12"/>
  <c r="H12" i="13" s="1"/>
  <c r="O5" i="12"/>
  <c r="F12" i="13" s="1"/>
  <c r="C106" i="9"/>
  <c r="C111" i="9"/>
  <c r="C114" i="9"/>
  <c r="C113" i="9"/>
  <c r="C74" i="9"/>
  <c r="B69" i="9"/>
  <c r="B114" i="9"/>
  <c r="B113" i="9"/>
  <c r="B112" i="9"/>
  <c r="B111" i="9"/>
  <c r="A128" i="9"/>
  <c r="A131" i="9"/>
  <c r="A130" i="9"/>
  <c r="A129" i="9"/>
  <c r="C110" i="9"/>
  <c r="B110" i="9"/>
  <c r="C109" i="9"/>
  <c r="B109" i="9"/>
  <c r="C108" i="9"/>
  <c r="B108" i="9"/>
  <c r="C107" i="9"/>
  <c r="B107" i="9"/>
  <c r="B106" i="9"/>
  <c r="C105" i="9"/>
  <c r="B105" i="9"/>
  <c r="E105" i="9" s="1"/>
  <c r="B104" i="9"/>
  <c r="C103" i="9"/>
  <c r="B103" i="9"/>
  <c r="E103" i="9" s="1"/>
  <c r="B102" i="9"/>
  <c r="B101" i="9"/>
  <c r="C100" i="9"/>
  <c r="B100" i="9"/>
  <c r="E100" i="9" s="1"/>
  <c r="C99" i="9"/>
  <c r="B99" i="9"/>
  <c r="E99" i="9" s="1"/>
  <c r="B98" i="9"/>
  <c r="E96" i="9" s="1"/>
  <c r="B97" i="9"/>
  <c r="C96" i="9"/>
  <c r="B96" i="9"/>
  <c r="B74" i="9"/>
  <c r="C47" i="9"/>
  <c r="B47" i="9"/>
  <c r="C78" i="9"/>
  <c r="C77" i="9"/>
  <c r="C76" i="9"/>
  <c r="C75" i="9"/>
  <c r="C72" i="9"/>
  <c r="C70" i="9"/>
  <c r="C66" i="9"/>
  <c r="C65" i="9"/>
  <c r="C61" i="9"/>
  <c r="C44" i="9"/>
  <c r="C41" i="9"/>
  <c r="C37" i="9"/>
  <c r="C35" i="9"/>
  <c r="C31" i="9"/>
  <c r="B78" i="9"/>
  <c r="B77" i="9"/>
  <c r="B76" i="9"/>
  <c r="B75" i="9"/>
  <c r="A127" i="9"/>
  <c r="A126" i="9"/>
  <c r="A125" i="9"/>
  <c r="A124" i="9"/>
  <c r="A123" i="9"/>
  <c r="A91" i="9"/>
  <c r="A90" i="9"/>
  <c r="A88" i="9"/>
  <c r="A87" i="9"/>
  <c r="A56" i="9"/>
  <c r="A89" i="9"/>
  <c r="B73" i="9"/>
  <c r="B72" i="9"/>
  <c r="E72" i="9" s="1"/>
  <c r="B71" i="9"/>
  <c r="B70" i="9"/>
  <c r="E70" i="9" s="1"/>
  <c r="B68" i="9"/>
  <c r="B67" i="9"/>
  <c r="B66" i="9"/>
  <c r="E66" i="9" s="1"/>
  <c r="B65" i="9"/>
  <c r="E65" i="9" s="1"/>
  <c r="B64" i="9"/>
  <c r="E61" i="9" s="1"/>
  <c r="B63" i="9"/>
  <c r="B62" i="9"/>
  <c r="B61" i="9"/>
  <c r="B46" i="9"/>
  <c r="B45" i="9"/>
  <c r="B44" i="9"/>
  <c r="E44" i="9" s="1"/>
  <c r="B43" i="9"/>
  <c r="B42" i="9"/>
  <c r="B41" i="9"/>
  <c r="E41" i="9" s="1"/>
  <c r="B40" i="9"/>
  <c r="B39" i="9"/>
  <c r="B38" i="9"/>
  <c r="B37" i="9"/>
  <c r="E37" i="9" s="1"/>
  <c r="B36" i="9"/>
  <c r="B35" i="9"/>
  <c r="E35" i="9" s="1"/>
  <c r="B34" i="9"/>
  <c r="E31" i="9" s="1"/>
  <c r="B33" i="9"/>
  <c r="B32" i="9"/>
  <c r="B31" i="9"/>
  <c r="H14" i="9"/>
  <c r="H15" i="9"/>
  <c r="H16" i="9"/>
  <c r="H17" i="9"/>
  <c r="H18" i="9"/>
  <c r="H19" i="9"/>
  <c r="H20" i="9"/>
  <c r="H21" i="9"/>
  <c r="H22" i="9"/>
  <c r="H23" i="9"/>
  <c r="H24" i="9"/>
  <c r="H25" i="9"/>
  <c r="H26" i="9"/>
  <c r="H13" i="9"/>
  <c r="G14" i="9"/>
  <c r="G15" i="9"/>
  <c r="G16" i="9"/>
  <c r="G17" i="9"/>
  <c r="G18" i="9"/>
  <c r="G19" i="9"/>
  <c r="G20" i="9"/>
  <c r="G21" i="9"/>
  <c r="G22" i="9"/>
  <c r="G23" i="9"/>
  <c r="G24" i="9"/>
  <c r="G25" i="9"/>
  <c r="G26" i="9"/>
  <c r="G13" i="9"/>
  <c r="F14" i="9"/>
  <c r="F15" i="9"/>
  <c r="F16" i="9"/>
  <c r="F17" i="9"/>
  <c r="F18" i="9"/>
  <c r="F19" i="9"/>
  <c r="F20" i="9"/>
  <c r="F21" i="9"/>
  <c r="F22" i="9"/>
  <c r="F23" i="9"/>
  <c r="F24" i="9"/>
  <c r="F25" i="9"/>
  <c r="F26" i="9"/>
  <c r="F13" i="9"/>
  <c r="E14" i="9"/>
  <c r="E15" i="9"/>
  <c r="E16" i="9"/>
  <c r="E17" i="9"/>
  <c r="E18" i="9"/>
  <c r="E19" i="9"/>
  <c r="E20" i="9"/>
  <c r="E21" i="9"/>
  <c r="E22" i="9"/>
  <c r="E23" i="9"/>
  <c r="E24" i="9"/>
  <c r="E25" i="9"/>
  <c r="E26" i="9"/>
  <c r="E13" i="9"/>
  <c r="D14" i="9"/>
  <c r="D15" i="9"/>
  <c r="D16" i="9"/>
  <c r="D17" i="9"/>
  <c r="D18" i="9"/>
  <c r="D19" i="9"/>
  <c r="D20" i="9"/>
  <c r="D21" i="9"/>
  <c r="D22" i="9"/>
  <c r="D23" i="9"/>
  <c r="D24" i="9"/>
  <c r="D25" i="9"/>
  <c r="D26" i="9"/>
  <c r="D13" i="9"/>
  <c r="J23" i="9" l="1"/>
  <c r="D96" i="9" s="1"/>
  <c r="J15" i="9"/>
  <c r="J22" i="9"/>
  <c r="J14" i="9"/>
  <c r="J21" i="9"/>
  <c r="D100" i="9" s="1"/>
  <c r="J13" i="9"/>
  <c r="J19" i="9"/>
  <c r="D99" i="9" s="1"/>
  <c r="J25" i="9"/>
  <c r="J17" i="9"/>
  <c r="D110" i="9" s="1"/>
  <c r="J26" i="9"/>
  <c r="J18" i="9"/>
  <c r="J24" i="9"/>
  <c r="J16" i="9"/>
  <c r="J20" i="9"/>
  <c r="I7" i="9"/>
  <c r="H7" i="9"/>
  <c r="G7" i="9"/>
  <c r="H130" i="9" l="1"/>
  <c r="G130" i="9"/>
  <c r="F130" i="9"/>
  <c r="I130" i="9"/>
  <c r="D107" i="9"/>
  <c r="D111" i="9"/>
  <c r="D74" i="9"/>
  <c r="D106" i="9"/>
  <c r="D114" i="9"/>
  <c r="D113" i="9"/>
  <c r="D109" i="9"/>
  <c r="D105" i="9"/>
  <c r="D47" i="9"/>
  <c r="D103" i="9"/>
  <c r="D108" i="9"/>
  <c r="D77" i="9"/>
  <c r="D72" i="9"/>
  <c r="D44" i="9"/>
  <c r="D75" i="9"/>
  <c r="D78" i="9"/>
  <c r="D41" i="9"/>
  <c r="D76" i="9"/>
  <c r="D70" i="9"/>
  <c r="D31" i="9"/>
  <c r="E118" i="9" s="1"/>
  <c r="D61" i="9"/>
  <c r="D66" i="9"/>
  <c r="D37" i="9"/>
  <c r="D120" i="9" s="1"/>
  <c r="D35" i="9"/>
  <c r="D119" i="9" s="1"/>
  <c r="D65" i="9"/>
  <c r="N129" i="9"/>
  <c r="D126" i="9"/>
  <c r="J126" i="9"/>
  <c r="M126" i="9"/>
  <c r="O129" i="9"/>
  <c r="F129" i="9"/>
  <c r="E126" i="9"/>
  <c r="I126" i="9"/>
  <c r="J129" i="9"/>
  <c r="K129" i="9"/>
  <c r="H129" i="9"/>
  <c r="G129" i="9"/>
  <c r="H126" i="9"/>
  <c r="N126" i="9"/>
  <c r="I129" i="9"/>
  <c r="O126" i="9"/>
  <c r="G126" i="9"/>
  <c r="F126" i="9"/>
  <c r="L129" i="9"/>
  <c r="B126" i="9"/>
  <c r="L126" i="9"/>
  <c r="M129" i="9"/>
  <c r="C126" i="9"/>
  <c r="K126" i="9"/>
  <c r="C128" i="9"/>
  <c r="L128" i="9"/>
  <c r="D128" i="9"/>
  <c r="M128" i="9"/>
  <c r="G128" i="9"/>
  <c r="E128" i="9"/>
  <c r="N128" i="9"/>
  <c r="I128" i="9"/>
  <c r="F128" i="9"/>
  <c r="B128" i="9"/>
  <c r="H128" i="9"/>
  <c r="J128" i="9"/>
  <c r="O128" i="9"/>
  <c r="K128" i="9"/>
  <c r="O127" i="9"/>
  <c r="G127" i="9"/>
  <c r="N127" i="9"/>
  <c r="F127" i="9"/>
  <c r="D127" i="9"/>
  <c r="K127" i="9"/>
  <c r="E127" i="9"/>
  <c r="B127" i="9"/>
  <c r="M127" i="9"/>
  <c r="C127" i="9"/>
  <c r="L127" i="9"/>
  <c r="J127" i="9"/>
  <c r="I127" i="9"/>
  <c r="H127" i="9"/>
  <c r="N131" i="9"/>
  <c r="N130" i="9"/>
  <c r="M125" i="9"/>
  <c r="O123" i="9"/>
  <c r="G123" i="9"/>
  <c r="K123" i="9"/>
  <c r="E125" i="9"/>
  <c r="H125" i="9"/>
  <c r="B123" i="9"/>
  <c r="M131" i="9"/>
  <c r="L125" i="9"/>
  <c r="N123" i="9"/>
  <c r="F123" i="9"/>
  <c r="D125" i="9"/>
  <c r="I125" i="9"/>
  <c r="J123" i="9"/>
  <c r="B125" i="9"/>
  <c r="K125" i="9"/>
  <c r="M123" i="9"/>
  <c r="E123" i="9"/>
  <c r="O130" i="9"/>
  <c r="C125" i="9"/>
  <c r="J125" i="9"/>
  <c r="L123" i="9"/>
  <c r="D123" i="9"/>
  <c r="J130" i="9"/>
  <c r="C123" i="9"/>
  <c r="K130" i="9"/>
  <c r="L130" i="9"/>
  <c r="O125" i="9"/>
  <c r="G125" i="9"/>
  <c r="I123" i="9"/>
  <c r="O131" i="9"/>
  <c r="M130" i="9"/>
  <c r="N125" i="9"/>
  <c r="F125" i="9"/>
  <c r="H123" i="9"/>
  <c r="H124" i="9"/>
  <c r="K124" i="9"/>
  <c r="O124" i="9"/>
  <c r="G124" i="9"/>
  <c r="D124" i="9"/>
  <c r="N124" i="9"/>
  <c r="F124" i="9"/>
  <c r="L124" i="9"/>
  <c r="M124" i="9"/>
  <c r="E124" i="9"/>
  <c r="C124" i="9"/>
  <c r="J124" i="9"/>
  <c r="B124" i="9"/>
  <c r="I124" i="9"/>
  <c r="F90" i="9"/>
  <c r="N90" i="9"/>
  <c r="G90" i="9"/>
  <c r="O90" i="9"/>
  <c r="H90" i="9"/>
  <c r="L90" i="9"/>
  <c r="M90" i="9"/>
  <c r="I90" i="9"/>
  <c r="J90" i="9"/>
  <c r="K90" i="9"/>
  <c r="K91" i="9"/>
  <c r="L91" i="9"/>
  <c r="J91" i="9"/>
  <c r="M91" i="9"/>
  <c r="F91" i="9"/>
  <c r="N91" i="9"/>
  <c r="O91" i="9"/>
  <c r="G91" i="9"/>
  <c r="H91" i="9"/>
  <c r="I91" i="9"/>
  <c r="M56" i="9"/>
  <c r="C87" i="9"/>
  <c r="K87" i="9"/>
  <c r="I89" i="9"/>
  <c r="J87" i="9"/>
  <c r="D87" i="9"/>
  <c r="L87" i="9"/>
  <c r="J89" i="9"/>
  <c r="E87" i="9"/>
  <c r="M87" i="9"/>
  <c r="K89" i="9"/>
  <c r="F87" i="9"/>
  <c r="N87" i="9"/>
  <c r="L89" i="9"/>
  <c r="O89" i="9"/>
  <c r="H89" i="9"/>
  <c r="G87" i="9"/>
  <c r="O87" i="9"/>
  <c r="M89" i="9"/>
  <c r="H87" i="9"/>
  <c r="F89" i="9"/>
  <c r="N89" i="9"/>
  <c r="I87" i="9"/>
  <c r="G89" i="9"/>
  <c r="B87" i="9"/>
  <c r="D88" i="9"/>
  <c r="L88" i="9"/>
  <c r="E88" i="9"/>
  <c r="M88" i="9"/>
  <c r="F88" i="9"/>
  <c r="N88" i="9"/>
  <c r="C88" i="9"/>
  <c r="G88" i="9"/>
  <c r="O88" i="9"/>
  <c r="H88" i="9"/>
  <c r="B88" i="9"/>
  <c r="I88" i="9"/>
  <c r="J88" i="9"/>
  <c r="K88" i="9"/>
  <c r="I56" i="9"/>
  <c r="N56" i="9"/>
  <c r="L56" i="9"/>
  <c r="J56" i="9"/>
  <c r="O56" i="9"/>
  <c r="K56" i="9"/>
  <c r="B52" i="9" l="1"/>
  <c r="L52" i="9"/>
  <c r="D53" i="9"/>
  <c r="L83" i="9"/>
  <c r="N83" i="9"/>
  <c r="O83" i="9" s="1"/>
  <c r="F84" i="9"/>
  <c r="C52" i="9"/>
  <c r="C83" i="9"/>
  <c r="M52" i="9"/>
  <c r="J52" i="9"/>
  <c r="N52" i="9"/>
  <c r="O52" i="9" s="1"/>
  <c r="F53" i="9"/>
  <c r="M83" i="9"/>
  <c r="M120" i="9"/>
  <c r="M119" i="9"/>
  <c r="I52" i="9"/>
  <c r="F52" i="9"/>
  <c r="E52" i="9"/>
  <c r="E83" i="9"/>
  <c r="B83" i="9"/>
  <c r="G52" i="9"/>
  <c r="H52" i="9" s="1"/>
  <c r="K52" i="9"/>
  <c r="K83" i="9"/>
  <c r="J83" i="9"/>
  <c r="D52" i="9"/>
  <c r="F83" i="9"/>
  <c r="G83" i="9"/>
  <c r="H83" i="9" s="1"/>
  <c r="L53" i="9"/>
  <c r="B84" i="9"/>
  <c r="E53" i="9"/>
  <c r="M84" i="9"/>
  <c r="J120" i="9"/>
  <c r="C120" i="9"/>
  <c r="K53" i="9"/>
  <c r="E84" i="9"/>
  <c r="B120" i="9"/>
  <c r="G120" i="9"/>
  <c r="H120" i="9" s="1"/>
  <c r="C53" i="9"/>
  <c r="J53" i="9"/>
  <c r="K120" i="9"/>
  <c r="I53" i="9"/>
  <c r="I84" i="9"/>
  <c r="D84" i="9"/>
  <c r="E120" i="9"/>
  <c r="I120" i="9"/>
  <c r="N53" i="9"/>
  <c r="O53" i="9" s="1"/>
  <c r="F120" i="9"/>
  <c r="L84" i="9"/>
  <c r="L120" i="9"/>
  <c r="G53" i="9"/>
  <c r="H53" i="9" s="1"/>
  <c r="G84" i="9"/>
  <c r="H84" i="9" s="1"/>
  <c r="K84" i="9"/>
  <c r="N120" i="9"/>
  <c r="O120" i="9" s="1"/>
  <c r="J84" i="9"/>
  <c r="M53" i="9"/>
  <c r="B53" i="9"/>
  <c r="N84" i="9"/>
  <c r="O84" i="9" s="1"/>
  <c r="C84" i="9"/>
  <c r="I83" i="9"/>
  <c r="D83" i="9"/>
  <c r="I118" i="9"/>
  <c r="J119" i="9"/>
  <c r="N82" i="9"/>
  <c r="O82" i="9" s="1"/>
  <c r="M51" i="9"/>
  <c r="G119" i="9"/>
  <c r="H119" i="9" s="1"/>
  <c r="K82" i="9"/>
  <c r="B119" i="9"/>
  <c r="K118" i="9"/>
  <c r="K119" i="9"/>
  <c r="F51" i="9"/>
  <c r="D118" i="9"/>
  <c r="G51" i="9"/>
  <c r="H51" i="9" s="1"/>
  <c r="D51" i="9"/>
  <c r="C82" i="9"/>
  <c r="F82" i="9"/>
  <c r="C118" i="9"/>
  <c r="L118" i="9"/>
  <c r="L51" i="9"/>
  <c r="M82" i="9"/>
  <c r="M118" i="9"/>
  <c r="J82" i="9"/>
  <c r="F118" i="9"/>
  <c r="C119" i="9"/>
  <c r="B82" i="9"/>
  <c r="E51" i="9"/>
  <c r="K51" i="9"/>
  <c r="I82" i="9"/>
  <c r="N118" i="9"/>
  <c r="O118" i="9" s="1"/>
  <c r="E119" i="9"/>
  <c r="L119" i="9"/>
  <c r="J51" i="9"/>
  <c r="N51" i="9"/>
  <c r="O51" i="9" s="1"/>
  <c r="D82" i="9"/>
  <c r="B118" i="9"/>
  <c r="G118" i="9"/>
  <c r="H118" i="9" s="1"/>
  <c r="N119" i="9"/>
  <c r="O119" i="9" s="1"/>
  <c r="I119" i="9"/>
  <c r="E82" i="9"/>
  <c r="B51" i="9"/>
  <c r="C51" i="9"/>
  <c r="I51" i="9"/>
  <c r="L82" i="9"/>
  <c r="G82" i="9"/>
  <c r="H82" i="9" s="1"/>
  <c r="J118" i="9"/>
  <c r="F119" i="9"/>
  <c r="P126" i="9"/>
  <c r="K121" i="9"/>
  <c r="C121" i="9"/>
  <c r="G121" i="9"/>
  <c r="H121" i="9" s="1"/>
  <c r="N121" i="9"/>
  <c r="O121" i="9" s="1"/>
  <c r="J121" i="9"/>
  <c r="B121" i="9"/>
  <c r="I121" i="9"/>
  <c r="F121" i="9"/>
  <c r="M121" i="9"/>
  <c r="E121" i="9"/>
  <c r="L121" i="9"/>
  <c r="D121" i="9"/>
  <c r="P128" i="9"/>
  <c r="F55" i="9"/>
  <c r="M122" i="9"/>
  <c r="E122" i="9"/>
  <c r="L122" i="9"/>
  <c r="D122" i="9"/>
  <c r="K122" i="9"/>
  <c r="C122" i="9"/>
  <c r="I122" i="9"/>
  <c r="J122" i="9"/>
  <c r="B122" i="9"/>
  <c r="G122" i="9"/>
  <c r="H122" i="9" s="1"/>
  <c r="N122" i="9"/>
  <c r="O122" i="9" s="1"/>
  <c r="F122" i="9"/>
  <c r="P124" i="9"/>
  <c r="P130" i="9"/>
  <c r="P131" i="9"/>
  <c r="P127" i="9"/>
  <c r="P129" i="9"/>
  <c r="P125" i="9"/>
  <c r="P123" i="9"/>
  <c r="P91" i="9"/>
  <c r="P88" i="9"/>
  <c r="P87" i="9"/>
  <c r="P89" i="9"/>
  <c r="P90" i="9"/>
  <c r="E85" i="9"/>
  <c r="N85" i="9"/>
  <c r="O85" i="9" s="1"/>
  <c r="F85" i="9"/>
  <c r="C85" i="9"/>
  <c r="G85" i="9"/>
  <c r="H85" i="9" s="1"/>
  <c r="D85" i="9"/>
  <c r="I85" i="9"/>
  <c r="L85" i="9"/>
  <c r="J85" i="9"/>
  <c r="B85" i="9"/>
  <c r="K85" i="9"/>
  <c r="M85" i="9"/>
  <c r="J54" i="9"/>
  <c r="E55" i="9"/>
  <c r="J86" i="9"/>
  <c r="B86" i="9"/>
  <c r="K86" i="9"/>
  <c r="C86" i="9"/>
  <c r="L86" i="9"/>
  <c r="G86" i="9"/>
  <c r="H86" i="9" s="1"/>
  <c r="I86" i="9"/>
  <c r="D86" i="9"/>
  <c r="M86" i="9"/>
  <c r="E86" i="9"/>
  <c r="N86" i="9"/>
  <c r="O86" i="9" s="1"/>
  <c r="F86" i="9"/>
  <c r="N54" i="9"/>
  <c r="O54" i="9" s="1"/>
  <c r="G54" i="9"/>
  <c r="H54" i="9" s="1"/>
  <c r="I55" i="9"/>
  <c r="K54" i="9"/>
  <c r="F54" i="9"/>
  <c r="M54" i="9"/>
  <c r="D54" i="9"/>
  <c r="L54" i="9"/>
  <c r="B54" i="9"/>
  <c r="I54" i="9"/>
  <c r="C54" i="9"/>
  <c r="D55" i="9"/>
  <c r="E54" i="9"/>
  <c r="L55" i="9"/>
  <c r="C55" i="9"/>
  <c r="K55" i="9"/>
  <c r="B55" i="9"/>
  <c r="J55" i="9"/>
  <c r="N55" i="9"/>
  <c r="O55" i="9" s="1"/>
  <c r="G55" i="9"/>
  <c r="H55" i="9" s="1"/>
  <c r="P56" i="9"/>
  <c r="M55" i="9"/>
  <c r="I7" i="8"/>
  <c r="H7" i="8"/>
  <c r="G7" i="8"/>
  <c r="P120" i="9" l="1"/>
  <c r="P52" i="9"/>
  <c r="P84" i="9"/>
  <c r="P53" i="9"/>
  <c r="P83" i="9"/>
  <c r="P119" i="9"/>
  <c r="P118" i="9"/>
  <c r="P51" i="9"/>
  <c r="P82" i="9"/>
  <c r="P122" i="9"/>
  <c r="P121" i="9"/>
  <c r="P85" i="9"/>
  <c r="P86" i="9"/>
  <c r="P54" i="9"/>
  <c r="P55" i="9"/>
  <c r="K92" i="7"/>
  <c r="L92" i="7"/>
  <c r="M92" i="7"/>
  <c r="N92" i="7"/>
  <c r="I92" i="7"/>
  <c r="J92" i="7"/>
  <c r="H92" i="7"/>
  <c r="F91" i="7"/>
  <c r="I63" i="7"/>
  <c r="J63" i="7"/>
  <c r="K63" i="7"/>
  <c r="L63" i="7"/>
  <c r="M63" i="7"/>
  <c r="N63" i="7"/>
  <c r="F62" i="7"/>
  <c r="C33" i="7"/>
  <c r="N93" i="7"/>
  <c r="M93" i="7"/>
  <c r="L93" i="7"/>
  <c r="K93" i="7"/>
  <c r="J93" i="7"/>
  <c r="I93" i="7"/>
  <c r="H93" i="7"/>
  <c r="G93" i="7"/>
  <c r="F93" i="7"/>
  <c r="E93" i="7"/>
  <c r="D93" i="7"/>
  <c r="C93" i="7"/>
  <c r="G92" i="7"/>
  <c r="F92" i="7"/>
  <c r="E92" i="7"/>
  <c r="D92" i="7"/>
  <c r="C92" i="7"/>
  <c r="C91" i="7"/>
  <c r="N74" i="7"/>
  <c r="M74" i="7"/>
  <c r="L74" i="7"/>
  <c r="K74" i="7"/>
  <c r="J74" i="7"/>
  <c r="I74" i="7"/>
  <c r="H74" i="7"/>
  <c r="G74" i="7"/>
  <c r="F74" i="7"/>
  <c r="E74" i="7"/>
  <c r="D74" i="7"/>
  <c r="C74" i="7"/>
  <c r="H64" i="7"/>
  <c r="G63" i="7"/>
  <c r="H63" i="7"/>
  <c r="F63" i="7"/>
  <c r="E63" i="7"/>
  <c r="N64" i="7"/>
  <c r="M64" i="7"/>
  <c r="L64" i="7"/>
  <c r="K64" i="7"/>
  <c r="J64" i="7"/>
  <c r="I64" i="7"/>
  <c r="G64" i="7"/>
  <c r="F64" i="7"/>
  <c r="E64" i="7"/>
  <c r="D64" i="7"/>
  <c r="C64" i="7"/>
  <c r="D63" i="7"/>
  <c r="C63" i="7"/>
  <c r="C62" i="7"/>
  <c r="N45" i="7"/>
  <c r="M45" i="7"/>
  <c r="L45" i="7"/>
  <c r="K45" i="7"/>
  <c r="J45" i="7"/>
  <c r="I45" i="7"/>
  <c r="H45" i="7"/>
  <c r="G45" i="7"/>
  <c r="F45" i="7"/>
  <c r="E45" i="7"/>
  <c r="D45" i="7"/>
  <c r="C45" i="7"/>
  <c r="E35" i="7"/>
  <c r="F35" i="7"/>
  <c r="G35" i="7"/>
  <c r="H35" i="7"/>
  <c r="I35" i="7"/>
  <c r="J35" i="7"/>
  <c r="K35" i="7"/>
  <c r="L35" i="7"/>
  <c r="M35" i="7"/>
  <c r="N35" i="7"/>
  <c r="D35" i="7"/>
  <c r="C35" i="7"/>
  <c r="D34" i="7"/>
  <c r="E34" i="7"/>
  <c r="F34" i="7"/>
  <c r="G34" i="7"/>
  <c r="H34" i="7"/>
  <c r="I34" i="7"/>
  <c r="J34" i="7"/>
  <c r="K34" i="7"/>
  <c r="L34" i="7"/>
  <c r="M34" i="7"/>
  <c r="N34" i="7"/>
  <c r="C34" i="7"/>
  <c r="D16" i="7"/>
  <c r="E16" i="7"/>
  <c r="F16" i="7"/>
  <c r="G16" i="7"/>
  <c r="H16" i="7"/>
  <c r="I16" i="7"/>
  <c r="J16" i="7"/>
  <c r="K16" i="7"/>
  <c r="L16" i="7"/>
  <c r="M16" i="7"/>
  <c r="N16" i="7"/>
  <c r="C16" i="7"/>
  <c r="I7" i="7"/>
  <c r="H7" i="7"/>
  <c r="G7" i="7"/>
  <c r="N96" i="7" l="1"/>
  <c r="E12" i="10" s="1"/>
  <c r="N67" i="7"/>
  <c r="D12" i="10" s="1"/>
  <c r="N38" i="7"/>
  <c r="C12" i="10" s="1"/>
  <c r="P92" i="9"/>
  <c r="D14" i="10" s="1"/>
  <c r="P132" i="9"/>
  <c r="E14" i="10" s="1"/>
  <c r="P57" i="9"/>
  <c r="C14" i="10" s="1"/>
  <c r="C6" i="6"/>
  <c r="C5" i="6"/>
  <c r="F9" i="13" l="1"/>
  <c r="D20" i="13" s="1"/>
  <c r="H14" i="10"/>
  <c r="G9" i="13"/>
  <c r="E20" i="13" s="1"/>
  <c r="I14" i="10"/>
  <c r="H9" i="13"/>
  <c r="F20" i="13" s="1"/>
  <c r="J14" i="10"/>
  <c r="J12" i="10"/>
  <c r="H7" i="13"/>
  <c r="F18" i="13" s="1"/>
  <c r="I12" i="10"/>
  <c r="G7" i="13"/>
  <c r="E18" i="13" s="1"/>
  <c r="H12" i="10"/>
  <c r="F7" i="13"/>
  <c r="D18" i="13" s="1"/>
  <c r="A63" i="3"/>
  <c r="A49" i="17" s="1"/>
  <c r="A62" i="3"/>
  <c r="A48" i="17" s="1"/>
  <c r="B60" i="3"/>
  <c r="B46" i="17" s="1"/>
  <c r="A46" i="3"/>
  <c r="A45" i="3"/>
  <c r="B43" i="3"/>
  <c r="A41" i="17" l="1"/>
  <c r="A43" i="16"/>
  <c r="F11" i="15"/>
  <c r="F11" i="16" s="1"/>
  <c r="D11" i="15"/>
  <c r="D11" i="16" s="1"/>
  <c r="E13" i="15"/>
  <c r="E13" i="16" s="1"/>
  <c r="B38" i="17"/>
  <c r="B40" i="16"/>
  <c r="E11" i="15"/>
  <c r="E11" i="16" s="1"/>
  <c r="A40" i="17"/>
  <c r="A42" i="16"/>
  <c r="D13" i="15"/>
  <c r="D13" i="16" s="1"/>
  <c r="F13" i="15"/>
  <c r="F13" i="16" s="1"/>
  <c r="E7" i="3"/>
  <c r="D37" i="2"/>
  <c r="C37" i="2"/>
  <c r="E36" i="2"/>
  <c r="E35" i="2"/>
  <c r="E7" i="10" l="1"/>
  <c r="E7" i="9"/>
  <c r="E7" i="8"/>
  <c r="E7" i="7"/>
  <c r="D39" i="2"/>
  <c r="B26" i="3"/>
  <c r="A29" i="3"/>
  <c r="A28" i="3"/>
  <c r="D53" i="2"/>
  <c r="D52" i="2"/>
  <c r="D51" i="2"/>
  <c r="B27" i="3" s="1"/>
  <c r="B62" i="3" l="1"/>
  <c r="B45" i="3"/>
  <c r="B28" i="3"/>
  <c r="B63" i="3"/>
  <c r="B46" i="3"/>
  <c r="B29" i="3"/>
  <c r="C29" i="2" l="1"/>
  <c r="C28" i="2"/>
  <c r="B78" i="2" s="1"/>
  <c r="B79" i="2" l="1"/>
  <c r="C79" i="2" s="1"/>
  <c r="E6" i="3" s="1"/>
  <c r="C78" i="2"/>
  <c r="E5" i="3" s="1"/>
  <c r="F28" i="2"/>
  <c r="H11" i="3" l="1"/>
  <c r="AE61" i="3"/>
  <c r="AE47" i="17" s="1"/>
  <c r="AB61" i="3"/>
  <c r="AB47" i="17" s="1"/>
  <c r="D61" i="3"/>
  <c r="D47" i="17" s="1"/>
  <c r="P44" i="3"/>
  <c r="AB27" i="3"/>
  <c r="D27" i="3"/>
  <c r="Y27" i="3"/>
  <c r="G61" i="3"/>
  <c r="G47" i="17" s="1"/>
  <c r="Y61" i="3"/>
  <c r="Y47" i="17" s="1"/>
  <c r="AK44" i="3"/>
  <c r="M44" i="3"/>
  <c r="AE44" i="3"/>
  <c r="AH27" i="3"/>
  <c r="S44" i="3"/>
  <c r="G27" i="3"/>
  <c r="V61" i="3"/>
  <c r="V47" i="17" s="1"/>
  <c r="AH44" i="3"/>
  <c r="J44" i="3"/>
  <c r="V27" i="3"/>
  <c r="S61" i="3"/>
  <c r="S47" i="17" s="1"/>
  <c r="G44" i="3"/>
  <c r="S27" i="3"/>
  <c r="P61" i="3"/>
  <c r="P47" i="17" s="1"/>
  <c r="AB44" i="3"/>
  <c r="D44" i="3"/>
  <c r="P27" i="3"/>
  <c r="AK61" i="3"/>
  <c r="AK47" i="17" s="1"/>
  <c r="M61" i="3"/>
  <c r="M47" i="17" s="1"/>
  <c r="Y44" i="3"/>
  <c r="AK27" i="3"/>
  <c r="M27" i="3"/>
  <c r="AH61" i="3"/>
  <c r="AH47" i="17" s="1"/>
  <c r="J61" i="3"/>
  <c r="J47" i="17" s="1"/>
  <c r="V44" i="3"/>
  <c r="J27" i="3"/>
  <c r="AE27" i="3"/>
  <c r="E6" i="10"/>
  <c r="E6" i="9"/>
  <c r="E6" i="8"/>
  <c r="E6" i="7"/>
  <c r="E5" i="10"/>
  <c r="E5" i="9"/>
  <c r="E5" i="8"/>
  <c r="E5" i="7"/>
  <c r="AD28" i="3"/>
  <c r="R45" i="3"/>
  <c r="C45" i="3"/>
  <c r="U28" i="3"/>
  <c r="AJ62" i="3"/>
  <c r="L28" i="3"/>
  <c r="AA28" i="3"/>
  <c r="F62" i="3"/>
  <c r="AA45" i="3"/>
  <c r="O45" i="3"/>
  <c r="AJ28" i="3"/>
  <c r="M17" i="8" s="1"/>
  <c r="F28" i="3"/>
  <c r="X62" i="3"/>
  <c r="AG45" i="3"/>
  <c r="R62" i="3"/>
  <c r="I62" i="3"/>
  <c r="R28" i="3"/>
  <c r="AD62" i="3"/>
  <c r="I28" i="3"/>
  <c r="U62" i="3"/>
  <c r="O28" i="3"/>
  <c r="F45" i="3"/>
  <c r="L45" i="3"/>
  <c r="AG62" i="3"/>
  <c r="AD45" i="3"/>
  <c r="X45" i="3"/>
  <c r="AG28" i="3"/>
  <c r="C28" i="3"/>
  <c r="I45" i="3"/>
  <c r="C62" i="3"/>
  <c r="L62" i="3"/>
  <c r="O62" i="3"/>
  <c r="X28" i="3"/>
  <c r="U45" i="3"/>
  <c r="AJ45" i="3"/>
  <c r="M27" i="8" s="1"/>
  <c r="AA62" i="3"/>
  <c r="AJ46" i="3"/>
  <c r="O46" i="3"/>
  <c r="I63" i="3"/>
  <c r="O63" i="3"/>
  <c r="I46" i="3"/>
  <c r="F29" i="3"/>
  <c r="U63" i="3"/>
  <c r="F46" i="3"/>
  <c r="AA63" i="3"/>
  <c r="U46" i="3"/>
  <c r="X29" i="3"/>
  <c r="L46" i="3"/>
  <c r="AJ29" i="3"/>
  <c r="AA29" i="3"/>
  <c r="C29" i="3"/>
  <c r="AG63" i="3"/>
  <c r="AD46" i="3"/>
  <c r="L29" i="3"/>
  <c r="AG46" i="3"/>
  <c r="L63" i="3"/>
  <c r="AJ63" i="3"/>
  <c r="U29" i="3"/>
  <c r="F63" i="3"/>
  <c r="AD29" i="3"/>
  <c r="AG29" i="3"/>
  <c r="X63" i="3"/>
  <c r="X46" i="3"/>
  <c r="R63" i="3"/>
  <c r="R46" i="3"/>
  <c r="C46" i="3"/>
  <c r="C63" i="3"/>
  <c r="AD63" i="3"/>
  <c r="I29" i="3"/>
  <c r="O29" i="3"/>
  <c r="AA46" i="3"/>
  <c r="R29" i="3"/>
  <c r="I11" i="3"/>
  <c r="B77" i="2"/>
  <c r="C77" i="2" s="1"/>
  <c r="D44" i="2"/>
  <c r="D45" i="2" s="1"/>
  <c r="M45" i="18" l="1"/>
  <c r="M57" i="17"/>
  <c r="M59" i="16"/>
  <c r="M51" i="16"/>
  <c r="M37" i="18"/>
  <c r="S39" i="17"/>
  <c r="S41" i="16"/>
  <c r="AE39" i="17"/>
  <c r="AE41" i="16"/>
  <c r="P39" i="17"/>
  <c r="P41" i="16"/>
  <c r="M39" i="17"/>
  <c r="M41" i="16"/>
  <c r="G39" i="17"/>
  <c r="G41" i="16"/>
  <c r="V39" i="17"/>
  <c r="V41" i="16"/>
  <c r="J39" i="17"/>
  <c r="J41" i="16"/>
  <c r="AK39" i="17"/>
  <c r="AK41" i="16"/>
  <c r="D39" i="17"/>
  <c r="D41" i="16"/>
  <c r="AH39" i="17"/>
  <c r="AH41" i="16"/>
  <c r="Y39" i="17"/>
  <c r="Y41" i="16"/>
  <c r="AB39" i="17"/>
  <c r="AB41" i="16"/>
  <c r="AG64" i="3"/>
  <c r="F64" i="3"/>
  <c r="U64" i="3"/>
  <c r="H36" i="8" s="1"/>
  <c r="H64" i="17" s="1"/>
  <c r="O64" i="3"/>
  <c r="F36" i="8" s="1"/>
  <c r="F64" i="17" s="1"/>
  <c r="AJ64" i="3"/>
  <c r="M37" i="8" s="1"/>
  <c r="M65" i="17" s="1"/>
  <c r="AA64" i="3"/>
  <c r="J36" i="8" s="1"/>
  <c r="J64" i="17" s="1"/>
  <c r="I64" i="3"/>
  <c r="L64" i="3"/>
  <c r="E36" i="8" s="1"/>
  <c r="E64" i="17" s="1"/>
  <c r="R64" i="3"/>
  <c r="G36" i="8" s="1"/>
  <c r="G64" i="17" s="1"/>
  <c r="F47" i="3"/>
  <c r="X64" i="3"/>
  <c r="I36" i="8" s="1"/>
  <c r="I64" i="17" s="1"/>
  <c r="F6" i="6"/>
  <c r="AD64" i="3"/>
  <c r="R47" i="3"/>
  <c r="G26" i="8" s="1"/>
  <c r="E6" i="6"/>
  <c r="D29" i="3"/>
  <c r="D6" i="6"/>
  <c r="C64" i="3"/>
  <c r="F5" i="6"/>
  <c r="D5" i="6"/>
  <c r="E5" i="6"/>
  <c r="X47" i="3"/>
  <c r="I26" i="8" s="1"/>
  <c r="AG47" i="3"/>
  <c r="I47" i="3"/>
  <c r="L47" i="3"/>
  <c r="E26" i="8" s="1"/>
  <c r="AJ47" i="3"/>
  <c r="C47" i="3"/>
  <c r="U47" i="3"/>
  <c r="H26" i="8" s="1"/>
  <c r="O47" i="3"/>
  <c r="AD47" i="3"/>
  <c r="AA47" i="3"/>
  <c r="X30" i="3"/>
  <c r="I16" i="8" s="1"/>
  <c r="L30" i="3"/>
  <c r="C30" i="3"/>
  <c r="F30" i="3"/>
  <c r="AA30" i="3"/>
  <c r="O30" i="3"/>
  <c r="U30" i="3"/>
  <c r="H16" i="8" s="1"/>
  <c r="AG30" i="3"/>
  <c r="I30" i="3"/>
  <c r="E16" i="8" s="1"/>
  <c r="AJ30" i="3"/>
  <c r="R30" i="3"/>
  <c r="G16" i="8" s="1"/>
  <c r="AD30" i="3"/>
  <c r="T63" i="3"/>
  <c r="T49" i="17" s="1"/>
  <c r="S63" i="3"/>
  <c r="S49" i="17" s="1"/>
  <c r="R49" i="17" s="1"/>
  <c r="M46" i="3"/>
  <c r="N46" i="3"/>
  <c r="G62" i="3"/>
  <c r="G48" i="17" s="1"/>
  <c r="F48" i="17" s="1"/>
  <c r="H62" i="3"/>
  <c r="H48" i="17" s="1"/>
  <c r="AC46" i="3"/>
  <c r="AB46" i="3"/>
  <c r="Y46" i="3"/>
  <c r="Z46" i="3"/>
  <c r="AH46" i="3"/>
  <c r="AI46" i="3"/>
  <c r="Z29" i="3"/>
  <c r="Y29" i="3"/>
  <c r="K63" i="3"/>
  <c r="K49" i="17" s="1"/>
  <c r="J63" i="3"/>
  <c r="J49" i="17" s="1"/>
  <c r="I49" i="17" s="1"/>
  <c r="N62" i="3"/>
  <c r="N48" i="17" s="1"/>
  <c r="M62" i="3"/>
  <c r="M48" i="17" s="1"/>
  <c r="L48" i="17" s="1"/>
  <c r="N45" i="3"/>
  <c r="M45" i="3"/>
  <c r="S62" i="3"/>
  <c r="S48" i="17" s="1"/>
  <c r="R48" i="17" s="1"/>
  <c r="T62" i="3"/>
  <c r="T48" i="17" s="1"/>
  <c r="AC28" i="3"/>
  <c r="AB28" i="3"/>
  <c r="N63" i="3"/>
  <c r="N49" i="17" s="1"/>
  <c r="M63" i="3"/>
  <c r="M49" i="17" s="1"/>
  <c r="L49" i="17" s="1"/>
  <c r="Q62" i="3"/>
  <c r="Q48" i="17" s="1"/>
  <c r="P62" i="3"/>
  <c r="P48" i="17" s="1"/>
  <c r="O48" i="17" s="1"/>
  <c r="O50" i="17" s="1"/>
  <c r="AH45" i="3"/>
  <c r="AI45" i="3"/>
  <c r="K29" i="3"/>
  <c r="J29" i="3"/>
  <c r="AI29" i="3"/>
  <c r="AH29" i="3"/>
  <c r="AE46" i="3"/>
  <c r="AF46" i="3"/>
  <c r="AC63" i="3"/>
  <c r="AC49" i="17" s="1"/>
  <c r="AB63" i="3"/>
  <c r="AB49" i="17" s="1"/>
  <c r="AA49" i="17" s="1"/>
  <c r="AK46" i="3"/>
  <c r="AL46" i="3"/>
  <c r="J45" i="3"/>
  <c r="K45" i="3"/>
  <c r="Q28" i="3"/>
  <c r="P28" i="3"/>
  <c r="Y62" i="3"/>
  <c r="Y48" i="17" s="1"/>
  <c r="X48" i="17" s="1"/>
  <c r="Z62" i="3"/>
  <c r="Z48" i="17" s="1"/>
  <c r="AK62" i="3"/>
  <c r="AK48" i="17" s="1"/>
  <c r="AJ48" i="17" s="1"/>
  <c r="AL62" i="3"/>
  <c r="AL48" i="17" s="1"/>
  <c r="W29" i="3"/>
  <c r="V29" i="3"/>
  <c r="T29" i="3"/>
  <c r="S29" i="3"/>
  <c r="P63" i="3"/>
  <c r="P49" i="17" s="1"/>
  <c r="O49" i="17" s="1"/>
  <c r="Q63" i="3"/>
  <c r="Q49" i="17" s="1"/>
  <c r="J62" i="3"/>
  <c r="J48" i="17" s="1"/>
  <c r="I48" i="17" s="1"/>
  <c r="K62" i="3"/>
  <c r="K48" i="17" s="1"/>
  <c r="Q29" i="3"/>
  <c r="P29" i="3"/>
  <c r="N29" i="3"/>
  <c r="M29" i="3"/>
  <c r="V46" i="3"/>
  <c r="W46" i="3"/>
  <c r="P46" i="3"/>
  <c r="Q46" i="3"/>
  <c r="E62" i="3"/>
  <c r="E48" i="17" s="1"/>
  <c r="D62" i="3"/>
  <c r="D48" i="17" s="1"/>
  <c r="C48" i="17" s="1"/>
  <c r="H45" i="3"/>
  <c r="G45" i="3"/>
  <c r="N28" i="3"/>
  <c r="M28" i="3"/>
  <c r="AF63" i="3"/>
  <c r="AF49" i="17" s="1"/>
  <c r="AE63" i="3"/>
  <c r="AE49" i="17" s="1"/>
  <c r="AD49" i="17" s="1"/>
  <c r="AF29" i="3"/>
  <c r="AE29" i="3"/>
  <c r="AH63" i="3"/>
  <c r="AH49" i="17" s="1"/>
  <c r="AG49" i="17" s="1"/>
  <c r="AI63" i="3"/>
  <c r="AI49" i="17" s="1"/>
  <c r="G46" i="3"/>
  <c r="H46" i="3"/>
  <c r="AC62" i="3"/>
  <c r="AC48" i="17" s="1"/>
  <c r="AB62" i="3"/>
  <c r="AB48" i="17" s="1"/>
  <c r="AA48" i="17" s="1"/>
  <c r="E29" i="3"/>
  <c r="E28" i="3"/>
  <c r="D28" i="3"/>
  <c r="V62" i="3"/>
  <c r="V48" i="17" s="1"/>
  <c r="U48" i="17" s="1"/>
  <c r="W62" i="3"/>
  <c r="W48" i="17" s="1"/>
  <c r="H29" i="3"/>
  <c r="H28" i="3"/>
  <c r="G28" i="3"/>
  <c r="W28" i="3"/>
  <c r="W30" i="3" s="1"/>
  <c r="V28" i="3"/>
  <c r="V30" i="3" s="1"/>
  <c r="AH62" i="3"/>
  <c r="AH48" i="17" s="1"/>
  <c r="AG48" i="17" s="1"/>
  <c r="AG50" i="17" s="1"/>
  <c r="AI62" i="3"/>
  <c r="AI48" i="17" s="1"/>
  <c r="Y63" i="3"/>
  <c r="Y49" i="17" s="1"/>
  <c r="X49" i="17" s="1"/>
  <c r="X50" i="17" s="1"/>
  <c r="Z63" i="3"/>
  <c r="Z49" i="17" s="1"/>
  <c r="E63" i="3"/>
  <c r="E49" i="17" s="1"/>
  <c r="D63" i="3"/>
  <c r="D49" i="17" s="1"/>
  <c r="C49" i="17" s="1"/>
  <c r="C50" i="17" s="1"/>
  <c r="H63" i="3"/>
  <c r="H49" i="17" s="1"/>
  <c r="G63" i="3"/>
  <c r="G49" i="17" s="1"/>
  <c r="F49" i="17" s="1"/>
  <c r="F50" i="17" s="1"/>
  <c r="W63" i="3"/>
  <c r="W49" i="17" s="1"/>
  <c r="V63" i="3"/>
  <c r="V49" i="17" s="1"/>
  <c r="U49" i="17" s="1"/>
  <c r="U50" i="17" s="1"/>
  <c r="AL45" i="3"/>
  <c r="AK45" i="3"/>
  <c r="AI28" i="3"/>
  <c r="AH28" i="3"/>
  <c r="K28" i="3"/>
  <c r="J28" i="3"/>
  <c r="AL28" i="3"/>
  <c r="AK28" i="3"/>
  <c r="D45" i="3"/>
  <c r="E45" i="3"/>
  <c r="V45" i="3"/>
  <c r="W45" i="3"/>
  <c r="E46" i="3"/>
  <c r="D46" i="3"/>
  <c r="AC29" i="3"/>
  <c r="AB29" i="3"/>
  <c r="G29" i="3"/>
  <c r="Y45" i="3"/>
  <c r="Z45" i="3"/>
  <c r="AF62" i="3"/>
  <c r="AF48" i="17" s="1"/>
  <c r="AE62" i="3"/>
  <c r="AE48" i="17" s="1"/>
  <c r="AD48" i="17" s="1"/>
  <c r="P45" i="3"/>
  <c r="Q45" i="3"/>
  <c r="T45" i="3"/>
  <c r="S45" i="3"/>
  <c r="T46" i="3"/>
  <c r="S46" i="3"/>
  <c r="AK63" i="3"/>
  <c r="AK49" i="17" s="1"/>
  <c r="AJ49" i="17" s="1"/>
  <c r="AJ50" i="17" s="1"/>
  <c r="AL63" i="3"/>
  <c r="AL49" i="17" s="1"/>
  <c r="AL29" i="3"/>
  <c r="AK29" i="3"/>
  <c r="K46" i="3"/>
  <c r="J46" i="3"/>
  <c r="Z28" i="3"/>
  <c r="Y28" i="3"/>
  <c r="AF45" i="3"/>
  <c r="AE45" i="3"/>
  <c r="T28" i="3"/>
  <c r="S28" i="3"/>
  <c r="AB45" i="3"/>
  <c r="AC45" i="3"/>
  <c r="AF28" i="3"/>
  <c r="AE28" i="3"/>
  <c r="C81" i="2"/>
  <c r="B81" i="2"/>
  <c r="W40" i="17" l="1"/>
  <c r="W42" i="16"/>
  <c r="AL41" i="17"/>
  <c r="AL43" i="16"/>
  <c r="S41" i="17"/>
  <c r="R41" i="17" s="1"/>
  <c r="S43" i="16"/>
  <c r="R43" i="16" s="1"/>
  <c r="Z40" i="17"/>
  <c r="Z42" i="16"/>
  <c r="V40" i="17"/>
  <c r="U40" i="17" s="1"/>
  <c r="V42" i="16"/>
  <c r="U42" i="16" s="1"/>
  <c r="U44" i="16" s="1"/>
  <c r="P41" i="17"/>
  <c r="O41" i="17" s="1"/>
  <c r="P43" i="16"/>
  <c r="O43" i="16" s="1"/>
  <c r="I50" i="17"/>
  <c r="AK41" i="17"/>
  <c r="AJ41" i="17" s="1"/>
  <c r="AK43" i="16"/>
  <c r="AJ43" i="16" s="1"/>
  <c r="AC41" i="17"/>
  <c r="AC43" i="16"/>
  <c r="G50" i="16"/>
  <c r="G36" i="18"/>
  <c r="AF40" i="17"/>
  <c r="AF42" i="16"/>
  <c r="Y40" i="17"/>
  <c r="X40" i="17" s="1"/>
  <c r="Y42" i="16"/>
  <c r="X42" i="16" s="1"/>
  <c r="H41" i="17"/>
  <c r="H43" i="16"/>
  <c r="W41" i="17"/>
  <c r="W43" i="16"/>
  <c r="AA50" i="17"/>
  <c r="AI40" i="17"/>
  <c r="AI42" i="16"/>
  <c r="E44" i="18"/>
  <c r="E56" i="17"/>
  <c r="E58" i="16"/>
  <c r="T41" i="17"/>
  <c r="T43" i="16"/>
  <c r="E40" i="17"/>
  <c r="E42" i="16"/>
  <c r="AK40" i="17"/>
  <c r="AJ40" i="17" s="1"/>
  <c r="AJ42" i="17" s="1"/>
  <c r="AK42" i="16"/>
  <c r="AJ42" i="16" s="1"/>
  <c r="AJ44" i="16" s="1"/>
  <c r="AC40" i="17"/>
  <c r="AC42" i="16"/>
  <c r="J41" i="17"/>
  <c r="I41" i="17" s="1"/>
  <c r="I42" i="17" s="1"/>
  <c r="J43" i="16"/>
  <c r="I43" i="16" s="1"/>
  <c r="S40" i="17"/>
  <c r="R40" i="17" s="1"/>
  <c r="S42" i="16"/>
  <c r="R42" i="16" s="1"/>
  <c r="R44" i="16" s="1"/>
  <c r="D40" i="17"/>
  <c r="C40" i="17" s="1"/>
  <c r="D42" i="16"/>
  <c r="C42" i="16" s="1"/>
  <c r="AL40" i="17"/>
  <c r="AL42" i="16"/>
  <c r="G41" i="17"/>
  <c r="F41" i="17" s="1"/>
  <c r="F42" i="17" s="1"/>
  <c r="G43" i="16"/>
  <c r="F43" i="16" s="1"/>
  <c r="V41" i="17"/>
  <c r="U41" i="17" s="1"/>
  <c r="V43" i="16"/>
  <c r="U43" i="16" s="1"/>
  <c r="AH40" i="17"/>
  <c r="AG40" i="17" s="1"/>
  <c r="AG42" i="17" s="1"/>
  <c r="AH42" i="16"/>
  <c r="AG42" i="16" s="1"/>
  <c r="E50" i="16"/>
  <c r="E36" i="18"/>
  <c r="I50" i="16"/>
  <c r="I36" i="18"/>
  <c r="T40" i="17"/>
  <c r="T42" i="16"/>
  <c r="AF41" i="17"/>
  <c r="AF43" i="16"/>
  <c r="M40" i="17"/>
  <c r="L40" i="17" s="1"/>
  <c r="L42" i="17" s="1"/>
  <c r="M42" i="16"/>
  <c r="L42" i="16" s="1"/>
  <c r="L44" i="16" s="1"/>
  <c r="AI41" i="17"/>
  <c r="AI43" i="16"/>
  <c r="N41" i="17"/>
  <c r="N43" i="16"/>
  <c r="AB40" i="17"/>
  <c r="AA40" i="17" s="1"/>
  <c r="AB42" i="16"/>
  <c r="AA42" i="16" s="1"/>
  <c r="AA44" i="16" s="1"/>
  <c r="G40" i="17"/>
  <c r="F40" i="17" s="1"/>
  <c r="G42" i="16"/>
  <c r="F42" i="16" s="1"/>
  <c r="F44" i="16" s="1"/>
  <c r="Q40" i="17"/>
  <c r="Q42" i="16"/>
  <c r="H40" i="17"/>
  <c r="H42" i="16"/>
  <c r="AE41" i="17"/>
  <c r="AD41" i="17" s="1"/>
  <c r="AE43" i="16"/>
  <c r="AD43" i="16" s="1"/>
  <c r="N40" i="17"/>
  <c r="N42" i="16"/>
  <c r="AH41" i="17"/>
  <c r="AG41" i="17" s="1"/>
  <c r="AH43" i="16"/>
  <c r="AG43" i="16" s="1"/>
  <c r="M41" i="17"/>
  <c r="L41" i="17" s="1"/>
  <c r="M43" i="16"/>
  <c r="L43" i="16" s="1"/>
  <c r="H50" i="16"/>
  <c r="H36" i="18"/>
  <c r="I44" i="18"/>
  <c r="I56" i="17"/>
  <c r="I58" i="16"/>
  <c r="G44" i="18"/>
  <c r="G56" i="17"/>
  <c r="G58" i="16"/>
  <c r="K41" i="17"/>
  <c r="K43" i="16"/>
  <c r="P40" i="17"/>
  <c r="O40" i="17" s="1"/>
  <c r="O42" i="17" s="1"/>
  <c r="P42" i="16"/>
  <c r="O42" i="16" s="1"/>
  <c r="O44" i="16" s="1"/>
  <c r="D41" i="17"/>
  <c r="C41" i="17" s="1"/>
  <c r="D43" i="16"/>
  <c r="C43" i="16" s="1"/>
  <c r="K40" i="17"/>
  <c r="K42" i="16"/>
  <c r="L50" i="17"/>
  <c r="Z41" i="17"/>
  <c r="Z43" i="16"/>
  <c r="R50" i="17"/>
  <c r="AM50" i="17" s="1"/>
  <c r="M10" i="17" s="1"/>
  <c r="Q41" i="17"/>
  <c r="Q43" i="16"/>
  <c r="AB41" i="17"/>
  <c r="AA41" i="17" s="1"/>
  <c r="AA42" i="17" s="1"/>
  <c r="AB43" i="16"/>
  <c r="AA43" i="16" s="1"/>
  <c r="AE40" i="17"/>
  <c r="AD40" i="17" s="1"/>
  <c r="AD42" i="17" s="1"/>
  <c r="AE42" i="16"/>
  <c r="AD42" i="16" s="1"/>
  <c r="AD44" i="16" s="1"/>
  <c r="AD50" i="17"/>
  <c r="E41" i="17"/>
  <c r="E43" i="16"/>
  <c r="J40" i="17"/>
  <c r="I40" i="17" s="1"/>
  <c r="J42" i="16"/>
  <c r="I42" i="16" s="1"/>
  <c r="I44" i="16" s="1"/>
  <c r="Y41" i="17"/>
  <c r="X41" i="17" s="1"/>
  <c r="Y43" i="16"/>
  <c r="X43" i="16" s="1"/>
  <c r="H44" i="18"/>
  <c r="H56" i="17"/>
  <c r="H58" i="16"/>
  <c r="F7" i="6"/>
  <c r="H5" i="13" s="1"/>
  <c r="F17" i="13" s="1"/>
  <c r="D30" i="3"/>
  <c r="AB47" i="3"/>
  <c r="W64" i="3"/>
  <c r="W50" i="17" s="1"/>
  <c r="Y47" i="3"/>
  <c r="AI64" i="3"/>
  <c r="AI50" i="17" s="1"/>
  <c r="E35" i="8"/>
  <c r="E63" i="17" s="1"/>
  <c r="M66" i="17" s="1"/>
  <c r="M12" i="17" s="1"/>
  <c r="M14" i="17" s="1"/>
  <c r="D47" i="3"/>
  <c r="S64" i="3"/>
  <c r="S50" i="17" s="1"/>
  <c r="M35" i="8"/>
  <c r="M63" i="17" s="1"/>
  <c r="AE64" i="3"/>
  <c r="AE50" i="17" s="1"/>
  <c r="E7" i="6"/>
  <c r="G5" i="13" s="1"/>
  <c r="E17" i="13" s="1"/>
  <c r="Y30" i="3"/>
  <c r="J64" i="3"/>
  <c r="J50" i="17" s="1"/>
  <c r="AK64" i="3"/>
  <c r="AK50" i="17" s="1"/>
  <c r="Y64" i="3"/>
  <c r="Y50" i="17" s="1"/>
  <c r="G64" i="3"/>
  <c r="G50" i="17" s="1"/>
  <c r="V64" i="3"/>
  <c r="V50" i="17" s="1"/>
  <c r="P64" i="3"/>
  <c r="P50" i="17" s="1"/>
  <c r="D64" i="3"/>
  <c r="D50" i="17" s="1"/>
  <c r="M64" i="3"/>
  <c r="M50" i="17" s="1"/>
  <c r="I35" i="8"/>
  <c r="I63" i="17" s="1"/>
  <c r="M15" i="8"/>
  <c r="AB64" i="3"/>
  <c r="AB50" i="17" s="1"/>
  <c r="E25" i="8"/>
  <c r="E15" i="8"/>
  <c r="T64" i="3"/>
  <c r="T50" i="17" s="1"/>
  <c r="M25" i="8"/>
  <c r="I15" i="8"/>
  <c r="I25" i="8"/>
  <c r="D7" i="6"/>
  <c r="F5" i="13" s="1"/>
  <c r="D17" i="13" s="1"/>
  <c r="D10" i="15" s="1"/>
  <c r="D10" i="16" s="1"/>
  <c r="H64" i="3"/>
  <c r="H50" i="17" s="1"/>
  <c r="AC64" i="3"/>
  <c r="AC50" i="17" s="1"/>
  <c r="F16" i="8"/>
  <c r="E64" i="3"/>
  <c r="E50" i="17" s="1"/>
  <c r="N64" i="3"/>
  <c r="N50" i="17" s="1"/>
  <c r="J16" i="8"/>
  <c r="F26" i="8"/>
  <c r="AF64" i="3"/>
  <c r="AF50" i="17" s="1"/>
  <c r="K64" i="3"/>
  <c r="K50" i="17" s="1"/>
  <c r="AL64" i="3"/>
  <c r="AL50" i="17" s="1"/>
  <c r="H30" i="3"/>
  <c r="Z64" i="3"/>
  <c r="Z50" i="17" s="1"/>
  <c r="J26" i="8"/>
  <c r="Q47" i="3"/>
  <c r="AH67" i="3"/>
  <c r="AH64" i="3"/>
  <c r="AH50" i="17" s="1"/>
  <c r="Q64" i="3"/>
  <c r="Q50" i="17" s="1"/>
  <c r="J30" i="3"/>
  <c r="AL47" i="3"/>
  <c r="T47" i="3"/>
  <c r="S30" i="3"/>
  <c r="H47" i="3"/>
  <c r="N47" i="3"/>
  <c r="P47" i="3"/>
  <c r="K47" i="3"/>
  <c r="AK47" i="3"/>
  <c r="S47" i="3"/>
  <c r="AC47" i="3"/>
  <c r="AF47" i="3"/>
  <c r="W47" i="3"/>
  <c r="AH47" i="3"/>
  <c r="AK30" i="3"/>
  <c r="G47" i="3"/>
  <c r="P30" i="3"/>
  <c r="M47" i="3"/>
  <c r="J47" i="3"/>
  <c r="AE47" i="3"/>
  <c r="AH30" i="3"/>
  <c r="G30" i="3"/>
  <c r="AB30" i="3"/>
  <c r="AE30" i="3"/>
  <c r="Z47" i="3"/>
  <c r="V47" i="3"/>
  <c r="Z30" i="3"/>
  <c r="E47" i="3"/>
  <c r="M30" i="3"/>
  <c r="AI47" i="3"/>
  <c r="AL30" i="3"/>
  <c r="K30" i="3"/>
  <c r="AC30" i="3"/>
  <c r="AF30" i="3"/>
  <c r="M33" i="3"/>
  <c r="AB33" i="3"/>
  <c r="N30" i="3"/>
  <c r="AI30" i="3"/>
  <c r="S33" i="3"/>
  <c r="D33" i="3"/>
  <c r="Q30" i="3"/>
  <c r="T30" i="3"/>
  <c r="V33" i="3"/>
  <c r="E30" i="3"/>
  <c r="AH33" i="3"/>
  <c r="AE33" i="3"/>
  <c r="G33" i="3"/>
  <c r="P33" i="3"/>
  <c r="Y33" i="3"/>
  <c r="AK33" i="3"/>
  <c r="J33" i="3"/>
  <c r="J67" i="3"/>
  <c r="AK67" i="3"/>
  <c r="AE50" i="3"/>
  <c r="AB67" i="3"/>
  <c r="D50" i="3"/>
  <c r="V67" i="3"/>
  <c r="P50" i="3"/>
  <c r="G50" i="3"/>
  <c r="S67" i="3"/>
  <c r="G67" i="3"/>
  <c r="AE67" i="3"/>
  <c r="P67" i="3"/>
  <c r="Y67" i="3"/>
  <c r="D67" i="3"/>
  <c r="J50" i="3"/>
  <c r="M67" i="3"/>
  <c r="AH50" i="3"/>
  <c r="Y50" i="3"/>
  <c r="V50" i="3"/>
  <c r="M50" i="3"/>
  <c r="AB50" i="3"/>
  <c r="S50" i="3"/>
  <c r="AK50" i="3"/>
  <c r="A85" i="2"/>
  <c r="D74" i="2" s="1"/>
  <c r="E4" i="3"/>
  <c r="M15" i="17" l="1"/>
  <c r="M16" i="17"/>
  <c r="K42" i="17"/>
  <c r="K44" i="16"/>
  <c r="D42" i="17"/>
  <c r="D44" i="16"/>
  <c r="W42" i="17"/>
  <c r="W44" i="16"/>
  <c r="H42" i="17"/>
  <c r="H44" i="16"/>
  <c r="Q42" i="17"/>
  <c r="Q44" i="16"/>
  <c r="J50" i="16"/>
  <c r="J36" i="18"/>
  <c r="M38" i="18" s="1"/>
  <c r="K12" i="18" s="1"/>
  <c r="K14" i="18" s="1"/>
  <c r="Y42" i="17"/>
  <c r="Y44" i="16"/>
  <c r="AG44" i="16"/>
  <c r="C44" i="16"/>
  <c r="X44" i="16"/>
  <c r="G42" i="17"/>
  <c r="G44" i="16"/>
  <c r="P42" i="17"/>
  <c r="P44" i="16"/>
  <c r="AH42" i="17"/>
  <c r="AH44" i="16"/>
  <c r="F44" i="18"/>
  <c r="F56" i="17"/>
  <c r="F58" i="16"/>
  <c r="E42" i="17"/>
  <c r="E44" i="16"/>
  <c r="AE42" i="17"/>
  <c r="AE44" i="16"/>
  <c r="AF42" i="17"/>
  <c r="AF44" i="16"/>
  <c r="J44" i="18"/>
  <c r="J56" i="17"/>
  <c r="J58" i="16"/>
  <c r="M57" i="16"/>
  <c r="M43" i="18"/>
  <c r="M46" i="18" s="1"/>
  <c r="L12" i="18" s="1"/>
  <c r="L14" i="18" s="1"/>
  <c r="M55" i="17"/>
  <c r="E10" i="15"/>
  <c r="E10" i="16" s="1"/>
  <c r="X42" i="17"/>
  <c r="I57" i="16"/>
  <c r="I55" i="17"/>
  <c r="J42" i="17"/>
  <c r="J44" i="16"/>
  <c r="AC42" i="17"/>
  <c r="AC44" i="16"/>
  <c r="T42" i="17"/>
  <c r="T44" i="16"/>
  <c r="AB42" i="17"/>
  <c r="AB44" i="16"/>
  <c r="R42" i="17"/>
  <c r="V42" i="17"/>
  <c r="V44" i="16"/>
  <c r="M42" i="17"/>
  <c r="M44" i="16"/>
  <c r="S42" i="17"/>
  <c r="S44" i="16"/>
  <c r="AL42" i="17"/>
  <c r="AL44" i="16"/>
  <c r="F50" i="16"/>
  <c r="M52" i="16" s="1"/>
  <c r="K12" i="16" s="1"/>
  <c r="K14" i="16" s="1"/>
  <c r="K15" i="16" s="1"/>
  <c r="K18" i="16" s="1"/>
  <c r="K20" i="16" s="1"/>
  <c r="F36" i="18"/>
  <c r="U42" i="17"/>
  <c r="AI42" i="17"/>
  <c r="AI44" i="16"/>
  <c r="N42" i="17"/>
  <c r="N44" i="16"/>
  <c r="Z42" i="17"/>
  <c r="Z44" i="16"/>
  <c r="AK42" i="17"/>
  <c r="AK44" i="16"/>
  <c r="E57" i="16"/>
  <c r="E55" i="17"/>
  <c r="C42" i="17"/>
  <c r="AM42" i="17" s="1"/>
  <c r="L10" i="17" s="1"/>
  <c r="E16" i="15"/>
  <c r="E16" i="16" s="1"/>
  <c r="F23" i="13"/>
  <c r="F10" i="15"/>
  <c r="E23" i="13"/>
  <c r="H7" i="6"/>
  <c r="H6" i="6" s="1"/>
  <c r="M38" i="8"/>
  <c r="E13" i="10" s="1"/>
  <c r="M28" i="8"/>
  <c r="D13" i="10" s="1"/>
  <c r="G8" i="3"/>
  <c r="E4" i="10"/>
  <c r="E4" i="9"/>
  <c r="E4" i="8"/>
  <c r="E4" i="7"/>
  <c r="M18" i="8"/>
  <c r="C13" i="10" s="1"/>
  <c r="H8" i="3"/>
  <c r="I8" i="3"/>
  <c r="E8" i="3"/>
  <c r="L16" i="17" l="1"/>
  <c r="M60" i="16"/>
  <c r="L12" i="16" s="1"/>
  <c r="L14" i="16" s="1"/>
  <c r="F16" i="15"/>
  <c r="F16" i="16" s="1"/>
  <c r="F10" i="16"/>
  <c r="L10" i="16"/>
  <c r="M58" i="17"/>
  <c r="L12" i="17" s="1"/>
  <c r="L14" i="17" s="1"/>
  <c r="L15" i="17" s="1"/>
  <c r="K15" i="18"/>
  <c r="K18" i="18" s="1"/>
  <c r="K20" i="18" s="1"/>
  <c r="L15" i="18"/>
  <c r="I13" i="10"/>
  <c r="I17" i="10" s="1"/>
  <c r="G8" i="13"/>
  <c r="J13" i="10"/>
  <c r="J17" i="10" s="1"/>
  <c r="H8" i="13"/>
  <c r="H13" i="10"/>
  <c r="H17" i="10" s="1"/>
  <c r="F8" i="13"/>
  <c r="H5" i="6"/>
  <c r="E15" i="10"/>
  <c r="D15" i="10"/>
  <c r="H8" i="10"/>
  <c r="I16" i="10" s="1"/>
  <c r="H8" i="9"/>
  <c r="H8" i="8"/>
  <c r="H8" i="7"/>
  <c r="C15" i="10"/>
  <c r="I8" i="10"/>
  <c r="J16" i="10" s="1"/>
  <c r="I8" i="9"/>
  <c r="I8" i="8"/>
  <c r="I8" i="7"/>
  <c r="G8" i="10"/>
  <c r="H16" i="10" s="1"/>
  <c r="G8" i="9"/>
  <c r="G8" i="8"/>
  <c r="G8" i="7"/>
  <c r="E8" i="10"/>
  <c r="E8" i="9"/>
  <c r="E8" i="8"/>
  <c r="E8" i="7"/>
  <c r="L18" i="18" l="1"/>
  <c r="L20" i="18" s="1"/>
  <c r="M17" i="17"/>
  <c r="M18" i="17" s="1"/>
  <c r="M20" i="17" s="1"/>
  <c r="L16" i="16"/>
  <c r="L15" i="16"/>
  <c r="F19" i="13"/>
  <c r="H10" i="13"/>
  <c r="F21" i="13" s="1"/>
  <c r="F22" i="13" s="1"/>
  <c r="D19" i="13"/>
  <c r="F10" i="13"/>
  <c r="D21" i="13" s="1"/>
  <c r="D22" i="13" s="1"/>
  <c r="E24" i="13" s="1"/>
  <c r="E19" i="13"/>
  <c r="G10" i="13"/>
  <c r="E21" i="13" s="1"/>
  <c r="E22" i="13" s="1"/>
  <c r="F24" i="13" s="1"/>
  <c r="L18" i="16" l="1"/>
  <c r="L20" i="16" s="1"/>
  <c r="M17" i="16"/>
  <c r="M18" i="16" s="1"/>
  <c r="M20" i="16" s="1"/>
  <c r="I23" i="16" s="1"/>
  <c r="E12" i="15"/>
  <c r="D12" i="15"/>
  <c r="F12" i="15"/>
  <c r="D25" i="13"/>
  <c r="E25" i="13"/>
  <c r="F25" i="13"/>
  <c r="F27" i="13" s="1"/>
  <c r="E14" i="15" l="1"/>
  <c r="E12" i="16"/>
  <c r="I24" i="16"/>
  <c r="D14" i="15"/>
  <c r="D15" i="15" s="1"/>
  <c r="D12" i="16"/>
  <c r="F14" i="15"/>
  <c r="F14" i="16" s="1"/>
  <c r="F12" i="16"/>
  <c r="M14" i="18"/>
  <c r="M15" i="18" s="1"/>
  <c r="F15" i="15"/>
  <c r="F15" i="16" s="1"/>
  <c r="E15" i="15"/>
  <c r="E15" i="16" s="1"/>
  <c r="E14" i="16"/>
  <c r="E27" i="13"/>
  <c r="I17" i="13" s="1"/>
  <c r="D27" i="13"/>
  <c r="D14" i="16" l="1"/>
  <c r="I18" i="13"/>
  <c r="L17" i="17"/>
  <c r="L18" i="17" s="1"/>
  <c r="L20" i="17" s="1"/>
  <c r="E18" i="15"/>
  <c r="F17" i="15"/>
  <c r="D18" i="15"/>
  <c r="D15" i="16"/>
  <c r="I23" i="17" l="1"/>
  <c r="I24" i="17"/>
  <c r="F18" i="15"/>
  <c r="F17" i="16"/>
  <c r="D20" i="15"/>
  <c r="D18" i="16"/>
  <c r="E20" i="15"/>
  <c r="E20" i="16" s="1"/>
  <c r="E18" i="16"/>
  <c r="M18" i="18" l="1"/>
  <c r="M20" i="18" s="1"/>
  <c r="D20" i="16"/>
  <c r="F20" i="15"/>
  <c r="F20" i="16" s="1"/>
  <c r="F18" i="16"/>
  <c r="I10" i="15" l="1"/>
  <c r="I23" i="18"/>
  <c r="I24" i="18"/>
  <c r="I11"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D39" authorId="0" shapeId="0" xr:uid="{82F85599-4995-4380-8DC8-5AC0ACEC109A}">
      <text>
        <r>
          <rPr>
            <sz val="9"/>
            <color indexed="81"/>
            <rFont val="Tahoma"/>
            <family val="2"/>
          </rPr>
          <t xml:space="preserve">Se acerca mucho a los $7,33 estimado por Sensor Tower para los Estados Unidos: https://sensortower.com/blog/revenue-per-iphone-forecast
</t>
        </r>
      </text>
    </comment>
    <comment ref="B81" authorId="0" shapeId="0" xr:uid="{FB346239-F580-411B-A182-DE6A34292F85}">
      <text>
        <r>
          <rPr>
            <sz val="9"/>
            <color indexed="81"/>
            <rFont val="Tahoma"/>
            <family val="2"/>
          </rPr>
          <t>El volumen es sustancialmente inferior al generado por el mercado meta, lo que implica que es factible de conseguirlo.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A18" authorId="0" shapeId="0" xr:uid="{6DC9236F-6E84-4AFA-BAFF-93F2E907E5B2}">
      <text>
        <r>
          <rPr>
            <b/>
            <sz val="9"/>
            <color indexed="81"/>
            <rFont val="Tahoma"/>
            <family val="2"/>
          </rPr>
          <t>Autor:</t>
        </r>
        <r>
          <rPr>
            <sz val="9"/>
            <color indexed="81"/>
            <rFont val="Tahoma"/>
            <family val="2"/>
          </rPr>
          <t xml:space="preserve">
Tercerizado - Amazon (https://aws.amazon.com/es/cloudfront/pricing/?p=ps)</t>
        </r>
      </text>
    </comment>
    <comment ref="A34" authorId="0" shapeId="0" xr:uid="{EB1856FA-DAD1-4CF0-BC04-FDD1B668386D}">
      <text>
        <r>
          <rPr>
            <b/>
            <sz val="9"/>
            <color indexed="81"/>
            <rFont val="Tahoma"/>
            <family val="2"/>
          </rPr>
          <t>Autor:</t>
        </r>
        <r>
          <rPr>
            <sz val="9"/>
            <color indexed="81"/>
            <rFont val="Tahoma"/>
            <family val="2"/>
          </rPr>
          <t xml:space="preserve">
Tercerizado - Amazon (https://aws.amazon.com/es/cloudfront/pricing/?p=ps)</t>
        </r>
      </text>
    </comment>
    <comment ref="R35" authorId="0" shapeId="0" xr:uid="{4AEC50BB-9323-428C-93DC-7E0645FB7F88}">
      <text>
        <r>
          <rPr>
            <sz val="9"/>
            <color indexed="81"/>
            <rFont val="Tahoma"/>
            <family val="2"/>
          </rPr>
          <t>Aumenta el uso del aplicativo y con él la necesidad de corregir bugs que surjan y agregar nuevas funcionalidades.</t>
        </r>
      </text>
    </comment>
    <comment ref="AJ35" authorId="0" shapeId="0" xr:uid="{610A87E2-CE54-4778-8C7F-062F235F20F7}">
      <text>
        <r>
          <rPr>
            <sz val="9"/>
            <color indexed="81"/>
            <rFont val="Tahoma"/>
            <family val="2"/>
          </rPr>
          <t>Se focaliza en el desarrollo de un mix que permita atraer más consumidores, como así también ser nexo entre la empresa y los productores tercerizados.</t>
        </r>
      </text>
    </comment>
    <comment ref="A51" authorId="0" shapeId="0" xr:uid="{40ADCF5F-2392-40C4-9D77-9A58D09C040F}">
      <text>
        <r>
          <rPr>
            <sz val="9"/>
            <color indexed="81"/>
            <rFont val="Tahoma"/>
            <family val="2"/>
          </rPr>
          <t>Tercerizado - Amazon (https://aws.amazon.com/es/cloudfront/pricing/?p=ps)</t>
        </r>
      </text>
    </comment>
    <comment ref="L52" authorId="0" shapeId="0" xr:uid="{8033B665-466E-4B23-9B5B-6A219DCE17C8}">
      <text>
        <r>
          <rPr>
            <sz val="9"/>
            <color indexed="81"/>
            <rFont val="Tahoma"/>
            <family val="2"/>
          </rPr>
          <t>Se busca el aumento de productividad para desarrollar contenido que esté disponible para finales del primer cuarto del año siguiente.</t>
        </r>
      </text>
    </comment>
    <comment ref="M52" authorId="0" shapeId="0" xr:uid="{9D9BA2C2-EDB2-4214-890C-2233324BF942}">
      <text>
        <r>
          <rPr>
            <sz val="9"/>
            <color indexed="81"/>
            <rFont val="Tahoma"/>
            <family val="2"/>
          </rPr>
          <t>Se pretenden aumentar las experiencias de inmersión para generar más contenido descargable.</t>
        </r>
      </text>
    </comment>
    <comment ref="N52" authorId="0" shapeId="0" xr:uid="{4A2EFC2D-9E3B-49C4-BEAB-1DAAF010F172}">
      <text>
        <r>
          <rPr>
            <sz val="9"/>
            <color indexed="81"/>
            <rFont val="Tahoma"/>
            <family val="2"/>
          </rPr>
          <t>El advenimiento de la temporada alta requiere que el nuevo material y las deudas técnicas se prueben minuciosamente.</t>
        </r>
      </text>
    </comment>
    <comment ref="AJ52" authorId="0" shapeId="0" xr:uid="{51D1641B-D6D6-4742-A9DB-E0559C512510}">
      <text>
        <r>
          <rPr>
            <sz val="9"/>
            <color indexed="81"/>
            <rFont val="Tahoma"/>
            <family val="2"/>
          </rPr>
          <t>Comienza a incrementarse el tamaño de la empresa, RRHH intervendrá en canalizar las inquietudes de los empleados y llevar a cabo tareas que mejoren el vínculo.</t>
        </r>
      </text>
    </comment>
    <comment ref="A68" authorId="0" shapeId="0" xr:uid="{4A3E1DC4-5A15-4730-A08A-A19FBDAA61F7}">
      <text>
        <r>
          <rPr>
            <sz val="9"/>
            <color indexed="81"/>
            <rFont val="Tahoma"/>
            <family val="2"/>
          </rPr>
          <t>Tercerizado - Amazon (https://aws.amazon.com/es/cloudfront/pricing/?p=ps)</t>
        </r>
      </text>
    </comment>
    <comment ref="L69" authorId="0" shapeId="0" xr:uid="{C747CC8B-9058-424B-AB4B-75D06388EF4C}">
      <text>
        <r>
          <rPr>
            <sz val="9"/>
            <color indexed="81"/>
            <rFont val="Tahoma"/>
            <family val="2"/>
          </rPr>
          <t>Se impulsa el desarrollo de nuevo contenido, incorporando modeladores.</t>
        </r>
      </text>
    </comment>
    <comment ref="M69" authorId="0" shapeId="0" xr:uid="{E275ABC8-3012-45AB-944F-D00C1FC4DA4B}">
      <text>
        <r>
          <rPr>
            <sz val="9"/>
            <color indexed="81"/>
            <rFont val="Tahoma"/>
            <family val="2"/>
          </rPr>
          <t>Se impulsa el desarrollo de nuevo contenido, incorporando desarrolladores.</t>
        </r>
      </text>
    </comment>
    <comment ref="AD69" authorId="0" shapeId="0" xr:uid="{1651E07A-9581-4C37-A558-60ADDB751AB1}">
      <text>
        <r>
          <rPr>
            <sz val="9"/>
            <color indexed="81"/>
            <rFont val="Tahoma"/>
            <family val="2"/>
          </rPr>
          <t>Se impulsa el desarrollo de nuevo contenido, incorporando desarrolladores.</t>
        </r>
      </text>
    </comment>
  </commentList>
</comments>
</file>

<file path=xl/sharedStrings.xml><?xml version="1.0" encoding="utf-8"?>
<sst xmlns="http://schemas.openxmlformats.org/spreadsheetml/2006/main" count="1224" uniqueCount="461">
  <si>
    <t>Presupuesto financiero</t>
  </si>
  <si>
    <t>Índice</t>
  </si>
  <si>
    <t>Hipótesis</t>
  </si>
  <si>
    <t>Mercado meta</t>
  </si>
  <si>
    <t>Participación del mercado</t>
  </si>
  <si>
    <t>Canadá</t>
  </si>
  <si>
    <t>México</t>
  </si>
  <si>
    <t>Inglaterra</t>
  </si>
  <si>
    <t>Placer</t>
  </si>
  <si>
    <t>Trabajo</t>
  </si>
  <si>
    <t>Alemania</t>
  </si>
  <si>
    <t>Francia</t>
  </si>
  <si>
    <t>Sin discriminar por falta de datos actualizados</t>
  </si>
  <si>
    <t>Experiencias de inmersión</t>
  </si>
  <si>
    <t>Producto</t>
  </si>
  <si>
    <t>Aplicación base</t>
  </si>
  <si>
    <t>Meta Parcial</t>
  </si>
  <si>
    <t>Meta Final</t>
  </si>
  <si>
    <t>Por experiencia adquirida</t>
  </si>
  <si>
    <t>Producto base</t>
  </si>
  <si>
    <t>Experiencias</t>
  </si>
  <si>
    <t>Servicios</t>
  </si>
  <si>
    <t>Trabajo Final de Ingeniería</t>
  </si>
  <si>
    <t>Ubiqui-city</t>
  </si>
  <si>
    <t>* Hipótesis</t>
  </si>
  <si>
    <t>* Modelo de ingresos</t>
  </si>
  <si>
    <t>* Estructura de costos fijos</t>
  </si>
  <si>
    <t>* Estructura de costos variables</t>
  </si>
  <si>
    <t>* Estructura de costos RRHH</t>
  </si>
  <si>
    <t>* Modelo de egresos</t>
  </si>
  <si>
    <t>* Amortizaciones</t>
  </si>
  <si>
    <t>* Presupuesto financiero</t>
  </si>
  <si>
    <t>* Matriz de riesgos</t>
  </si>
  <si>
    <t>* Escenarios en base a las amenazas</t>
  </si>
  <si>
    <t>* Plan de contingencia</t>
  </si>
  <si>
    <t>[ Regresar al índice ]</t>
  </si>
  <si>
    <t>Negocio</t>
  </si>
  <si>
    <t>1- Todos adquieren el producto base</t>
  </si>
  <si>
    <t>2- Únicamente las personas que viajan por placer adquieren 2 experiencia de inmersión al año.</t>
  </si>
  <si>
    <t>3- Únicamente las personas que viajan por placer adquieren 1 servicio al año.</t>
  </si>
  <si>
    <t>4- La mitad de las personas que viajan por negocio adquieren 1 servicio al año.</t>
  </si>
  <si>
    <t>Valor dólar</t>
  </si>
  <si>
    <t>$US</t>
  </si>
  <si>
    <t>$AR</t>
  </si>
  <si>
    <t>* Modelo de inversión</t>
  </si>
  <si>
    <t>Alumno: Mariano Kaimakamian Carrau
Correo: mkc@outlook.com.ar
Docente: Jorge Scali
Curso: 5°A – Sede Centro</t>
  </si>
  <si>
    <t>Total</t>
  </si>
  <si>
    <t>Año 1</t>
  </si>
  <si>
    <t>Año 2</t>
  </si>
  <si>
    <t>Año 3</t>
  </si>
  <si>
    <t>Total mercado</t>
  </si>
  <si>
    <t>Enero</t>
  </si>
  <si>
    <t>Febrero</t>
  </si>
  <si>
    <t>Marzo</t>
  </si>
  <si>
    <t>Abril</t>
  </si>
  <si>
    <t>Mayo</t>
  </si>
  <si>
    <t>Junio</t>
  </si>
  <si>
    <t>Julio</t>
  </si>
  <si>
    <t>Agosto</t>
  </si>
  <si>
    <t>Septiembre</t>
  </si>
  <si>
    <t>Octubre</t>
  </si>
  <si>
    <t>Noviembre</t>
  </si>
  <si>
    <t>Diciembre</t>
  </si>
  <si>
    <t>Infraestructura</t>
  </si>
  <si>
    <t>Pcs</t>
  </si>
  <si>
    <t>RRHH</t>
  </si>
  <si>
    <t>Tester</t>
  </si>
  <si>
    <t>Agua</t>
  </si>
  <si>
    <t>Electricidad</t>
  </si>
  <si>
    <t>ABL</t>
  </si>
  <si>
    <t>Marketing</t>
  </si>
  <si>
    <t>Crecimiento</t>
  </si>
  <si>
    <t>Mensual</t>
  </si>
  <si>
    <t>Pago</t>
  </si>
  <si>
    <t>Proyección de ventas</t>
  </si>
  <si>
    <t>* Proyección de ventas</t>
  </si>
  <si>
    <t>Productos</t>
  </si>
  <si>
    <t>Ofrecerle a las personas que viajan un conjunto de servicios que se nutran de las prestaciones del geoposicionamiento, enriqueciendo la experiencia mediante el uso de de realidad aumentada y mixta para poder obtener información del medio con sólo apuntar su dispositivo móvil hacia el horizonte. 
El negocio depende de la adquisición de un aplicativo base para los móviles que permite organizar viajes, hacer uso de mapas descargables, modelos de los puntos de interés en 3D, y el consumo de distintos servicios.</t>
  </si>
  <si>
    <t>Ventas</t>
  </si>
  <si>
    <t>Descargas</t>
  </si>
  <si>
    <t xml:space="preserve">Participación </t>
  </si>
  <si>
    <t>PU ($AR)</t>
  </si>
  <si>
    <t>PU ($USD)</t>
  </si>
  <si>
    <t>Objetivo</t>
  </si>
  <si>
    <t>Gratis</t>
  </si>
  <si>
    <t>¿Cuánto gastan las personas en aplicaciones?</t>
  </si>
  <si>
    <t>Europa</t>
  </si>
  <si>
    <t>IOs</t>
  </si>
  <si>
    <t>Android</t>
  </si>
  <si>
    <t>Prom. Parcial</t>
  </si>
  <si>
    <t>Norte  América</t>
  </si>
  <si>
    <t>Promedio Parcial</t>
  </si>
  <si>
    <t>Mensual ($USD)</t>
  </si>
  <si>
    <t>Anual ($USD)</t>
  </si>
  <si>
    <t>Productos a ofrecer</t>
  </si>
  <si>
    <t>Tres son los productos que se ofrecen:
- La aplicación base, que permite la planificación de los viajes, utilizar los mapas en 2 y 3 dimensiones, y hacer uso de los servicios y experiencias de inmersión.
- Las experiencias de inmersión, descargables que a través de la tecnología de realidad mixta permiten descubrir y visitar virtualmente puntos de interés.
- Servicios de geoposicionamiento, que permiten agregar valor al poder consumir información sobre el tránsito, clima, medios de transportes, eventos y ofertas.</t>
  </si>
  <si>
    <r>
      <t>Una de las estretegias más habituales es el pago dentro de las aplicaciones (</t>
    </r>
    <r>
      <rPr>
        <b/>
        <sz val="11"/>
        <color theme="1"/>
        <rFont val="Calibri"/>
        <family val="2"/>
        <scheme val="minor"/>
      </rPr>
      <t>I</t>
    </r>
    <r>
      <rPr>
        <sz val="11"/>
        <color theme="1"/>
        <rFont val="Calibri"/>
        <family val="2"/>
        <scheme val="minor"/>
      </rPr>
      <t xml:space="preserve">n </t>
    </r>
    <r>
      <rPr>
        <b/>
        <sz val="11"/>
        <color theme="1"/>
        <rFont val="Calibri"/>
        <family val="2"/>
        <scheme val="minor"/>
      </rPr>
      <t>A</t>
    </r>
    <r>
      <rPr>
        <sz val="11"/>
        <color theme="1"/>
        <rFont val="Calibri"/>
        <family val="2"/>
        <scheme val="minor"/>
      </rPr>
      <t xml:space="preserve">pplication </t>
    </r>
    <r>
      <rPr>
        <b/>
        <sz val="11"/>
        <color theme="1"/>
        <rFont val="Calibri"/>
        <family val="2"/>
        <scheme val="minor"/>
      </rPr>
      <t>P</t>
    </r>
    <r>
      <rPr>
        <sz val="11"/>
        <color theme="1"/>
        <rFont val="Calibri"/>
        <family val="2"/>
        <scheme val="minor"/>
      </rPr>
      <t>urchase) la que resulta en microtransacciones; estas compras pueden ser en concepto de servicios o nuevas funcionalidades.
Según AppFlyers, una empresa que posee una plataforma para medir el rendimiento del marketing en aplicaciones y el hábito de consumo por parte de los usuarios, el gasto IAP mensual calculado para las aplicaciones del tipo utilidades, en dólares, es la siguiente:</t>
    </r>
  </si>
  <si>
    <t>Participación</t>
  </si>
  <si>
    <t>Turismo de placer</t>
  </si>
  <si>
    <t>Turismo por negocios</t>
  </si>
  <si>
    <t>Porcentaje</t>
  </si>
  <si>
    <t>Hipótesis de consumo</t>
  </si>
  <si>
    <t>Distribución del turismo</t>
  </si>
  <si>
    <t>De acuerdo con diversas fuentes turísticas, Estados Unidos, España y Francia reciben el mayor caudal de visitantes que viajan por placer entre los meses de de marzo y octubre debido a que el clima es propicio para actividades generales, no invernales, en los que se llevan adelante distintos eventos culturales.
En cuanto a los viajes de negocios, son más regulares en el tiempo, aunque con un disminución en temporada alta de turismo recreacional.
A partir de distintas fuentes, se ha desarrollado un índice de distribución que permitirá establecer el volumen de ventas esperado para finales de cada uno de los meses.</t>
  </si>
  <si>
    <t>mb</t>
  </si>
  <si>
    <t>Servicios adicionales</t>
  </si>
  <si>
    <t>mb (variable)</t>
  </si>
  <si>
    <t>Aplicación</t>
  </si>
  <si>
    <t>Capacidad productiva</t>
  </si>
  <si>
    <t>Personal</t>
  </si>
  <si>
    <t>Licencia software</t>
  </si>
  <si>
    <t>Escritorio y silla</t>
  </si>
  <si>
    <t>Analista funcional</t>
  </si>
  <si>
    <t>Desarrollador sr</t>
  </si>
  <si>
    <t>Desarrollador ssr</t>
  </si>
  <si>
    <t>Totales</t>
  </si>
  <si>
    <t>Personal marketing</t>
  </si>
  <si>
    <t>Proyección de ingresos</t>
  </si>
  <si>
    <r>
      <t xml:space="preserve">Para poder trabajar con más confiabilidad, debería aplicarse una ponderación por tipo de dispositivos sobre el subjconjunto de turistas estimados a priori; sin embargo, a los efectos de tener un parámetro de referencia, se considerará el gasto mensual en concepto de aplicaciones calculado en el apartado anterior. Esto arroja como resultado el siguiente </t>
    </r>
    <r>
      <rPr>
        <b/>
        <sz val="11"/>
        <color theme="1"/>
        <rFont val="Calibri"/>
        <family val="2"/>
        <scheme val="minor"/>
      </rPr>
      <t>volumen generado por el mercado meta</t>
    </r>
    <r>
      <rPr>
        <sz val="11"/>
        <color theme="1"/>
        <rFont val="Calibri"/>
        <family val="2"/>
        <scheme val="minor"/>
      </rPr>
      <t>:</t>
    </r>
  </si>
  <si>
    <t>Estructura de costos fijos</t>
  </si>
  <si>
    <t>Categoría</t>
  </si>
  <si>
    <t>Concepto</t>
  </si>
  <si>
    <t>Gas</t>
  </si>
  <si>
    <t>Expensas</t>
  </si>
  <si>
    <t>Seguro</t>
  </si>
  <si>
    <t>Limpieza</t>
  </si>
  <si>
    <t>Inmueble</t>
  </si>
  <si>
    <t>Contador</t>
  </si>
  <si>
    <t>Honorarios</t>
  </si>
  <si>
    <t>Publicidad</t>
  </si>
  <si>
    <t>Twitter</t>
  </si>
  <si>
    <t>Facebook</t>
  </si>
  <si>
    <t>Instagram</t>
  </si>
  <si>
    <t>Youtube</t>
  </si>
  <si>
    <t>http://www.buenosaires.gob.ar/empresas/amplia-tu-empresa/radicate-en-un-distrito-economico/distrito-tecnologico</t>
  </si>
  <si>
    <t>Alquiler 100 mts2</t>
  </si>
  <si>
    <t>https://telecentro.com.ar/</t>
  </si>
  <si>
    <t>Internet + telefonía</t>
  </si>
  <si>
    <t>Enlace redundante</t>
  </si>
  <si>
    <t>Empleo</t>
  </si>
  <si>
    <t>Google Adwords</t>
  </si>
  <si>
    <t>La invesión inicia en el mes de abril, mes en el que comienza a manifetsarse el interé por los viajes.</t>
  </si>
  <si>
    <t>Observaciones</t>
  </si>
  <si>
    <t>La campaña de Adwords se mantiene durante todo el año</t>
  </si>
  <si>
    <t>Se considera el 20% sobre el pago del alquiler, para tener un marco de referencia.</t>
  </si>
  <si>
    <t>Amazon Cloud</t>
  </si>
  <si>
    <t>En tres años no se epsera superar los 10 TB de transferencia ($250 dólares anuales)
https://aws.amazon.com/es/cloudfront/pricing/?p=ps</t>
  </si>
  <si>
    <t>Productividad</t>
  </si>
  <si>
    <t>Licencia Vuforia</t>
  </si>
  <si>
    <t>Licencia Bitbucket</t>
  </si>
  <si>
    <t>Licencia Unity</t>
  </si>
  <si>
    <t>Licencia Jira</t>
  </si>
  <si>
    <t>Se adquiere una vez, aunque se puede usar gratuitamente mientras no se esté en producción.
https://developer.vuforia.com/vui/pricing</t>
  </si>
  <si>
    <t>hasta 10 usuario, $US10
https://es.atlassian.com/software/jira/pricing</t>
  </si>
  <si>
    <t>Modelador Ssr</t>
  </si>
  <si>
    <t>Modelador Sr</t>
  </si>
  <si>
    <t>Gratis hasta 5 usuario
https://es.atlassian.com/software/bitbucket/pricing?tab=cloud</t>
  </si>
  <si>
    <t>Ingreso de personal</t>
  </si>
  <si>
    <t>Estructura de costos variables</t>
  </si>
  <si>
    <t>Promo venta 15% off navidad (experiencias RA)</t>
  </si>
  <si>
    <t>Promo venta 10% off verano (todo)</t>
  </si>
  <si>
    <t>Dispenser de agua</t>
  </si>
  <si>
    <t>Estructura de costos RRHH</t>
  </si>
  <si>
    <t>Área</t>
  </si>
  <si>
    <t>Desarrollador Java / C# - Senior</t>
  </si>
  <si>
    <t>Desarrollador Java / C# - Semi senior</t>
  </si>
  <si>
    <t>Modelador 3D</t>
  </si>
  <si>
    <t>Project Manager</t>
  </si>
  <si>
    <t>Gerente de Marketing</t>
  </si>
  <si>
    <t>Asistente de Marketing</t>
  </si>
  <si>
    <t>Gerente de Ventas</t>
  </si>
  <si>
    <t>Asistente de Ventas</t>
  </si>
  <si>
    <t>Especialista IT</t>
  </si>
  <si>
    <t>Gerente de Administración</t>
  </si>
  <si>
    <t>Desarrollo</t>
  </si>
  <si>
    <t>Administración y RRHH</t>
  </si>
  <si>
    <t>Salario bruto</t>
  </si>
  <si>
    <t>Ley 1932 (1,54%)</t>
  </si>
  <si>
    <t>Jubilación (10,47%)</t>
  </si>
  <si>
    <t>Obras Social (6%)</t>
  </si>
  <si>
    <t>F. Nac. Des. (0,92%)</t>
  </si>
  <si>
    <t>Seguro de vida</t>
  </si>
  <si>
    <t>A.R.T. (3%)</t>
  </si>
  <si>
    <t>Salarios y cargas</t>
  </si>
  <si>
    <t>Empleado</t>
  </si>
  <si>
    <t>Remuneración</t>
  </si>
  <si>
    <t>Socio 1</t>
  </si>
  <si>
    <t>Socio 2</t>
  </si>
  <si>
    <t>Socio 3</t>
  </si>
  <si>
    <t>Empleado 1</t>
  </si>
  <si>
    <t>Quality Assurance - Semi senior</t>
  </si>
  <si>
    <t>Empleado 2</t>
  </si>
  <si>
    <t>Rol</t>
  </si>
  <si>
    <t>Junio S.A.C.</t>
  </si>
  <si>
    <t>Diciembre S.A.C.</t>
  </si>
  <si>
    <t>Durante el primer año se emplearán dos personas, un desarrollador que ingresa en Junio y cuya primer remuneración será en Julio, y un asistente de Marketing previsto para Diciembre cuya primer remuneración será otorgada en Enero del año siguiente.
El resto del personal mantendrá sus roles mixtos.</t>
  </si>
  <si>
    <t>Empleados - 1er año</t>
  </si>
  <si>
    <t>Empleado 1 (rol formal: Desarrollador)</t>
  </si>
  <si>
    <t>Empleado 2 (rol formal: modelador 3D)</t>
  </si>
  <si>
    <t>Socio 2 (rol formal: Gerente Marketing)</t>
  </si>
  <si>
    <t>Socio 1 (rol formal: Project Manager)</t>
  </si>
  <si>
    <t>Socio 3 (rol formal: Gerente Ventas)</t>
  </si>
  <si>
    <t>Salario que le corresponde</t>
  </si>
  <si>
    <t>Gerente IT de infraestructura</t>
  </si>
  <si>
    <t>Empleados - 2do año</t>
  </si>
  <si>
    <t>Asistente de RRHH</t>
  </si>
  <si>
    <t>Empleado 3</t>
  </si>
  <si>
    <t>Empleado 4</t>
  </si>
  <si>
    <t>Empleado 5</t>
  </si>
  <si>
    <t>Empleado 6</t>
  </si>
  <si>
    <t>Empleados - 3er año</t>
  </si>
  <si>
    <t>Empleado 7</t>
  </si>
  <si>
    <t>Empleado 8</t>
  </si>
  <si>
    <t>Empleado 9</t>
  </si>
  <si>
    <t>Empleado 10</t>
  </si>
  <si>
    <t>Empleado 11</t>
  </si>
  <si>
    <t>Modelo de egresos</t>
  </si>
  <si>
    <t>Fijo</t>
  </si>
  <si>
    <t>Variable</t>
  </si>
  <si>
    <t>Costos</t>
  </si>
  <si>
    <t>Modelo de inversión</t>
  </si>
  <si>
    <t>Año 0</t>
  </si>
  <si>
    <t>Cantidad</t>
  </si>
  <si>
    <t>Precio unitario</t>
  </si>
  <si>
    <t>Referencia</t>
  </si>
  <si>
    <t>Año 0 (inversión inicial)</t>
  </si>
  <si>
    <t>https://articulo.mercadolibre.com.ar/MLA-738149812-pc-completa-intel-core-i5-monitor-led-19-usb-30-garantia-_JM</t>
  </si>
  <si>
    <t>PC Lenovo i5 - 4GB RAM - Disco 500 GB</t>
  </si>
  <si>
    <t>https://articulo.mercadolibre.com.ar/MLA-727942607-notebook-gamer-hp-omen-15-ce002la-core-i7-12gb-1tb-gtx-1050-_JM</t>
  </si>
  <si>
    <t>PC Omen i7 - 12GB RAM - GTx 1050</t>
  </si>
  <si>
    <t>Hardware</t>
  </si>
  <si>
    <t>https://articulo.mercadolibre.com.ar/MLA-636717811-kit-teclado-y-mouse-optico-genius-km130-usb-pc-xellers-_JM</t>
  </si>
  <si>
    <t>Software</t>
  </si>
  <si>
    <t>https://developer.vuforia.com/vui/pricing</t>
  </si>
  <si>
    <t>Licencia Unity 3D (pago anual)</t>
  </si>
  <si>
    <t>Licencia Vuforia (pago única vez)</t>
  </si>
  <si>
    <t>https://store.unity.com/es</t>
  </si>
  <si>
    <t>https://es.atlassian.com/software/jira/pricing</t>
  </si>
  <si>
    <t>https://articulo.mercadolibre.com.ar/MLA-734118919-cyberpower-smart-app-sinewave-pr1000lcdrt2u-1000va-ups-_JM</t>
  </si>
  <si>
    <t>UPS Cyberpower Smart App - varios equipos</t>
  </si>
  <si>
    <t>Mesa 1,80 x 0,90 mts - 4 / 6 personas</t>
  </si>
  <si>
    <t>Mobiliario</t>
  </si>
  <si>
    <t>https://articulo.mercadolibre.com.ar/MLA-616370152-mesa-directorio-180x090-color-a-eleccion-reunion-_JM</t>
  </si>
  <si>
    <t>https://articulo.mercadolibre.com.ar/MLA-738266391-silla-operativa-oficina-silla-de-escritorio-pc-_JM</t>
  </si>
  <si>
    <t xml:space="preserve">Silla Operativa Oficina </t>
  </si>
  <si>
    <t>Biblioteca oficina</t>
  </si>
  <si>
    <t>https://articulo.mercadolibre.com.ar/MLA-700654949-biblioteca-baja-con-alzada-escritorio-archivo-007-megan-100-_JM</t>
  </si>
  <si>
    <t>Matafuegos</t>
  </si>
  <si>
    <t>https://articulo.mercadolibre.com.ar/MLA-637503000-matafuego-5kg-abc-ctarjeta-baliza-soporte-habilitacion-_JM</t>
  </si>
  <si>
    <t>Mouse + Teclado Genius</t>
  </si>
  <si>
    <t>Inversión</t>
  </si>
  <si>
    <t>https://articulo.mercadolibre.com.ar/MLA-670501891-impresora-laser-monocromatica-para-oficina-hp-pro-m402dne-_JM</t>
  </si>
  <si>
    <t>Impresora Hp Pro M402dne</t>
  </si>
  <si>
    <t>Amortizaciones</t>
  </si>
  <si>
    <t>Descripción</t>
  </si>
  <si>
    <t>Precio</t>
  </si>
  <si>
    <t>Amortización</t>
  </si>
  <si>
    <t>Útiles</t>
  </si>
  <si>
    <t>Adquisición</t>
  </si>
  <si>
    <t>Se incorporan perfiles técnicos para incrementar la productividad y quitar responsabilidades a algunos roles mixtos.
El empleado 4 ingresó en diciembre del año 1 pero su primer remuneración se ejecuta en enero del año 2.
Se apuesta a un crecimiento fuerte en cuanto a demanda y se emplean roles para la mejora de los productos existentes y la confección de nuevos contenido para engrosar la acrtera de oferta y captar nuevos consumidores. Se apalanca el Marketing.</t>
  </si>
  <si>
    <t>Al igual que el año anterior, se incorporan perfiles técnicos para incrementar la calidad y variedad de productos; el empleado 8 se inserta para poder abordar temas del personal, ahora que la empresa ha duplicado los cupos con respecto al año 0.</t>
  </si>
  <si>
    <t>Bono 3% objetivo cuatrimestral ventas</t>
  </si>
  <si>
    <t>Origen del turismo de EEUU</t>
  </si>
  <si>
    <t>Origen del turismo de España</t>
  </si>
  <si>
    <t>Origen del turismo de Francia</t>
  </si>
  <si>
    <r>
      <t xml:space="preserve">Gasto promedio mensual </t>
    </r>
    <r>
      <rPr>
        <b/>
        <sz val="11"/>
        <color theme="1"/>
        <rFont val="Calibri"/>
        <family val="2"/>
        <scheme val="minor"/>
      </rPr>
      <t>($USD)</t>
    </r>
  </si>
  <si>
    <r>
      <t xml:space="preserve">Dentro del marco temporal de los 3 años, se pretende alcanzar el </t>
    </r>
    <r>
      <rPr>
        <b/>
        <sz val="11"/>
        <color theme="1"/>
        <rFont val="Calibri"/>
        <family val="2"/>
        <scheme val="minor"/>
      </rPr>
      <t>7% del mercado meta según la hipótesis de consumo</t>
    </r>
    <r>
      <rPr>
        <sz val="11"/>
        <color theme="1"/>
        <rFont val="Calibri"/>
        <family val="2"/>
        <scheme val="minor"/>
      </rPr>
      <t>, lo que representa al siguiente volumen en $AR:</t>
    </r>
  </si>
  <si>
    <t>¿Cuánto pesan los archivos?</t>
  </si>
  <si>
    <r>
      <t xml:space="preserve">Como uno de los competidores directos discontinuó su producto y el otro los ofrece bajo el conpceto de donaciones, es difícil estimar el mercado (además Google planea entrar en el mercado con mapas suportados por Realidad Aumentada).
Por el momento y hasta poder hacer una evaluación de competidores con productos con características sustitutas, arbitrariamente </t>
    </r>
    <r>
      <rPr>
        <b/>
        <sz val="11"/>
        <color theme="1"/>
        <rFont val="Calibri"/>
        <family val="2"/>
        <scheme val="minor"/>
      </rPr>
      <t>se considerará apuntar al 7% del mercado</t>
    </r>
    <r>
      <rPr>
        <sz val="11"/>
        <color theme="1"/>
        <rFont val="Calibri"/>
        <family val="2"/>
        <scheme val="minor"/>
      </rPr>
      <t xml:space="preserve">, </t>
    </r>
    <r>
      <rPr>
        <b/>
        <sz val="11"/>
        <color theme="1"/>
        <rFont val="Calibri"/>
        <family val="2"/>
        <scheme val="minor"/>
      </rPr>
      <t>bajo ciertas hipótesis de consumo</t>
    </r>
    <r>
      <rPr>
        <sz val="11"/>
        <color theme="1"/>
        <rFont val="Calibri"/>
        <family val="2"/>
        <scheme val="minor"/>
      </rPr>
      <t>, planteando de este modo un escenario con ciertas características adversas pero que permitirán delinear un objetivo más realista.</t>
    </r>
  </si>
  <si>
    <t>Hipótesis en números</t>
  </si>
  <si>
    <t>Equipo de trabajo inicial</t>
  </si>
  <si>
    <t>El equipo de trabajo está compuesto por 5 (cinco) personas, 3 (tres) socios generntes y 2 (dos) empleados dedicados exclusivamente a tareas técnicas.</t>
  </si>
  <si>
    <t xml:space="preserve"> (ver Estructura RRHH).</t>
  </si>
  <si>
    <t>El equipamiento se encuentra definido en el apartado de</t>
  </si>
  <si>
    <t>Modelo de inversión.</t>
  </si>
  <si>
    <t>https://www.iprofesional.com/impuestos/261419-contadores-empleados-cargas-sociales-Este-ano-aumentan-casi-35-los-honorarios-minimos-de-los-contadores</t>
  </si>
  <si>
    <t>Cuantificación de la capacidad</t>
  </si>
  <si>
    <t>Transferencia (10 TB/mes)</t>
  </si>
  <si>
    <t>Transferencia de datos</t>
  </si>
  <si>
    <r>
      <t>El umbral resulta de la suma de la descarga de los distintos productos multiplicados por sendos tamaños en mb (</t>
    </r>
    <r>
      <rPr>
        <b/>
        <sz val="11"/>
        <color theme="1"/>
        <rFont val="Calibri"/>
        <family val="2"/>
        <scheme val="minor"/>
      </rPr>
      <t>en los 3 años no se excede</t>
    </r>
    <r>
      <rPr>
        <sz val="11"/>
        <color theme="1"/>
        <rFont val="Calibri"/>
        <family val="2"/>
        <scheme val="minor"/>
      </rPr>
      <t>).</t>
    </r>
  </si>
  <si>
    <t>Total Amortizaciones</t>
  </si>
  <si>
    <t>Roles - 1er año</t>
  </si>
  <si>
    <t>Roles - 2do año</t>
  </si>
  <si>
    <t>Roles - 3er año</t>
  </si>
  <si>
    <t>Aplicación inicial</t>
  </si>
  <si>
    <t>Desarrollo de la aplicación base</t>
  </si>
  <si>
    <t>Personas</t>
  </si>
  <si>
    <t>Desarrollo del sistema y funciones base.</t>
  </si>
  <si>
    <t>Costo anual unit.</t>
  </si>
  <si>
    <t>[Hipótesis]</t>
  </si>
  <si>
    <t>[M. Ingreso]</t>
  </si>
  <si>
    <t>Asociado al ingreso de nuevo personal, detallado en el modelo de inversión.</t>
  </si>
  <si>
    <t>[Proy. Vta.]</t>
  </si>
  <si>
    <t>[Proy. Vtas.]</t>
  </si>
  <si>
    <t>[Costos fijos]</t>
  </si>
  <si>
    <t>[M. Ingresos]</t>
  </si>
  <si>
    <t>[Costos Variables]</t>
  </si>
  <si>
    <t>[Costos Fijos]</t>
  </si>
  <si>
    <t>[Costos RRHH]</t>
  </si>
  <si>
    <t>[M. Egresos]</t>
  </si>
  <si>
    <t>[M. Inversión]</t>
  </si>
  <si>
    <t>[Amortizaciones]</t>
  </si>
  <si>
    <t>[Prespuesto]</t>
  </si>
  <si>
    <t>https://www.argenprop.com/Propiedades/Detalles/9240370--Ficha?utm_source=Trovit&amp;utm_medium=XMLFeeds&amp;utm_campaign=TrovitAds&amp;utm_source=Trovit&amp;utm_medium=CPC&amp;utm_campaign=campa%C3%B1a-bc---geolocalizaci%C3%B3n</t>
  </si>
  <si>
    <t>Alquiler 65 mts2</t>
  </si>
  <si>
    <t>Gastos extra</t>
  </si>
  <si>
    <t>El primer año, entre costos fijos y variables asociados al mix de marketing, se alcanza a invertir el 17% de la facturación que se pretende alcanzar.
También se apuesta a la bonificación del equipo en caso de lograr los objetivos cuatrimestrales.</t>
  </si>
  <si>
    <t>Mercado</t>
  </si>
  <si>
    <r>
      <t xml:space="preserve">Las estrategias estarán dirigidas a un mercado concentrado constituido por personas entre los 18 y 60 años de edad, mayormente estudiantes y jóvenes profesionales, sin distinción entre sexo y etnia, activos usuarios de dispositivos móviles y que suelan viajar estacionariamente a destinos que no les sean familiares.
Son personas curiosas y prácticas que les interese salir a recorrer la ciudad o región en la que se encuentren, descansando en el hecho de que todo lo que necesiten para ubicarse y encontrar esparcimiento podrá ser suplido por su dispositivo móvil.
En adición, se trata de un subgrupo constituído por las personas de aquellos países que más han contribuido a los tres países más visitados en el año 2017, lo que </t>
    </r>
    <r>
      <rPr>
        <b/>
        <sz val="11"/>
        <color theme="1"/>
        <rFont val="Calibri"/>
        <family val="2"/>
        <scheme val="minor"/>
      </rPr>
      <t>totaliza 2.5 millones de personas aproximadamente</t>
    </r>
    <r>
      <rPr>
        <sz val="11"/>
        <color theme="1"/>
        <rFont val="Calibri"/>
        <family val="2"/>
        <scheme val="minor"/>
      </rPr>
      <t>. A continuación, la distribución:</t>
    </r>
  </si>
  <si>
    <t>Tomando como referencia el informe de la World Travel &amp; Tourism Council (WTTC) el mercado está constituido por 1.322 millones de personas, que son las que han viajado por todo el mundo en el año 2017.</t>
  </si>
  <si>
    <t>Volumen generado por el mercado meta</t>
  </si>
  <si>
    <t>Participación del mercado objetivo</t>
  </si>
  <si>
    <t>Para el segundo año la inversión en mix aumenta en un 37% con respecto al año pasado, siempre considerando los costos fijos y variables sobre el objetivo de facturación.
Se mantienen los bonos asociados a la productividad, la que se ve apalancada por el ingreso de nuevos recursos.</t>
  </si>
  <si>
    <t>Para el tercer año la inversión en mix se incrementa un 30% más con respecto al año pasado.
Se reduce en 5% la bonificación por productividad para mejorar los márgenes.</t>
  </si>
  <si>
    <t>Ingresos</t>
  </si>
  <si>
    <t>Egresos</t>
  </si>
  <si>
    <t>Año3</t>
  </si>
  <si>
    <t>Utilidada Antes de Impuestos</t>
  </si>
  <si>
    <t>Impuestos a las ganancias</t>
  </si>
  <si>
    <t>Impuestos a los Ingresos brutos</t>
  </si>
  <si>
    <t>Utilidad después de impuestos</t>
  </si>
  <si>
    <t>Flujo de fondos</t>
  </si>
  <si>
    <t>Tasa de corte</t>
  </si>
  <si>
    <t>Valor Actual Neto</t>
  </si>
  <si>
    <t>Tasa Interna de Retorno</t>
  </si>
  <si>
    <t>Participación real respecto de mercado meta considerado</t>
  </si>
  <si>
    <t>Plazo fijo</t>
  </si>
  <si>
    <t>Ley software y exenciones</t>
  </si>
  <si>
    <t>http://www.distritotecnologico.com/buenos-aires/creacion-del-distrito-tecnologico-en-buenos-aires-ley-2972/#more-24</t>
  </si>
  <si>
    <t>https://www.argentina.gob.ar/acceder-los-beneficios-de-la-ley-de-promocion-de-software</t>
  </si>
  <si>
    <t>ICBC</t>
  </si>
  <si>
    <t>Santander Río</t>
  </si>
  <si>
    <t>https://www.tuplazofijo.com.ar/plazos-fijos/tasas/homebanking/</t>
  </si>
  <si>
    <t>Galicia</t>
  </si>
  <si>
    <t>Banco Nación</t>
  </si>
  <si>
    <t>Fondos de inversión</t>
  </si>
  <si>
    <t>https://www.cronista.com/finanzasmercados/Los-rendimientos-de-los-Fondos-Comunes-luego-de-meses-turbulentos-20180614-0088.html</t>
  </si>
  <si>
    <t xml:space="preserve">ICBC - Alpha Renta Capital </t>
  </si>
  <si>
    <t>Cohen Cobertura</t>
  </si>
  <si>
    <t>Matriz de riesgos</t>
  </si>
  <si>
    <t>[Matriz de riesgos]</t>
  </si>
  <si>
    <t>Riesgo</t>
  </si>
  <si>
    <t>Causa</t>
  </si>
  <si>
    <t>Efecto</t>
  </si>
  <si>
    <t>Probabilidad</t>
  </si>
  <si>
    <t>Impacto</t>
  </si>
  <si>
    <t>Aumento de expensas en 15%</t>
  </si>
  <si>
    <t>La productividad se reduce generando una merma en las ventas en un 5% por falta de contenido nuevo.</t>
  </si>
  <si>
    <t>Inversiones se reducen en un 30%, demorando la adquisición de nuevas herramientas y mobiliario.</t>
  </si>
  <si>
    <t>Mejores ofertas laborales en el 2do año fomentan la renuncia de un programador.</t>
  </si>
  <si>
    <t>Desvío en el roadmap de actualizaciones.</t>
  </si>
  <si>
    <t>Renuncia de personal.</t>
  </si>
  <si>
    <t>Pérdida de avances tecnológicos por problemas de Amazon.</t>
  </si>
  <si>
    <t>Pérdida de inversión.</t>
  </si>
  <si>
    <t>Pérdida de la rentabilidad.</t>
  </si>
  <si>
    <t>Solicitud de prestamos.</t>
  </si>
  <si>
    <t>La destrucción de equipos requiere que se repongan por el mismo monto, además de afrontar una pérdida de productividad que impacta en 10% ventas.</t>
  </si>
  <si>
    <t>Destrucción de 2 equipos informáticos por accidentes climatológicos.</t>
  </si>
  <si>
    <t>Retiro de un socio al 3er año.</t>
  </si>
  <si>
    <t>Trabajos extraordinarios en el edificio por mantenimiento en el segundo año.</t>
  </si>
  <si>
    <t>Los costos fijos aumentan.</t>
  </si>
  <si>
    <t>Nuevo impuesto tecnológico.</t>
  </si>
  <si>
    <t>El aumento de empresas tecnológicas impulsado por la Ley de software, ahora genera terreno fértil para colectar dinero para el gobierno a partir del 3er año.</t>
  </si>
  <si>
    <t>Personal no se ajusta al cumplimiento del presupuesto.</t>
  </si>
  <si>
    <t>Exposición</t>
  </si>
  <si>
    <t>Desvíos en las proyecciones de las ventas.</t>
  </si>
  <si>
    <t>[Presupuesto finananciero]</t>
  </si>
  <si>
    <t>[Escenarios]</t>
  </si>
  <si>
    <t>Insatisfacción de los clientes que impacta 15% en las ventas en el 2do año por dilatar el lanzamiento de productos nuevos y/o mejoras.</t>
  </si>
  <si>
    <t>Escenario</t>
  </si>
  <si>
    <t>Ajuste de salario.</t>
  </si>
  <si>
    <t>Beneficios ingresos brutos ($AR 0 hasta el 2019 - Año 1 sin impuesto)</t>
  </si>
  <si>
    <r>
      <t xml:space="preserve">El criterio de inclusión de nuevos recursos se sostiene principalmente por la incapacidad de producir lo suficiente como para alcanzar las ventas. </t>
    </r>
    <r>
      <rPr>
        <b/>
        <sz val="11"/>
        <color theme="1"/>
        <rFont val="Calibri"/>
        <family val="2"/>
        <scheme val="minor"/>
      </rPr>
      <t>Por favor, ver más abajo.</t>
    </r>
  </si>
  <si>
    <t>Ingreso</t>
  </si>
  <si>
    <t>Permite satisfacer hasta</t>
  </si>
  <si>
    <t>Recurso</t>
  </si>
  <si>
    <t>Nuevas funciones por mes</t>
  </si>
  <si>
    <t>Descargas generadas por funciones</t>
  </si>
  <si>
    <t>Total descargas</t>
  </si>
  <si>
    <t>Mayo año 1</t>
  </si>
  <si>
    <t>Desarrollador Sr. (rol mixto)</t>
  </si>
  <si>
    <t>Desarrollador Ssr.</t>
  </si>
  <si>
    <t>Modelador</t>
  </si>
  <si>
    <t>Junio año 1</t>
  </si>
  <si>
    <t>Mayo año 2</t>
  </si>
  <si>
    <t>Se estiman 35709 descargas aproximadamente en este mes y un poco más de 40000 en julio.</t>
  </si>
  <si>
    <t>Abril año 2</t>
  </si>
  <si>
    <t>Mayo año 3</t>
  </si>
  <si>
    <t>El ingreso se realiza con antelación porque debido a la cantidad de productos, se requiere entrenamiento para afrontar la demanda de junio, julio y agosto.</t>
  </si>
  <si>
    <t>Al igual que en el caso anterior, el ramp up e simportante para que el empleado pueda desenvolverse para atender la demanda de junio, julio, agosto.</t>
  </si>
  <si>
    <t>Octubre año 2</t>
  </si>
  <si>
    <t>La inclusión de QA permite automatizar la detección temprana de bugs, garantizando la calidad y permitiendo aspirar a la adquisición de certifiación.</t>
  </si>
  <si>
    <t>La inclusión de una persona que pueda asistir en las tareas de marketing, apunta a generar nuevas estrategias y a realizar tareas más operativas.</t>
  </si>
  <si>
    <t>Por la cantidad de personas para el año 3, se decide incorporar una persona que se dedique a RRHH exclusivamente.</t>
  </si>
  <si>
    <t>Mantenimiento, corrección de bugs, mejoras en la calidad general.</t>
  </si>
  <si>
    <t>Se planifica entre el analista y el project manager.</t>
  </si>
  <si>
    <t>se evalúa la viabilidad tecnológica de la mano de los arquitectos y líderes técnicos.</t>
  </si>
  <si>
    <t>Se escriben los análisis funcionales.</t>
  </si>
  <si>
    <t>Se evalúa la cantidad de personas necesarias para el desarrollo.</t>
  </si>
  <si>
    <t>Se desglosa en tareas a través de un work-breakdown structure.</t>
  </si>
  <si>
    <t>Se escriben los test cases.</t>
  </si>
  <si>
    <t>Se asignan tareas de desarrollo y testeo.</t>
  </si>
  <si>
    <t>Se desarrolla en hitos.</t>
  </si>
  <si>
    <t>Se testea iterativamente.</t>
  </si>
  <si>
    <t>Se asigna las tareas del scm para realizar / controlar los despliegues.</t>
  </si>
  <si>
    <t>Se informa al personal de contenido para que actualice el sitio web con novedades.</t>
  </si>
  <si>
    <t>El usuario accede a la web y se descarga el aplicativo y/o lo descarga de los stores.</t>
  </si>
  <si>
    <t>Accede a la plataforma para adquirir servicios pagos, para lo cual se debe registrar gratis .</t>
  </si>
  <si>
    <t>Personal de desarrollo realiza soporte pasivo.</t>
  </si>
  <si>
    <t>Proceso…</t>
  </si>
  <si>
    <t>Aumento en los costos asociados a RRHH en un 18%.</t>
  </si>
  <si>
    <t>Análisis incorrecto de los alcances para el 1er año.</t>
  </si>
  <si>
    <t>Ventas para el 2do año</t>
  </si>
  <si>
    <t>Cotización</t>
  </si>
  <si>
    <t>Resultado de la contingencia</t>
  </si>
  <si>
    <t>ESTRATEGIA EMPLEADA</t>
  </si>
  <si>
    <t>Conclusión</t>
  </si>
  <si>
    <t>Variación</t>
  </si>
  <si>
    <t>Contingencia #1</t>
  </si>
  <si>
    <t>Contingencia #2</t>
  </si>
  <si>
    <t>[Contingencia #2]</t>
  </si>
  <si>
    <t>[Contingencia #1]</t>
  </si>
  <si>
    <t>&gt;&gt; Ir a la contingencia &lt;&lt;</t>
  </si>
  <si>
    <t>Beneficios ganancias (50%)</t>
  </si>
  <si>
    <t>Se reduce en un 15% las ventas por competencia.</t>
  </si>
  <si>
    <t>Ventas para el 3er año</t>
  </si>
  <si>
    <t>1- Se mantienen los objetivos de venta, pero se incrementan los servicios en 10 centavos y las experiencias en 5 centavos de dólar, para los años 2 y 3.</t>
  </si>
  <si>
    <t>Aplicar la contingencia permitió recuperar la rentabilidad, alcanzando el umbral mínimo.</t>
  </si>
  <si>
    <t>Aplicar la contingencia permitió recuperar la rentabilidad, alcanzando el umbral.</t>
  </si>
  <si>
    <t>Costos variables</t>
  </si>
  <si>
    <t>Costos variables 2do año</t>
  </si>
  <si>
    <t>2- Se reducen las bonificaciones por productividad para los años 2 y 3 en un 25%.</t>
  </si>
  <si>
    <t>3- Se aumenta en un 10% las promociones de ventas para los años 2 y 3 para apalancar el incremento en los precios de ventas y evitar pérdidas.</t>
  </si>
  <si>
    <t>Costos variables 3er año</t>
  </si>
  <si>
    <t>Devaluación requiere que se ajusten los haberes desde el 2do año.</t>
  </si>
  <si>
    <t>Ingreso de nuevos competidores en el 3er año.</t>
  </si>
  <si>
    <t>Únicamente se alcanza el 80% de los objetivos de venta.</t>
  </si>
  <si>
    <t>[Contingencia #3]</t>
  </si>
  <si>
    <t>Contingencia #3</t>
  </si>
  <si>
    <t>Costos variables 1er año</t>
  </si>
  <si>
    <t>1- Debido al incumplimiento del objetivo, el costo de las bonificaciones no existe como tal.</t>
  </si>
  <si>
    <t>2- El objetivo se alcanza al 90%, por lo que los costos asociados variables también se ven reducidos.</t>
  </si>
  <si>
    <t>3- La bonificación para los primeros 2 cuatrimestres del 2do año, no se ejecutan.</t>
  </si>
  <si>
    <t>1- Como las ventas no se alcanzan para el 1er año, los costos variable de bonificación no se aplican.</t>
  </si>
  <si>
    <t>2- Se reducen en un 20% los costos variables asociados a las promociones de venta del 1er año.</t>
  </si>
  <si>
    <t>3- Se aumentan 5 centavos de dólar las experiencias y 10 centavos de dólar los servicios en el 2do año, manteniendo el objetivo pautado de ventas.</t>
  </si>
  <si>
    <t>5- Para el 3er año los precios recobran su valor, restaurando el régimen de bonificaciones y de promociones de venta.</t>
  </si>
  <si>
    <t>4- Se aumenta un 10% en promociones de venta para apalancar la aceptación de los nuevos precios del 2do año.</t>
  </si>
  <si>
    <t>5% de los ingresos se destinan al pago del impuesto nuevo.</t>
  </si>
  <si>
    <t>Todos costos fijos se exceden en un 6% y se llega sólo al 90% del objetivo de ventas.</t>
  </si>
  <si>
    <t>Utilidad Antes de Impuestos</t>
  </si>
  <si>
    <t>Capacidad operativa</t>
  </si>
  <si>
    <t>No se involucra adecuadamente a las personas en las estrategias, generando reticencia en el cumplimiento del 1er año.</t>
  </si>
  <si>
    <t>Escenario #1</t>
  </si>
  <si>
    <t>[Escenario #2]</t>
  </si>
  <si>
    <t>Escenario #2</t>
  </si>
  <si>
    <t>[Escenario #1]</t>
  </si>
  <si>
    <t>[Escenario #3]</t>
  </si>
  <si>
    <t>Escenario #3</t>
  </si>
  <si>
    <t>[Escenario#2]</t>
  </si>
  <si>
    <t>Cantidad de personas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</si>
</sst>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quot;\ #,##0.00;[Red]\-&quot;$&quot;\ #,##0.00"/>
    <numFmt numFmtId="164" formatCode="&quot;$&quot;\ #,##0.00"/>
    <numFmt numFmtId="165" formatCode="_-[$$-2C0A]\ * #,##0.00_-;\-[$$-2C0A]\ * #,##0.00_-;_-[$$-2C0A]\ * &quot;-&quot;??_-;_-@_-"/>
    <numFmt numFmtId="166" formatCode="&quot;$&quot;\ #,##0"/>
    <numFmt numFmtId="167" formatCode="#,##0_ ;\-#,##0\ "/>
    <numFmt numFmtId="168" formatCode="&quot;$&quot;\ #,##0.00000000"/>
  </numFmts>
  <fonts count="27"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Calibri"/>
      <family val="2"/>
      <scheme val="minor"/>
    </font>
    <font>
      <b/>
      <sz val="11"/>
      <color theme="4" tint="-0.249977111117893"/>
      <name val="Calibri"/>
      <family val="2"/>
      <scheme val="minor"/>
    </font>
    <font>
      <sz val="16"/>
      <color theme="4" tint="-0.249977111117893"/>
      <name val="Calibri"/>
      <family val="2"/>
      <scheme val="minor"/>
    </font>
    <font>
      <sz val="11"/>
      <color theme="4" tint="-0.249977111117893"/>
      <name val="Calibri"/>
      <family val="2"/>
      <scheme val="minor"/>
    </font>
    <font>
      <sz val="26"/>
      <color rgb="FFA44058"/>
      <name val="Calibri"/>
      <family val="2"/>
      <scheme val="minor"/>
    </font>
    <font>
      <sz val="20"/>
      <color rgb="FFA44058"/>
      <name val="Calibri"/>
      <family val="2"/>
      <scheme val="minor"/>
    </font>
    <font>
      <sz val="11"/>
      <color theme="10"/>
      <name val="Calibri"/>
      <family val="2"/>
      <scheme val="minor"/>
    </font>
    <font>
      <b/>
      <sz val="16"/>
      <color rgb="FFA44058"/>
      <name val="Calibri"/>
      <family val="2"/>
      <scheme val="minor"/>
    </font>
    <font>
      <sz val="11"/>
      <color theme="1"/>
      <name val="Calibri"/>
      <family val="2"/>
      <scheme val="minor"/>
    </font>
    <font>
      <sz val="9"/>
      <color indexed="81"/>
      <name val="Tahoma"/>
      <family val="2"/>
    </font>
    <font>
      <b/>
      <sz val="9"/>
      <color indexed="81"/>
      <name val="Tahoma"/>
      <family val="2"/>
    </font>
    <font>
      <sz val="11"/>
      <color theme="4" tint="0.79998168889431442"/>
      <name val="Calibri"/>
      <family val="2"/>
      <scheme val="minor"/>
    </font>
    <font>
      <b/>
      <sz val="11"/>
      <name val="Calibri"/>
      <family val="2"/>
      <scheme val="minor"/>
    </font>
    <font>
      <b/>
      <sz val="11"/>
      <color theme="0"/>
      <name val="Calibri"/>
      <family val="2"/>
      <scheme val="minor"/>
    </font>
    <font>
      <sz val="11"/>
      <color theme="0"/>
      <name val="Calibri"/>
      <family val="2"/>
      <scheme val="minor"/>
    </font>
    <font>
      <sz val="11"/>
      <name val="Calibri"/>
      <family val="2"/>
      <scheme val="minor"/>
    </font>
    <font>
      <sz val="11"/>
      <color theme="0" tint="-0.249977111117893"/>
      <name val="Calibri"/>
      <family val="2"/>
      <scheme val="minor"/>
    </font>
    <font>
      <i/>
      <sz val="10"/>
      <color theme="1"/>
      <name val="Calibri"/>
      <family val="2"/>
      <scheme val="minor"/>
    </font>
    <font>
      <sz val="11"/>
      <color theme="3" tint="0.39997558519241921"/>
      <name val="Calibri"/>
      <family val="2"/>
      <scheme val="minor"/>
    </font>
    <font>
      <sz val="16"/>
      <color theme="3" tint="0.39997558519241921"/>
      <name val="Calibri"/>
      <family val="2"/>
      <scheme val="minor"/>
    </font>
    <font>
      <b/>
      <sz val="11"/>
      <color theme="10"/>
      <name val="Calibri"/>
      <family val="2"/>
      <scheme val="minor"/>
    </font>
    <font>
      <b/>
      <sz val="11"/>
      <color theme="3" tint="0.39997558519241921"/>
      <name val="Calibri"/>
      <family val="2"/>
      <scheme val="minor"/>
    </font>
    <font>
      <sz val="11"/>
      <color theme="5" tint="-0.249977111117893"/>
      <name val="Calibri"/>
      <family val="2"/>
      <scheme val="minor"/>
    </font>
    <font>
      <b/>
      <u/>
      <sz val="11"/>
      <color theme="0"/>
      <name val="Calibri"/>
      <family val="2"/>
      <scheme val="minor"/>
    </font>
  </fonts>
  <fills count="19">
    <fill>
      <patternFill patternType="none"/>
    </fill>
    <fill>
      <patternFill patternType="gray125"/>
    </fill>
    <fill>
      <patternFill patternType="solid">
        <fgColor theme="9" tint="0.79998168889431442"/>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theme="0" tint="-4.9989318521683403E-2"/>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tint="0.59999389629810485"/>
        <bgColor indexed="64"/>
      </patternFill>
    </fill>
  </fills>
  <borders count="37">
    <border>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top/>
      <bottom style="thin">
        <color indexed="64"/>
      </bottom>
      <diagonal/>
    </border>
    <border>
      <left/>
      <right/>
      <top style="thin">
        <color indexed="64"/>
      </top>
      <bottom/>
      <diagonal/>
    </border>
    <border>
      <left style="medium">
        <color indexed="64"/>
      </left>
      <right/>
      <top/>
      <bottom/>
      <diagonal/>
    </border>
    <border>
      <left style="thin">
        <color indexed="64"/>
      </left>
      <right/>
      <top/>
      <bottom/>
      <diagonal/>
    </border>
    <border>
      <left/>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FF0000"/>
      </left>
      <right/>
      <top style="thin">
        <color rgb="FFFF0000"/>
      </top>
      <bottom/>
      <diagonal/>
    </border>
    <border>
      <left/>
      <right/>
      <top style="thin">
        <color rgb="FFFF0000"/>
      </top>
      <bottom/>
      <diagonal/>
    </border>
    <border>
      <left/>
      <right style="thin">
        <color rgb="FFFF0000"/>
      </right>
      <top style="thin">
        <color rgb="FFFF0000"/>
      </top>
      <bottom/>
      <diagonal/>
    </border>
    <border>
      <left style="thin">
        <color rgb="FFFF0000"/>
      </left>
      <right/>
      <top/>
      <bottom/>
      <diagonal/>
    </border>
    <border>
      <left/>
      <right style="thin">
        <color rgb="FFFF0000"/>
      </right>
      <top/>
      <bottom/>
      <diagonal/>
    </border>
    <border>
      <left style="thin">
        <color rgb="FFFF0000"/>
      </left>
      <right/>
      <top/>
      <bottom style="thin">
        <color rgb="FFFF0000"/>
      </bottom>
      <diagonal/>
    </border>
    <border>
      <left/>
      <right/>
      <top/>
      <bottom style="thin">
        <color rgb="FFFF0000"/>
      </bottom>
      <diagonal/>
    </border>
    <border>
      <left/>
      <right style="thin">
        <color rgb="FFFF0000"/>
      </right>
      <top/>
      <bottom style="thin">
        <color rgb="FFFF0000"/>
      </bottom>
      <diagonal/>
    </border>
    <border>
      <left style="thin">
        <color theme="7" tint="0.39997558519241921"/>
      </left>
      <right/>
      <top style="thin">
        <color theme="7" tint="0.39997558519241921"/>
      </top>
      <bottom/>
      <diagonal/>
    </border>
    <border>
      <left/>
      <right/>
      <top style="thin">
        <color theme="7" tint="0.39997558519241921"/>
      </top>
      <bottom/>
      <diagonal/>
    </border>
    <border>
      <left/>
      <right style="thin">
        <color theme="7" tint="0.39997558519241921"/>
      </right>
      <top style="thin">
        <color theme="7" tint="0.39997558519241921"/>
      </top>
      <bottom/>
      <diagonal/>
    </border>
    <border>
      <left style="thin">
        <color theme="7" tint="0.39997558519241921"/>
      </left>
      <right/>
      <top/>
      <bottom/>
      <diagonal/>
    </border>
    <border>
      <left/>
      <right style="thin">
        <color theme="7" tint="0.39997558519241921"/>
      </right>
      <top/>
      <bottom/>
      <diagonal/>
    </border>
    <border>
      <left style="thin">
        <color theme="7" tint="0.39997558519241921"/>
      </left>
      <right/>
      <top/>
      <bottom style="thin">
        <color theme="7" tint="0.39997558519241921"/>
      </bottom>
      <diagonal/>
    </border>
    <border>
      <left/>
      <right/>
      <top/>
      <bottom style="thin">
        <color theme="7" tint="0.39997558519241921"/>
      </bottom>
      <diagonal/>
    </border>
    <border>
      <left/>
      <right style="thin">
        <color theme="7" tint="0.39997558519241921"/>
      </right>
      <top/>
      <bottom style="thin">
        <color theme="7" tint="0.39997558519241921"/>
      </bottom>
      <diagonal/>
    </border>
  </borders>
  <cellStyleXfs count="3">
    <xf numFmtId="0" fontId="0" fillId="0" borderId="0"/>
    <xf numFmtId="0" fontId="2" fillId="0" borderId="0" applyNumberFormat="0" applyFill="0" applyBorder="0" applyAlignment="0" applyProtection="0"/>
    <xf numFmtId="9" fontId="11" fillId="0" borderId="0" applyFont="0" applyFill="0" applyBorder="0" applyAlignment="0" applyProtection="0"/>
  </cellStyleXfs>
  <cellXfs count="873">
    <xf numFmtId="0" fontId="0" fillId="0" borderId="0" xfId="0"/>
    <xf numFmtId="0" fontId="0" fillId="0" borderId="0" xfId="0" applyFont="1"/>
    <xf numFmtId="0" fontId="1" fillId="0" borderId="0" xfId="0" applyFont="1"/>
    <xf numFmtId="0" fontId="0" fillId="0" borderId="0" xfId="0" applyFont="1" applyBorder="1" applyAlignment="1">
      <alignment horizontal="center" vertical="center" wrapText="1"/>
    </xf>
    <xf numFmtId="164" fontId="0" fillId="0" borderId="0" xfId="0" applyNumberFormat="1"/>
    <xf numFmtId="4" fontId="0" fillId="0" borderId="0" xfId="0" applyNumberFormat="1"/>
    <xf numFmtId="0" fontId="4" fillId="0" borderId="0" xfId="0" applyFont="1"/>
    <xf numFmtId="0" fontId="4" fillId="0" borderId="0" xfId="0" applyFont="1" applyAlignment="1">
      <alignment horizontal="left"/>
    </xf>
    <xf numFmtId="0" fontId="0" fillId="0" borderId="0" xfId="0" applyAlignment="1">
      <alignment wrapText="1"/>
    </xf>
    <xf numFmtId="0" fontId="8" fillId="0" borderId="5" xfId="0" applyFont="1" applyBorder="1" applyAlignment="1"/>
    <xf numFmtId="0" fontId="8" fillId="0" borderId="0" xfId="0" applyFont="1" applyBorder="1" applyAlignment="1"/>
    <xf numFmtId="0" fontId="9" fillId="0" borderId="0" xfId="1" applyFont="1"/>
    <xf numFmtId="0" fontId="7" fillId="0" borderId="0" xfId="0" applyFont="1" applyAlignment="1"/>
    <xf numFmtId="0" fontId="0" fillId="0" borderId="0" xfId="0" applyFill="1"/>
    <xf numFmtId="0" fontId="0" fillId="0" borderId="0" xfId="0" applyFill="1" applyBorder="1"/>
    <xf numFmtId="0" fontId="0" fillId="0" borderId="0" xfId="0" applyFill="1" applyBorder="1" applyAlignment="1">
      <alignment horizontal="right"/>
    </xf>
    <xf numFmtId="4" fontId="0" fillId="0" borderId="0" xfId="0" applyNumberFormat="1" applyFill="1" applyBorder="1" applyAlignment="1">
      <alignment horizontal="center" vertical="center"/>
    </xf>
    <xf numFmtId="4" fontId="0" fillId="0" borderId="0" xfId="0" applyNumberFormat="1" applyFill="1" applyBorder="1" applyAlignment="1">
      <alignment horizontal="left"/>
    </xf>
    <xf numFmtId="10" fontId="0" fillId="0" borderId="0" xfId="0" applyNumberFormat="1"/>
    <xf numFmtId="0" fontId="0" fillId="0" borderId="0" xfId="0" applyAlignment="1">
      <alignment horizontal="right"/>
    </xf>
    <xf numFmtId="164" fontId="0" fillId="0" borderId="0" xfId="0" applyNumberFormat="1" applyAlignment="1">
      <alignment horizontal="center" vertical="center"/>
    </xf>
    <xf numFmtId="9" fontId="0" fillId="0" borderId="0" xfId="2" applyFont="1"/>
    <xf numFmtId="165" fontId="0" fillId="0" borderId="0" xfId="0" applyNumberFormat="1" applyAlignment="1">
      <alignment horizontal="center"/>
    </xf>
    <xf numFmtId="165" fontId="0" fillId="0" borderId="0" xfId="0" applyNumberFormat="1" applyFont="1" applyAlignment="1">
      <alignment horizontal="center"/>
    </xf>
    <xf numFmtId="0" fontId="0" fillId="0" borderId="0" xfId="0" applyAlignment="1">
      <alignment horizontal="center"/>
    </xf>
    <xf numFmtId="0" fontId="0" fillId="0" borderId="0" xfId="0" applyFont="1" applyAlignment="1">
      <alignment horizontal="left" vertical="top" wrapText="1"/>
    </xf>
    <xf numFmtId="0" fontId="0" fillId="0" borderId="0" xfId="0" applyAlignment="1">
      <alignment horizontal="center"/>
    </xf>
    <xf numFmtId="0" fontId="0" fillId="0" borderId="0" xfId="0" applyFont="1" applyBorder="1" applyAlignment="1">
      <alignment horizontal="justify" vertical="center" wrapText="1"/>
    </xf>
    <xf numFmtId="3" fontId="0" fillId="0" borderId="0" xfId="0" applyNumberFormat="1" applyFont="1" applyBorder="1" applyAlignment="1">
      <alignment horizontal="center" vertical="center" wrapText="1"/>
    </xf>
    <xf numFmtId="3" fontId="0" fillId="0" borderId="0" xfId="0" applyNumberFormat="1" applyFont="1" applyBorder="1" applyAlignment="1">
      <alignment horizontal="center" vertical="center"/>
    </xf>
    <xf numFmtId="9" fontId="0" fillId="0" borderId="0" xfId="2" applyFont="1" applyAlignment="1"/>
    <xf numFmtId="9" fontId="0" fillId="0" borderId="0" xfId="2" applyFont="1" applyAlignment="1">
      <alignment horizontal="left" vertical="top" wrapText="1"/>
    </xf>
    <xf numFmtId="3" fontId="0" fillId="0" borderId="0" xfId="0" applyNumberFormat="1" applyFont="1" applyFill="1" applyBorder="1" applyAlignment="1">
      <alignment horizontal="center" vertical="center" wrapText="1"/>
    </xf>
    <xf numFmtId="164" fontId="0" fillId="0" borderId="0" xfId="0" applyNumberFormat="1" applyFont="1" applyFill="1" applyBorder="1" applyAlignment="1">
      <alignment horizontal="center" vertical="center" wrapText="1"/>
    </xf>
    <xf numFmtId="9" fontId="0" fillId="0" borderId="0" xfId="2" applyFont="1" applyAlignment="1">
      <alignment horizontal="left" wrapText="1"/>
    </xf>
    <xf numFmtId="9" fontId="1" fillId="0" borderId="0" xfId="2" applyFont="1" applyFill="1" applyBorder="1" applyAlignment="1">
      <alignment horizontal="right" vertical="center" wrapText="1"/>
    </xf>
    <xf numFmtId="166" fontId="0" fillId="0" borderId="0" xfId="2" applyNumberFormat="1" applyFont="1" applyFill="1" applyBorder="1" applyAlignment="1">
      <alignment horizontal="center" vertical="center" wrapText="1"/>
    </xf>
    <xf numFmtId="0" fontId="0" fillId="0" borderId="0" xfId="0" applyAlignment="1">
      <alignment horizontal="center" vertical="center"/>
    </xf>
    <xf numFmtId="2" fontId="0" fillId="0" borderId="0" xfId="0" applyNumberFormat="1" applyAlignment="1">
      <alignment horizontal="center" vertical="center"/>
    </xf>
    <xf numFmtId="164" fontId="0" fillId="0" borderId="0" xfId="0" applyNumberFormat="1" applyAlignment="1">
      <alignment horizontal="left" vertical="center"/>
    </xf>
    <xf numFmtId="1" fontId="0" fillId="0" borderId="0" xfId="0" applyNumberFormat="1" applyAlignment="1">
      <alignment horizontal="center"/>
    </xf>
    <xf numFmtId="10" fontId="0" fillId="0" borderId="0" xfId="0" applyNumberFormat="1" applyAlignment="1">
      <alignment horizontal="center"/>
    </xf>
    <xf numFmtId="0" fontId="0" fillId="7" borderId="4" xfId="0" applyFill="1" applyBorder="1" applyAlignment="1">
      <alignment horizontal="right"/>
    </xf>
    <xf numFmtId="2" fontId="0" fillId="0" borderId="0" xfId="0" applyNumberFormat="1" applyAlignment="1">
      <alignment horizontal="center"/>
    </xf>
    <xf numFmtId="0" fontId="0" fillId="0" borderId="0" xfId="0" applyBorder="1"/>
    <xf numFmtId="164" fontId="0" fillId="0" borderId="0" xfId="0" applyNumberFormat="1" applyFont="1" applyBorder="1" applyAlignment="1">
      <alignment horizontal="center" vertical="center"/>
    </xf>
    <xf numFmtId="1" fontId="0" fillId="0" borderId="0" xfId="0" applyNumberFormat="1" applyFont="1" applyBorder="1" applyAlignment="1">
      <alignment horizontal="center"/>
    </xf>
    <xf numFmtId="0" fontId="0" fillId="0" borderId="0" xfId="0" applyFont="1" applyBorder="1"/>
    <xf numFmtId="0" fontId="0" fillId="0" borderId="0" xfId="0" applyBorder="1" applyAlignment="1">
      <alignment horizontal="right"/>
    </xf>
    <xf numFmtId="164" fontId="0" fillId="0" borderId="0" xfId="0" applyNumberFormat="1" applyBorder="1" applyAlignment="1">
      <alignment horizontal="center" vertical="center"/>
    </xf>
    <xf numFmtId="165" fontId="0" fillId="0" borderId="0" xfId="0" applyNumberFormat="1" applyFont="1" applyBorder="1" applyAlignment="1">
      <alignment horizontal="center"/>
    </xf>
    <xf numFmtId="1" fontId="0" fillId="0" borderId="0" xfId="0" applyNumberFormat="1" applyBorder="1" applyAlignment="1">
      <alignment horizontal="center"/>
    </xf>
    <xf numFmtId="10" fontId="0" fillId="0" borderId="0" xfId="0" applyNumberFormat="1" applyBorder="1" applyAlignment="1">
      <alignment horizontal="center"/>
    </xf>
    <xf numFmtId="0" fontId="1" fillId="0" borderId="0" xfId="0" applyFont="1" applyBorder="1"/>
    <xf numFmtId="0" fontId="0" fillId="0" borderId="0" xfId="0" applyBorder="1" applyAlignment="1">
      <alignment horizontal="center"/>
    </xf>
    <xf numFmtId="165" fontId="0" fillId="0" borderId="0" xfId="0" applyNumberFormat="1" applyBorder="1" applyAlignment="1">
      <alignment horizontal="center"/>
    </xf>
    <xf numFmtId="164" fontId="0" fillId="15" borderId="0" xfId="0" applyNumberFormat="1" applyFill="1" applyBorder="1" applyAlignment="1">
      <alignment horizontal="center" vertical="center"/>
    </xf>
    <xf numFmtId="165" fontId="0" fillId="15" borderId="0" xfId="0" applyNumberFormat="1" applyFont="1" applyFill="1" applyBorder="1" applyAlignment="1">
      <alignment horizontal="center"/>
    </xf>
    <xf numFmtId="0" fontId="0" fillId="15" borderId="0" xfId="0" applyFill="1" applyBorder="1" applyAlignment="1">
      <alignment horizontal="center"/>
    </xf>
    <xf numFmtId="165" fontId="0" fillId="15" borderId="0" xfId="0" applyNumberFormat="1" applyFill="1" applyBorder="1" applyAlignment="1">
      <alignment horizontal="center"/>
    </xf>
    <xf numFmtId="0" fontId="0" fillId="15" borderId="0" xfId="0" applyFill="1" applyBorder="1"/>
    <xf numFmtId="2" fontId="0" fillId="0" borderId="0" xfId="0" applyNumberFormat="1" applyBorder="1" applyAlignment="1">
      <alignment horizontal="center"/>
    </xf>
    <xf numFmtId="0" fontId="0" fillId="0" borderId="0" xfId="0" applyNumberFormat="1" applyBorder="1" applyAlignment="1">
      <alignment horizontal="center"/>
    </xf>
    <xf numFmtId="0" fontId="1" fillId="0" borderId="7" xfId="0" applyFont="1" applyBorder="1" applyAlignment="1">
      <alignment horizontal="right"/>
    </xf>
    <xf numFmtId="0" fontId="0" fillId="7" borderId="0" xfId="0" applyFill="1"/>
    <xf numFmtId="0" fontId="1" fillId="7" borderId="0" xfId="0" applyFont="1" applyFill="1" applyAlignment="1">
      <alignment horizontal="center"/>
    </xf>
    <xf numFmtId="0" fontId="0" fillId="7" borderId="0" xfId="0" applyFill="1" applyAlignment="1">
      <alignment horizontal="right"/>
    </xf>
    <xf numFmtId="164" fontId="0" fillId="7" borderId="7" xfId="0" applyNumberFormat="1" applyFill="1" applyBorder="1"/>
    <xf numFmtId="164" fontId="0" fillId="7" borderId="0" xfId="0" applyNumberFormat="1" applyFill="1"/>
    <xf numFmtId="9" fontId="0" fillId="7" borderId="0" xfId="2" applyFont="1" applyFill="1"/>
    <xf numFmtId="164" fontId="0" fillId="7" borderId="3" xfId="0" applyNumberFormat="1" applyFill="1" applyBorder="1"/>
    <xf numFmtId="164" fontId="0" fillId="7" borderId="4" xfId="0" applyNumberFormat="1" applyFill="1" applyBorder="1"/>
    <xf numFmtId="0" fontId="0" fillId="7" borderId="4" xfId="0" applyFill="1" applyBorder="1"/>
    <xf numFmtId="9" fontId="0" fillId="7" borderId="4" xfId="2" applyFont="1" applyFill="1" applyBorder="1"/>
    <xf numFmtId="164" fontId="14" fillId="7" borderId="0" xfId="0" applyNumberFormat="1" applyFont="1" applyFill="1"/>
    <xf numFmtId="0" fontId="1" fillId="0" borderId="0" xfId="0" applyFont="1" applyFill="1" applyBorder="1" applyAlignment="1">
      <alignment horizontal="right"/>
    </xf>
    <xf numFmtId="164" fontId="0" fillId="0" borderId="0" xfId="0" applyNumberFormat="1" applyFill="1" applyBorder="1" applyAlignment="1">
      <alignment horizontal="left"/>
    </xf>
    <xf numFmtId="164" fontId="0" fillId="0" borderId="0" xfId="0" applyNumberFormat="1" applyFill="1" applyBorder="1"/>
    <xf numFmtId="0" fontId="1" fillId="0" borderId="0" xfId="0" applyFont="1" applyFill="1"/>
    <xf numFmtId="164" fontId="0" fillId="0" borderId="8" xfId="0" applyNumberFormat="1" applyBorder="1"/>
    <xf numFmtId="0" fontId="0" fillId="0" borderId="0" xfId="0" applyFill="1" applyAlignment="1">
      <alignment wrapText="1"/>
    </xf>
    <xf numFmtId="164" fontId="0" fillId="0" borderId="0" xfId="0" applyNumberFormat="1" applyBorder="1"/>
    <xf numFmtId="0" fontId="0" fillId="15" borderId="0" xfId="0" applyFill="1" applyBorder="1" applyAlignment="1">
      <alignment horizontal="right"/>
    </xf>
    <xf numFmtId="164" fontId="0" fillId="15" borderId="0" xfId="0" applyNumberFormat="1" applyFill="1" applyBorder="1"/>
    <xf numFmtId="0" fontId="0" fillId="15" borderId="0" xfId="0" applyFill="1" applyBorder="1" applyAlignment="1">
      <alignment horizontal="right" vertical="center"/>
    </xf>
    <xf numFmtId="164" fontId="0" fillId="15" borderId="0" xfId="0" applyNumberFormat="1" applyFill="1" applyBorder="1" applyAlignment="1">
      <alignment vertical="center"/>
    </xf>
    <xf numFmtId="0" fontId="0" fillId="15" borderId="0" xfId="0" applyFont="1" applyFill="1" applyBorder="1" applyAlignment="1">
      <alignment horizontal="right"/>
    </xf>
    <xf numFmtId="0" fontId="0" fillId="0" borderId="0" xfId="0" applyFont="1" applyBorder="1" applyAlignment="1">
      <alignment horizontal="right"/>
    </xf>
    <xf numFmtId="0" fontId="0" fillId="0" borderId="5" xfId="0" applyBorder="1" applyAlignment="1">
      <alignment horizontal="right"/>
    </xf>
    <xf numFmtId="164" fontId="0" fillId="0" borderId="5" xfId="0" applyNumberFormat="1" applyBorder="1"/>
    <xf numFmtId="0" fontId="0" fillId="15" borderId="6" xfId="0" applyFill="1" applyBorder="1" applyAlignment="1">
      <alignment horizontal="right"/>
    </xf>
    <xf numFmtId="164" fontId="0" fillId="15" borderId="6" xfId="0" applyNumberFormat="1" applyFill="1" applyBorder="1"/>
    <xf numFmtId="0" fontId="0" fillId="15" borderId="9" xfId="0" applyFill="1" applyBorder="1" applyAlignment="1">
      <alignment horizontal="right"/>
    </xf>
    <xf numFmtId="164" fontId="0" fillId="15" borderId="9" xfId="0" applyNumberFormat="1" applyFill="1" applyBorder="1"/>
    <xf numFmtId="0" fontId="0" fillId="0" borderId="6" xfId="0" applyBorder="1" applyAlignment="1">
      <alignment horizontal="right"/>
    </xf>
    <xf numFmtId="164" fontId="0" fillId="0" borderId="6" xfId="0" applyNumberFormat="1" applyBorder="1"/>
    <xf numFmtId="164" fontId="0" fillId="0" borderId="6" xfId="0" applyNumberFormat="1" applyFill="1" applyBorder="1"/>
    <xf numFmtId="4" fontId="0" fillId="0" borderId="0" xfId="0" applyNumberFormat="1" applyBorder="1" applyAlignment="1">
      <alignment horizontal="right"/>
    </xf>
    <xf numFmtId="4" fontId="0" fillId="15" borderId="0" xfId="0" applyNumberFormat="1" applyFill="1" applyBorder="1" applyAlignment="1">
      <alignment horizontal="right"/>
    </xf>
    <xf numFmtId="4" fontId="0" fillId="0" borderId="5" xfId="0" applyNumberFormat="1" applyBorder="1" applyAlignment="1">
      <alignment horizontal="right"/>
    </xf>
    <xf numFmtId="164" fontId="0" fillId="0" borderId="14" xfId="0" applyNumberFormat="1" applyBorder="1"/>
    <xf numFmtId="164" fontId="0" fillId="15" borderId="13" xfId="0" applyNumberFormat="1" applyFill="1" applyBorder="1"/>
    <xf numFmtId="164" fontId="0" fillId="0" borderId="13" xfId="0" applyNumberFormat="1" applyBorder="1"/>
    <xf numFmtId="164" fontId="0" fillId="15" borderId="13" xfId="0" applyNumberFormat="1" applyFill="1" applyBorder="1" applyAlignment="1">
      <alignment vertical="center"/>
    </xf>
    <xf numFmtId="164" fontId="0" fillId="0" borderId="15" xfId="0" applyNumberFormat="1" applyBorder="1"/>
    <xf numFmtId="164" fontId="0" fillId="15" borderId="14" xfId="0" applyNumberFormat="1" applyFill="1" applyBorder="1"/>
    <xf numFmtId="164" fontId="0" fillId="15" borderId="16" xfId="0" applyNumberFormat="1" applyFill="1" applyBorder="1"/>
    <xf numFmtId="164" fontId="0" fillId="0" borderId="14" xfId="0" applyNumberFormat="1" applyFill="1" applyBorder="1"/>
    <xf numFmtId="0" fontId="15" fillId="15" borderId="12" xfId="0" applyFont="1" applyFill="1" applyBorder="1" applyAlignment="1">
      <alignment horizontal="center" vertical="center"/>
    </xf>
    <xf numFmtId="164" fontId="0" fillId="0" borderId="11" xfId="0" applyNumberFormat="1" applyBorder="1"/>
    <xf numFmtId="164" fontId="0" fillId="15" borderId="8" xfId="0" applyNumberFormat="1" applyFill="1" applyBorder="1"/>
    <xf numFmtId="164" fontId="0" fillId="15" borderId="8" xfId="0" applyNumberFormat="1" applyFill="1" applyBorder="1" applyAlignment="1">
      <alignment vertical="center"/>
    </xf>
    <xf numFmtId="164" fontId="0" fillId="0" borderId="10" xfId="0" applyNumberFormat="1" applyBorder="1"/>
    <xf numFmtId="164" fontId="0" fillId="15" borderId="11" xfId="0" applyNumberFormat="1" applyFill="1" applyBorder="1"/>
    <xf numFmtId="164" fontId="0" fillId="15" borderId="12" xfId="0" applyNumberFormat="1" applyFill="1" applyBorder="1"/>
    <xf numFmtId="4" fontId="0" fillId="15" borderId="6" xfId="0" applyNumberFormat="1" applyFill="1" applyBorder="1" applyAlignment="1">
      <alignment horizontal="right"/>
    </xf>
    <xf numFmtId="0" fontId="0" fillId="0" borderId="0" xfId="0" applyBorder="1" applyAlignment="1">
      <alignment horizontal="right" vertical="center"/>
    </xf>
    <xf numFmtId="164" fontId="0" fillId="0" borderId="8" xfId="0" applyNumberFormat="1" applyBorder="1" applyAlignment="1">
      <alignment vertical="center"/>
    </xf>
    <xf numFmtId="164" fontId="0" fillId="0" borderId="0" xfId="0" applyNumberFormat="1" applyBorder="1" applyAlignment="1">
      <alignment vertical="center"/>
    </xf>
    <xf numFmtId="0" fontId="0" fillId="0" borderId="0" xfId="0" applyFill="1" applyBorder="1" applyAlignment="1">
      <alignment horizontal="right" vertical="center"/>
    </xf>
    <xf numFmtId="164" fontId="0" fillId="0" borderId="13" xfId="0" applyNumberFormat="1" applyFill="1" applyBorder="1"/>
    <xf numFmtId="164" fontId="0" fillId="15" borderId="5" xfId="0" applyNumberFormat="1" applyFill="1" applyBorder="1"/>
    <xf numFmtId="164" fontId="0" fillId="15" borderId="15" xfId="0" applyNumberFormat="1" applyFill="1" applyBorder="1"/>
    <xf numFmtId="164" fontId="0" fillId="7" borderId="6" xfId="0" applyNumberFormat="1" applyFill="1" applyBorder="1"/>
    <xf numFmtId="164" fontId="0" fillId="7" borderId="0" xfId="0" applyNumberFormat="1" applyFill="1" applyBorder="1" applyAlignment="1">
      <alignment vertical="center"/>
    </xf>
    <xf numFmtId="164" fontId="0" fillId="7" borderId="0" xfId="0" applyNumberFormat="1" applyFill="1" applyBorder="1"/>
    <xf numFmtId="164" fontId="0" fillId="7" borderId="13" xfId="0" applyNumberFormat="1" applyFill="1" applyBorder="1" applyAlignment="1">
      <alignment vertical="center"/>
    </xf>
    <xf numFmtId="164" fontId="0" fillId="7" borderId="13" xfId="0" applyNumberFormat="1" applyFill="1" applyBorder="1"/>
    <xf numFmtId="164" fontId="0" fillId="7" borderId="14" xfId="0" applyNumberFormat="1" applyFill="1" applyBorder="1"/>
    <xf numFmtId="164" fontId="0" fillId="12" borderId="6" xfId="0" applyNumberFormat="1" applyFill="1" applyBorder="1"/>
    <xf numFmtId="164" fontId="0" fillId="12" borderId="0" xfId="0" applyNumberFormat="1" applyFill="1" applyBorder="1" applyAlignment="1">
      <alignment vertical="center"/>
    </xf>
    <xf numFmtId="164" fontId="0" fillId="12" borderId="0" xfId="0" applyNumberFormat="1" applyFill="1" applyBorder="1"/>
    <xf numFmtId="164" fontId="0" fillId="12" borderId="14" xfId="0" applyNumberFormat="1" applyFill="1" applyBorder="1"/>
    <xf numFmtId="164" fontId="0" fillId="12" borderId="13" xfId="0" applyNumberFormat="1" applyFill="1" applyBorder="1" applyAlignment="1">
      <alignment vertical="center"/>
    </xf>
    <xf numFmtId="164" fontId="0" fillId="12" borderId="13" xfId="0" applyNumberFormat="1" applyFill="1" applyBorder="1"/>
    <xf numFmtId="0" fontId="0" fillId="9" borderId="10" xfId="0" applyFont="1" applyFill="1" applyBorder="1" applyAlignment="1">
      <alignment horizontal="center"/>
    </xf>
    <xf numFmtId="0" fontId="0" fillId="9" borderId="5" xfId="0" applyFont="1" applyFill="1" applyBorder="1" applyAlignment="1">
      <alignment horizontal="center"/>
    </xf>
    <xf numFmtId="0" fontId="0" fillId="9" borderId="15" xfId="0" applyFont="1" applyFill="1" applyBorder="1" applyAlignment="1">
      <alignment horizontal="center"/>
    </xf>
    <xf numFmtId="0" fontId="0" fillId="12" borderId="10" xfId="0" applyFont="1" applyFill="1" applyBorder="1" applyAlignment="1">
      <alignment horizontal="center"/>
    </xf>
    <xf numFmtId="0" fontId="0" fillId="12" borderId="5" xfId="0" applyFont="1" applyFill="1" applyBorder="1" applyAlignment="1">
      <alignment horizontal="center"/>
    </xf>
    <xf numFmtId="0" fontId="0" fillId="12" borderId="15" xfId="0" applyFont="1" applyFill="1" applyBorder="1" applyAlignment="1">
      <alignment horizontal="center"/>
    </xf>
    <xf numFmtId="0" fontId="0" fillId="17" borderId="10" xfId="0" applyFont="1" applyFill="1" applyBorder="1" applyAlignment="1">
      <alignment horizontal="center"/>
    </xf>
    <xf numFmtId="0" fontId="0" fillId="17" borderId="5" xfId="0" applyFont="1" applyFill="1" applyBorder="1" applyAlignment="1">
      <alignment horizontal="center"/>
    </xf>
    <xf numFmtId="0" fontId="0" fillId="17" borderId="15" xfId="0" applyFont="1" applyFill="1" applyBorder="1" applyAlignment="1">
      <alignment horizontal="center"/>
    </xf>
    <xf numFmtId="164" fontId="0" fillId="17" borderId="6" xfId="0" applyNumberFormat="1" applyFill="1" applyBorder="1"/>
    <xf numFmtId="164" fontId="0" fillId="17" borderId="0" xfId="0" applyNumberFormat="1" applyFill="1" applyBorder="1" applyAlignment="1">
      <alignment vertical="center"/>
    </xf>
    <xf numFmtId="164" fontId="0" fillId="17" borderId="0" xfId="0" applyNumberFormat="1" applyFill="1" applyBorder="1"/>
    <xf numFmtId="164" fontId="0" fillId="0" borderId="13" xfId="0" applyNumberFormat="1" applyFill="1" applyBorder="1" applyAlignment="1">
      <alignment vertical="center"/>
    </xf>
    <xf numFmtId="0" fontId="0" fillId="17" borderId="0" xfId="0" applyFill="1"/>
    <xf numFmtId="0" fontId="1" fillId="0" borderId="0" xfId="0" applyFont="1" applyFill="1" applyBorder="1" applyAlignment="1">
      <alignment horizontal="center"/>
    </xf>
    <xf numFmtId="0" fontId="0" fillId="0" borderId="17" xfId="0" applyBorder="1" applyAlignment="1">
      <alignment horizontal="right"/>
    </xf>
    <xf numFmtId="0" fontId="0" fillId="15" borderId="18" xfId="0" applyFill="1" applyBorder="1" applyAlignment="1">
      <alignment horizontal="right"/>
    </xf>
    <xf numFmtId="0" fontId="0" fillId="0" borderId="18" xfId="0" applyBorder="1" applyAlignment="1">
      <alignment horizontal="right"/>
    </xf>
    <xf numFmtId="0" fontId="0" fillId="0" borderId="14" xfId="0" applyBorder="1" applyAlignment="1">
      <alignment horizontal="right"/>
    </xf>
    <xf numFmtId="0" fontId="0" fillId="15" borderId="13" xfId="0" applyFill="1" applyBorder="1" applyAlignment="1">
      <alignment horizontal="right"/>
    </xf>
    <xf numFmtId="0" fontId="0" fillId="0" borderId="13" xfId="0" applyBorder="1" applyAlignment="1">
      <alignment horizontal="right"/>
    </xf>
    <xf numFmtId="0" fontId="0" fillId="15" borderId="15" xfId="0" applyFill="1" applyBorder="1" applyAlignment="1">
      <alignment horizontal="right"/>
    </xf>
    <xf numFmtId="0" fontId="0" fillId="13" borderId="10" xfId="0" applyFont="1" applyFill="1" applyBorder="1" applyAlignment="1">
      <alignment horizontal="center"/>
    </xf>
    <xf numFmtId="0" fontId="0" fillId="13" borderId="5" xfId="0" applyFont="1" applyFill="1" applyBorder="1" applyAlignment="1">
      <alignment horizontal="center"/>
    </xf>
    <xf numFmtId="0" fontId="0" fillId="13" borderId="5" xfId="0" applyFill="1" applyBorder="1" applyAlignment="1">
      <alignment horizontal="center"/>
    </xf>
    <xf numFmtId="10" fontId="0" fillId="13" borderId="5" xfId="0" applyNumberFormat="1" applyFill="1" applyBorder="1" applyAlignment="1">
      <alignment horizontal="center"/>
    </xf>
    <xf numFmtId="0" fontId="0" fillId="13" borderId="15" xfId="0" applyFill="1" applyBorder="1" applyAlignment="1">
      <alignment horizontal="center"/>
    </xf>
    <xf numFmtId="0" fontId="0" fillId="0" borderId="14" xfId="0" applyFill="1" applyBorder="1" applyAlignment="1">
      <alignment horizontal="right"/>
    </xf>
    <xf numFmtId="0" fontId="0" fillId="0" borderId="13" xfId="0" applyFill="1" applyBorder="1" applyAlignment="1">
      <alignment horizontal="right"/>
    </xf>
    <xf numFmtId="164" fontId="0" fillId="0" borderId="6" xfId="0" applyNumberFormat="1" applyBorder="1" applyAlignment="1"/>
    <xf numFmtId="164" fontId="0" fillId="0" borderId="14" xfId="0" applyNumberFormat="1" applyBorder="1" applyAlignment="1"/>
    <xf numFmtId="164" fontId="0" fillId="15" borderId="0" xfId="0" applyNumberFormat="1" applyFill="1" applyBorder="1" applyAlignment="1"/>
    <xf numFmtId="164" fontId="0" fillId="15" borderId="13" xfId="0" applyNumberFormat="1" applyFill="1" applyBorder="1" applyAlignment="1"/>
    <xf numFmtId="164" fontId="0" fillId="0" borderId="0" xfId="0" applyNumberFormat="1" applyBorder="1" applyAlignment="1"/>
    <xf numFmtId="164" fontId="0" fillId="0" borderId="13" xfId="0" applyNumberFormat="1" applyBorder="1" applyAlignment="1"/>
    <xf numFmtId="164" fontId="0" fillId="0" borderId="11" xfId="0" applyNumberFormat="1" applyFont="1" applyBorder="1" applyAlignment="1">
      <alignment horizontal="right"/>
    </xf>
    <xf numFmtId="164" fontId="0" fillId="0" borderId="6" xfId="0" applyNumberFormat="1" applyBorder="1" applyAlignment="1">
      <alignment horizontal="right"/>
    </xf>
    <xf numFmtId="164" fontId="0" fillId="0" borderId="14" xfId="0" applyNumberFormat="1" applyBorder="1" applyAlignment="1">
      <alignment horizontal="right"/>
    </xf>
    <xf numFmtId="164" fontId="0" fillId="15" borderId="8" xfId="0" applyNumberFormat="1" applyFont="1" applyFill="1" applyBorder="1" applyAlignment="1">
      <alignment horizontal="right"/>
    </xf>
    <xf numFmtId="164" fontId="0" fillId="15" borderId="0" xfId="0" applyNumberFormat="1" applyFill="1" applyBorder="1" applyAlignment="1">
      <alignment horizontal="right"/>
    </xf>
    <xf numFmtId="164" fontId="0" fillId="15" borderId="13" xfId="0" applyNumberFormat="1" applyFill="1" applyBorder="1" applyAlignment="1">
      <alignment horizontal="right"/>
    </xf>
    <xf numFmtId="164" fontId="0" fillId="0" borderId="8" xfId="0" applyNumberFormat="1" applyFont="1" applyBorder="1" applyAlignment="1">
      <alignment horizontal="right"/>
    </xf>
    <xf numFmtId="164" fontId="0" fillId="0" borderId="0" xfId="0" applyNumberFormat="1" applyBorder="1" applyAlignment="1">
      <alignment horizontal="right"/>
    </xf>
    <xf numFmtId="164" fontId="0" fillId="0" borderId="13" xfId="0" applyNumberFormat="1" applyBorder="1" applyAlignment="1">
      <alignment horizontal="right"/>
    </xf>
    <xf numFmtId="0" fontId="0" fillId="0" borderId="15" xfId="0" applyBorder="1" applyAlignment="1">
      <alignment horizontal="right"/>
    </xf>
    <xf numFmtId="0" fontId="0" fillId="15" borderId="14" xfId="0" applyFill="1" applyBorder="1" applyAlignment="1">
      <alignment horizontal="right"/>
    </xf>
    <xf numFmtId="164" fontId="0" fillId="15" borderId="10" xfId="0" applyNumberFormat="1" applyFont="1" applyFill="1" applyBorder="1" applyAlignment="1">
      <alignment horizontal="right"/>
    </xf>
    <xf numFmtId="164" fontId="0" fillId="15" borderId="5" xfId="0" applyNumberFormat="1" applyFill="1" applyBorder="1" applyAlignment="1">
      <alignment horizontal="right"/>
    </xf>
    <xf numFmtId="0" fontId="0" fillId="15" borderId="5" xfId="0" applyFill="1" applyBorder="1" applyAlignment="1">
      <alignment horizontal="right"/>
    </xf>
    <xf numFmtId="164" fontId="0" fillId="15" borderId="15" xfId="0" applyNumberFormat="1" applyFill="1" applyBorder="1" applyAlignment="1">
      <alignment horizontal="right"/>
    </xf>
    <xf numFmtId="0" fontId="0" fillId="9" borderId="11" xfId="0" applyFont="1" applyFill="1" applyBorder="1" applyAlignment="1">
      <alignment horizontal="center"/>
    </xf>
    <xf numFmtId="0" fontId="0" fillId="9" borderId="6" xfId="0" applyFont="1" applyFill="1" applyBorder="1" applyAlignment="1">
      <alignment horizontal="center"/>
    </xf>
    <xf numFmtId="0" fontId="0" fillId="0" borderId="5" xfId="0" applyBorder="1"/>
    <xf numFmtId="0" fontId="0" fillId="0" borderId="0" xfId="0" applyFont="1" applyFill="1" applyBorder="1" applyAlignment="1">
      <alignment horizontal="center"/>
    </xf>
    <xf numFmtId="164" fontId="17" fillId="11" borderId="18" xfId="0" applyNumberFormat="1" applyFont="1" applyFill="1" applyBorder="1"/>
    <xf numFmtId="0" fontId="16" fillId="11" borderId="17" xfId="0" applyFont="1" applyFill="1" applyBorder="1" applyAlignment="1">
      <alignment horizontal="center"/>
    </xf>
    <xf numFmtId="0" fontId="0" fillId="15" borderId="15" xfId="0" applyFont="1" applyFill="1" applyBorder="1" applyAlignment="1">
      <alignment horizontal="right"/>
    </xf>
    <xf numFmtId="0" fontId="0" fillId="9" borderId="5" xfId="0" applyFill="1" applyBorder="1" applyAlignment="1">
      <alignment horizontal="center"/>
    </xf>
    <xf numFmtId="0" fontId="0" fillId="9" borderId="15" xfId="0" applyFill="1" applyBorder="1" applyAlignment="1">
      <alignment horizontal="center"/>
    </xf>
    <xf numFmtId="0" fontId="0" fillId="9" borderId="20" xfId="0" applyFill="1" applyBorder="1" applyAlignment="1">
      <alignment horizontal="center"/>
    </xf>
    <xf numFmtId="0" fontId="0" fillId="0" borderId="20" xfId="0" applyBorder="1" applyAlignment="1">
      <alignment horizontal="center" vertical="center"/>
    </xf>
    <xf numFmtId="164" fontId="0" fillId="0" borderId="11" xfId="0" applyNumberFormat="1" applyFont="1" applyBorder="1" applyAlignment="1">
      <alignment horizontal="center" vertical="center"/>
    </xf>
    <xf numFmtId="164" fontId="0" fillId="0" borderId="14" xfId="0" applyNumberFormat="1" applyBorder="1" applyAlignment="1">
      <alignment horizontal="center" vertical="center"/>
    </xf>
    <xf numFmtId="0" fontId="0" fillId="12" borderId="5" xfId="0" applyFill="1" applyBorder="1" applyAlignment="1">
      <alignment horizontal="center"/>
    </xf>
    <xf numFmtId="0" fontId="0" fillId="12" borderId="15" xfId="0" applyFill="1" applyBorder="1" applyAlignment="1">
      <alignment horizontal="center"/>
    </xf>
    <xf numFmtId="0" fontId="0" fillId="12" borderId="20" xfId="0" applyFill="1" applyBorder="1" applyAlignment="1">
      <alignment horizontal="center"/>
    </xf>
    <xf numFmtId="0" fontId="4" fillId="7" borderId="0" xfId="0" applyFont="1" applyFill="1" applyAlignment="1">
      <alignment horizontal="left"/>
    </xf>
    <xf numFmtId="0" fontId="4" fillId="12" borderId="0" xfId="0" applyFont="1" applyFill="1" applyAlignment="1">
      <alignment horizontal="left"/>
    </xf>
    <xf numFmtId="0" fontId="0" fillId="12" borderId="0" xfId="0" applyFill="1"/>
    <xf numFmtId="0" fontId="1" fillId="0" borderId="18" xfId="0" applyFont="1" applyBorder="1" applyAlignment="1">
      <alignment horizontal="right"/>
    </xf>
    <xf numFmtId="164" fontId="18" fillId="0" borderId="0" xfId="0" applyNumberFormat="1" applyFont="1" applyBorder="1"/>
    <xf numFmtId="164" fontId="18" fillId="0" borderId="0" xfId="0" applyNumberFormat="1" applyFont="1" applyFill="1" applyBorder="1"/>
    <xf numFmtId="164" fontId="17" fillId="0" borderId="0" xfId="0" applyNumberFormat="1" applyFont="1" applyFill="1" applyBorder="1"/>
    <xf numFmtId="164" fontId="16" fillId="11" borderId="15" xfId="0" applyNumberFormat="1" applyFont="1" applyFill="1" applyBorder="1"/>
    <xf numFmtId="0" fontId="0" fillId="0" borderId="17" xfId="0" applyFont="1" applyBorder="1" applyAlignment="1">
      <alignment horizontal="right"/>
    </xf>
    <xf numFmtId="0" fontId="0" fillId="0" borderId="18" xfId="0" applyFont="1" applyBorder="1" applyAlignment="1">
      <alignment horizontal="right"/>
    </xf>
    <xf numFmtId="0" fontId="0" fillId="0" borderId="0" xfId="0" applyBorder="1" applyAlignment="1">
      <alignment horizontal="center" vertical="center"/>
    </xf>
    <xf numFmtId="164" fontId="18" fillId="0" borderId="5" xfId="0" applyNumberFormat="1" applyFont="1" applyFill="1" applyBorder="1" applyAlignment="1">
      <alignment horizontal="center" vertical="center"/>
    </xf>
    <xf numFmtId="164" fontId="18" fillId="0" borderId="0" xfId="0" applyNumberFormat="1" applyFont="1" applyFill="1" applyBorder="1" applyAlignment="1">
      <alignment horizontal="center" vertical="center"/>
    </xf>
    <xf numFmtId="0" fontId="0" fillId="0" borderId="15" xfId="0" applyFont="1" applyBorder="1" applyAlignment="1">
      <alignment horizontal="right"/>
    </xf>
    <xf numFmtId="164" fontId="18" fillId="0" borderId="12" xfId="0" applyNumberFormat="1" applyFont="1" applyFill="1" applyBorder="1" applyAlignment="1">
      <alignment horizontal="center" vertical="center"/>
    </xf>
    <xf numFmtId="164" fontId="18" fillId="0" borderId="9" xfId="0" applyNumberFormat="1" applyFont="1" applyFill="1" applyBorder="1" applyAlignment="1">
      <alignment horizontal="center" vertical="center"/>
    </xf>
    <xf numFmtId="0" fontId="1" fillId="15" borderId="12" xfId="0" applyFont="1" applyFill="1" applyBorder="1"/>
    <xf numFmtId="0" fontId="1" fillId="0" borderId="0" xfId="0" applyFont="1" applyFill="1" applyBorder="1"/>
    <xf numFmtId="164" fontId="1" fillId="0" borderId="0" xfId="0" applyNumberFormat="1" applyFont="1" applyFill="1" applyBorder="1"/>
    <xf numFmtId="0" fontId="4" fillId="17" borderId="0" xfId="0" applyFont="1" applyFill="1" applyAlignment="1">
      <alignment horizontal="left"/>
    </xf>
    <xf numFmtId="0" fontId="0" fillId="17" borderId="5" xfId="0" applyFill="1" applyBorder="1" applyAlignment="1">
      <alignment horizontal="center"/>
    </xf>
    <xf numFmtId="0" fontId="0" fillId="17" borderId="15" xfId="0" applyFill="1" applyBorder="1" applyAlignment="1">
      <alignment horizontal="center"/>
    </xf>
    <xf numFmtId="0" fontId="0" fillId="17" borderId="20" xfId="0" applyFill="1" applyBorder="1" applyAlignment="1">
      <alignment horizontal="center"/>
    </xf>
    <xf numFmtId="0" fontId="0" fillId="15" borderId="12" xfId="0" applyFont="1" applyFill="1" applyBorder="1"/>
    <xf numFmtId="0" fontId="1" fillId="0" borderId="16" xfId="0" applyFont="1" applyBorder="1" applyAlignment="1">
      <alignment horizontal="right"/>
    </xf>
    <xf numFmtId="0" fontId="1" fillId="15" borderId="16" xfId="0" applyFont="1" applyFill="1" applyBorder="1" applyAlignment="1">
      <alignment horizontal="right"/>
    </xf>
    <xf numFmtId="164" fontId="0" fillId="0" borderId="12" xfId="0" applyNumberFormat="1" applyBorder="1" applyAlignment="1">
      <alignment horizontal="center" vertical="center"/>
    </xf>
    <xf numFmtId="164" fontId="0" fillId="0" borderId="16" xfId="0" applyNumberFormat="1" applyBorder="1" applyAlignment="1">
      <alignment horizontal="center" vertical="center"/>
    </xf>
    <xf numFmtId="0" fontId="1" fillId="15" borderId="12" xfId="0" applyFont="1" applyFill="1" applyBorder="1" applyAlignment="1">
      <alignment horizontal="center" vertical="center"/>
    </xf>
    <xf numFmtId="0" fontId="0" fillId="15" borderId="8" xfId="0" applyFont="1" applyFill="1" applyBorder="1" applyAlignment="1">
      <alignment horizontal="center" vertical="center"/>
    </xf>
    <xf numFmtId="0" fontId="0" fillId="0" borderId="16" xfId="0" applyFont="1" applyFill="1" applyBorder="1" applyAlignment="1">
      <alignment horizontal="right"/>
    </xf>
    <xf numFmtId="0" fontId="0" fillId="0" borderId="8" xfId="0" applyFont="1" applyFill="1" applyBorder="1" applyAlignment="1">
      <alignment horizontal="center"/>
    </xf>
    <xf numFmtId="0" fontId="0" fillId="15" borderId="10" xfId="0" applyFont="1" applyFill="1" applyBorder="1"/>
    <xf numFmtId="0" fontId="0" fillId="0" borderId="8" xfId="0" applyFill="1" applyBorder="1" applyAlignment="1">
      <alignment horizontal="center" vertical="center"/>
    </xf>
    <xf numFmtId="0" fontId="1" fillId="0" borderId="16" xfId="0" applyFont="1" applyFill="1" applyBorder="1" applyAlignment="1">
      <alignment horizontal="right"/>
    </xf>
    <xf numFmtId="0" fontId="0" fillId="15" borderId="11" xfId="0" applyFont="1" applyFill="1" applyBorder="1" applyAlignment="1">
      <alignment horizontal="center" vertical="center"/>
    </xf>
    <xf numFmtId="0" fontId="0" fillId="0" borderId="19" xfId="0" applyBorder="1" applyAlignment="1">
      <alignment horizontal="center" vertical="center"/>
    </xf>
    <xf numFmtId="164" fontId="18" fillId="0" borderId="16" xfId="0" applyNumberFormat="1" applyFont="1" applyFill="1" applyBorder="1" applyAlignment="1">
      <alignment horizontal="center" vertical="center"/>
    </xf>
    <xf numFmtId="0" fontId="1" fillId="0" borderId="11" xfId="0" applyFont="1" applyFill="1" applyBorder="1" applyAlignment="1">
      <alignment vertical="center"/>
    </xf>
    <xf numFmtId="0" fontId="0" fillId="0" borderId="6" xfId="0" applyFill="1" applyBorder="1" applyAlignment="1">
      <alignment horizontal="right" vertical="center"/>
    </xf>
    <xf numFmtId="0" fontId="1" fillId="0" borderId="8" xfId="0" applyFont="1" applyFill="1" applyBorder="1" applyAlignment="1">
      <alignment vertical="center"/>
    </xf>
    <xf numFmtId="164" fontId="0" fillId="9" borderId="16" xfId="0" applyNumberFormat="1" applyFill="1" applyBorder="1"/>
    <xf numFmtId="164" fontId="0" fillId="12" borderId="16" xfId="0" applyNumberFormat="1" applyFill="1" applyBorder="1"/>
    <xf numFmtId="0" fontId="0" fillId="0" borderId="11" xfId="0" applyBorder="1"/>
    <xf numFmtId="0" fontId="0" fillId="0" borderId="6" xfId="0" applyBorder="1"/>
    <xf numFmtId="0" fontId="0" fillId="17" borderId="6" xfId="0" applyFill="1" applyBorder="1"/>
    <xf numFmtId="0" fontId="0" fillId="0" borderId="14" xfId="0" applyBorder="1"/>
    <xf numFmtId="0" fontId="0" fillId="0" borderId="8" xfId="0" applyBorder="1"/>
    <xf numFmtId="0" fontId="0" fillId="0" borderId="13" xfId="0" applyBorder="1"/>
    <xf numFmtId="164" fontId="0" fillId="17" borderId="16" xfId="0" applyNumberFormat="1" applyFill="1" applyBorder="1"/>
    <xf numFmtId="164" fontId="0" fillId="9" borderId="16" xfId="0" applyNumberFormat="1" applyFill="1" applyBorder="1" applyAlignment="1"/>
    <xf numFmtId="164" fontId="0" fillId="12" borderId="16" xfId="0" applyNumberFormat="1" applyFill="1" applyBorder="1" applyAlignment="1"/>
    <xf numFmtId="164" fontId="0" fillId="17" borderId="16" xfId="0" applyNumberFormat="1" applyFill="1" applyBorder="1" applyAlignment="1"/>
    <xf numFmtId="0" fontId="1" fillId="4" borderId="17" xfId="0" applyFont="1" applyFill="1" applyBorder="1" applyAlignment="1">
      <alignment horizontal="center"/>
    </xf>
    <xf numFmtId="164" fontId="0" fillId="4" borderId="18" xfId="0" applyNumberFormat="1" applyFill="1" applyBorder="1"/>
    <xf numFmtId="164" fontId="1" fillId="4" borderId="15" xfId="0" applyNumberFormat="1" applyFont="1" applyFill="1" applyBorder="1"/>
    <xf numFmtId="0" fontId="1" fillId="4" borderId="12" xfId="0" applyFont="1" applyFill="1" applyBorder="1"/>
    <xf numFmtId="0" fontId="1" fillId="16" borderId="17" xfId="0" applyFont="1" applyFill="1" applyBorder="1" applyAlignment="1">
      <alignment horizontal="center"/>
    </xf>
    <xf numFmtId="164" fontId="0" fillId="16" borderId="18" xfId="0" applyNumberFormat="1" applyFill="1" applyBorder="1"/>
    <xf numFmtId="164" fontId="1" fillId="16" borderId="15" xfId="0" applyNumberFormat="1" applyFont="1" applyFill="1" applyBorder="1"/>
    <xf numFmtId="0" fontId="1" fillId="16" borderId="12" xfId="0" applyFont="1" applyFill="1" applyBorder="1"/>
    <xf numFmtId="0" fontId="0" fillId="7" borderId="1" xfId="0" applyFill="1" applyBorder="1" applyAlignment="1">
      <alignment horizontal="right"/>
    </xf>
    <xf numFmtId="0" fontId="0" fillId="7" borderId="2" xfId="0" applyFill="1" applyBorder="1" applyAlignment="1">
      <alignment horizontal="right"/>
    </xf>
    <xf numFmtId="0" fontId="0" fillId="7" borderId="1" xfId="0" applyFill="1" applyBorder="1"/>
    <xf numFmtId="0" fontId="0" fillId="7" borderId="0" xfId="0" applyFill="1" applyBorder="1"/>
    <xf numFmtId="0" fontId="1" fillId="7" borderId="0" xfId="0" applyFont="1" applyFill="1" applyBorder="1" applyAlignment="1">
      <alignment horizontal="right"/>
    </xf>
    <xf numFmtId="0" fontId="0" fillId="2" borderId="8" xfId="0" applyFill="1" applyBorder="1" applyAlignment="1">
      <alignment horizontal="center"/>
    </xf>
    <xf numFmtId="0" fontId="0" fillId="2" borderId="0" xfId="0" applyFill="1" applyBorder="1" applyAlignment="1">
      <alignment horizontal="center"/>
    </xf>
    <xf numFmtId="0" fontId="0" fillId="2" borderId="13" xfId="0" applyFill="1" applyBorder="1" applyAlignment="1">
      <alignment horizontal="center"/>
    </xf>
    <xf numFmtId="0" fontId="0" fillId="0" borderId="8" xfId="0" applyBorder="1" applyAlignment="1">
      <alignment vertical="center"/>
    </xf>
    <xf numFmtId="0" fontId="0" fillId="0" borderId="0" xfId="0" applyBorder="1" applyAlignment="1">
      <alignment vertical="center"/>
    </xf>
    <xf numFmtId="0" fontId="2" fillId="0" borderId="13" xfId="1" applyBorder="1" applyAlignment="1">
      <alignment wrapText="1"/>
    </xf>
    <xf numFmtId="0" fontId="0" fillId="15" borderId="8" xfId="0" applyFill="1" applyBorder="1" applyAlignment="1">
      <alignment vertical="center"/>
    </xf>
    <xf numFmtId="0" fontId="0" fillId="15" borderId="0" xfId="0" applyFill="1" applyBorder="1" applyAlignment="1">
      <alignment vertical="center"/>
    </xf>
    <xf numFmtId="0" fontId="2" fillId="15" borderId="13" xfId="1" applyFill="1" applyBorder="1" applyAlignment="1">
      <alignment vertical="center" wrapText="1"/>
    </xf>
    <xf numFmtId="0" fontId="0" fillId="15" borderId="8" xfId="0" applyFill="1" applyBorder="1"/>
    <xf numFmtId="0" fontId="2" fillId="15" borderId="13" xfId="1" applyFill="1" applyBorder="1" applyAlignment="1">
      <alignment wrapText="1"/>
    </xf>
    <xf numFmtId="0" fontId="2" fillId="15" borderId="15" xfId="1" applyFill="1" applyBorder="1" applyAlignment="1">
      <alignment wrapText="1"/>
    </xf>
    <xf numFmtId="0" fontId="0" fillId="3" borderId="0" xfId="0" applyFill="1" applyBorder="1" applyAlignment="1"/>
    <xf numFmtId="0" fontId="0" fillId="0" borderId="0" xfId="0" applyFill="1" applyBorder="1" applyAlignment="1"/>
    <xf numFmtId="0" fontId="0" fillId="0" borderId="8" xfId="0" applyFill="1" applyBorder="1" applyAlignment="1"/>
    <xf numFmtId="0" fontId="0" fillId="0" borderId="11" xfId="0" applyBorder="1" applyAlignment="1">
      <alignment vertical="center"/>
    </xf>
    <xf numFmtId="0" fontId="0" fillId="0" borderId="6" xfId="0" applyBorder="1" applyAlignment="1">
      <alignment vertical="center"/>
    </xf>
    <xf numFmtId="164" fontId="0" fillId="0" borderId="6" xfId="0" applyNumberFormat="1" applyBorder="1" applyAlignment="1">
      <alignment vertical="center"/>
    </xf>
    <xf numFmtId="164" fontId="0" fillId="0" borderId="14" xfId="0" applyNumberFormat="1" applyBorder="1" applyAlignment="1">
      <alignment vertical="center"/>
    </xf>
    <xf numFmtId="0" fontId="0" fillId="2" borderId="20" xfId="0" applyFill="1" applyBorder="1" applyAlignment="1">
      <alignment horizontal="center"/>
    </xf>
    <xf numFmtId="0" fontId="0" fillId="0" borderId="10" xfId="0" applyBorder="1"/>
    <xf numFmtId="0" fontId="0" fillId="2" borderId="19" xfId="0" applyFill="1" applyBorder="1" applyAlignment="1">
      <alignment horizontal="center"/>
    </xf>
    <xf numFmtId="0" fontId="0" fillId="0" borderId="12" xfId="0" applyFill="1" applyBorder="1" applyAlignment="1"/>
    <xf numFmtId="0" fontId="0" fillId="3" borderId="6" xfId="0" applyFill="1" applyBorder="1" applyAlignment="1"/>
    <xf numFmtId="0" fontId="0" fillId="3" borderId="14" xfId="0" applyFill="1" applyBorder="1" applyAlignment="1"/>
    <xf numFmtId="0" fontId="1" fillId="3" borderId="8" xfId="0" applyFont="1" applyFill="1" applyBorder="1" applyAlignment="1"/>
    <xf numFmtId="0" fontId="1" fillId="3" borderId="11" xfId="0" applyFont="1" applyFill="1" applyBorder="1" applyAlignment="1"/>
    <xf numFmtId="164" fontId="0" fillId="0" borderId="13" xfId="0" applyNumberFormat="1" applyBorder="1" applyAlignment="1">
      <alignment vertical="center"/>
    </xf>
    <xf numFmtId="0" fontId="2" fillId="0" borderId="17" xfId="1" applyBorder="1" applyAlignment="1">
      <alignment wrapText="1"/>
    </xf>
    <xf numFmtId="0" fontId="2" fillId="15" borderId="18" xfId="1" applyFill="1" applyBorder="1" applyAlignment="1">
      <alignment wrapText="1"/>
    </xf>
    <xf numFmtId="0" fontId="2" fillId="0" borderId="19" xfId="1" applyBorder="1" applyAlignment="1">
      <alignment wrapText="1"/>
    </xf>
    <xf numFmtId="164" fontId="0" fillId="2" borderId="16" xfId="0" applyNumberFormat="1" applyFill="1" applyBorder="1"/>
    <xf numFmtId="0" fontId="0" fillId="10" borderId="0" xfId="0" applyFill="1" applyBorder="1" applyAlignment="1"/>
    <xf numFmtId="0" fontId="1" fillId="10" borderId="8" xfId="0" applyFont="1" applyFill="1" applyBorder="1" applyAlignment="1"/>
    <xf numFmtId="0" fontId="0" fillId="9" borderId="8" xfId="0" applyFill="1" applyBorder="1" applyAlignment="1">
      <alignment horizontal="center"/>
    </xf>
    <xf numFmtId="0" fontId="0" fillId="9" borderId="0" xfId="0" applyFill="1" applyBorder="1" applyAlignment="1">
      <alignment horizontal="center"/>
    </xf>
    <xf numFmtId="0" fontId="0" fillId="9" borderId="19" xfId="0" applyFill="1" applyBorder="1" applyAlignment="1">
      <alignment horizontal="center"/>
    </xf>
    <xf numFmtId="0" fontId="2" fillId="15" borderId="20" xfId="1" applyFill="1" applyBorder="1" applyAlignment="1">
      <alignment wrapText="1"/>
    </xf>
    <xf numFmtId="0" fontId="1" fillId="5" borderId="8" xfId="0" applyFont="1" applyFill="1" applyBorder="1" applyAlignment="1"/>
    <xf numFmtId="0" fontId="0" fillId="5" borderId="0" xfId="0" applyFill="1" applyBorder="1" applyAlignment="1"/>
    <xf numFmtId="0" fontId="0" fillId="12" borderId="19" xfId="0" applyFill="1" applyBorder="1" applyAlignment="1">
      <alignment horizontal="center"/>
    </xf>
    <xf numFmtId="0" fontId="0" fillId="12" borderId="16" xfId="0" applyFill="1" applyBorder="1" applyAlignment="1">
      <alignment horizontal="center"/>
    </xf>
    <xf numFmtId="0" fontId="1" fillId="5" borderId="11" xfId="0" applyFont="1" applyFill="1" applyBorder="1" applyAlignment="1"/>
    <xf numFmtId="0" fontId="0" fillId="5" borderId="6" xfId="0" applyFill="1" applyBorder="1" applyAlignment="1"/>
    <xf numFmtId="0" fontId="0" fillId="5" borderId="14" xfId="0" applyFill="1" applyBorder="1" applyAlignment="1"/>
    <xf numFmtId="0" fontId="0" fillId="12" borderId="10" xfId="0" applyFill="1" applyBorder="1" applyAlignment="1">
      <alignment horizontal="center"/>
    </xf>
    <xf numFmtId="0" fontId="0" fillId="9" borderId="16" xfId="0" applyFill="1" applyBorder="1" applyAlignment="1">
      <alignment horizontal="center"/>
    </xf>
    <xf numFmtId="0" fontId="1" fillId="10" borderId="11" xfId="0" applyFont="1" applyFill="1" applyBorder="1" applyAlignment="1"/>
    <xf numFmtId="0" fontId="0" fillId="10" borderId="6" xfId="0" applyFill="1" applyBorder="1" applyAlignment="1"/>
    <xf numFmtId="0" fontId="0" fillId="10" borderId="14" xfId="0" applyFill="1" applyBorder="1" applyAlignment="1"/>
    <xf numFmtId="0" fontId="0" fillId="9" borderId="10" xfId="0" applyFill="1" applyBorder="1" applyAlignment="1">
      <alignment horizontal="center"/>
    </xf>
    <xf numFmtId="0" fontId="0" fillId="5" borderId="13" xfId="0" applyFill="1" applyBorder="1" applyAlignment="1"/>
    <xf numFmtId="0" fontId="1" fillId="18" borderId="8" xfId="0" applyFont="1" applyFill="1" applyBorder="1" applyAlignment="1"/>
    <xf numFmtId="0" fontId="0" fillId="18" borderId="0" xfId="0" applyFill="1" applyBorder="1" applyAlignment="1"/>
    <xf numFmtId="0" fontId="0" fillId="17" borderId="8" xfId="0" applyFill="1" applyBorder="1" applyAlignment="1">
      <alignment horizontal="center"/>
    </xf>
    <xf numFmtId="0" fontId="0" fillId="17" borderId="0" xfId="0" applyFill="1" applyBorder="1" applyAlignment="1">
      <alignment horizontal="center"/>
    </xf>
    <xf numFmtId="0" fontId="1" fillId="18" borderId="11" xfId="0" applyFont="1" applyFill="1" applyBorder="1" applyAlignment="1"/>
    <xf numFmtId="0" fontId="0" fillId="18" borderId="6" xfId="0" applyFill="1" applyBorder="1" applyAlignment="1"/>
    <xf numFmtId="0" fontId="0" fillId="18" borderId="14" xfId="0" applyFill="1" applyBorder="1" applyAlignment="1"/>
    <xf numFmtId="0" fontId="0" fillId="17" borderId="10" xfId="0" applyFill="1" applyBorder="1" applyAlignment="1">
      <alignment horizontal="center"/>
    </xf>
    <xf numFmtId="0" fontId="0" fillId="17" borderId="19" xfId="0" applyFill="1" applyBorder="1" applyAlignment="1">
      <alignment horizontal="center"/>
    </xf>
    <xf numFmtId="0" fontId="0" fillId="0" borderId="8" xfId="0" applyFill="1" applyBorder="1" applyAlignment="1">
      <alignment vertical="center"/>
    </xf>
    <xf numFmtId="0" fontId="0" fillId="0" borderId="0" xfId="0" applyFill="1" applyBorder="1" applyAlignment="1">
      <alignment vertical="center"/>
    </xf>
    <xf numFmtId="164" fontId="0" fillId="0" borderId="0" xfId="0" applyNumberFormat="1" applyFill="1" applyBorder="1" applyAlignment="1">
      <alignment vertical="center"/>
    </xf>
    <xf numFmtId="0" fontId="0" fillId="15" borderId="10" xfId="0" applyFill="1" applyBorder="1" applyAlignment="1">
      <alignment vertical="center"/>
    </xf>
    <xf numFmtId="0" fontId="0" fillId="15" borderId="5" xfId="0" applyFill="1" applyBorder="1" applyAlignment="1">
      <alignment vertical="center"/>
    </xf>
    <xf numFmtId="164" fontId="0" fillId="15" borderId="5" xfId="0" applyNumberFormat="1" applyFill="1" applyBorder="1" applyAlignment="1">
      <alignment vertical="center"/>
    </xf>
    <xf numFmtId="164" fontId="0" fillId="15" borderId="15" xfId="0" applyNumberFormat="1" applyFill="1" applyBorder="1" applyAlignment="1">
      <alignment vertical="center"/>
    </xf>
    <xf numFmtId="0" fontId="2" fillId="15" borderId="20" xfId="1" applyFont="1" applyFill="1" applyBorder="1" applyAlignment="1">
      <alignment wrapText="1"/>
    </xf>
    <xf numFmtId="0" fontId="0" fillId="0" borderId="10" xfId="0" applyFill="1" applyBorder="1" applyAlignment="1">
      <alignment vertical="center"/>
    </xf>
    <xf numFmtId="0" fontId="0" fillId="0" borderId="5" xfId="0" applyFill="1" applyBorder="1" applyAlignment="1">
      <alignment vertical="center"/>
    </xf>
    <xf numFmtId="164" fontId="0" fillId="0" borderId="5" xfId="0" applyNumberFormat="1" applyFill="1" applyBorder="1" applyAlignment="1">
      <alignment vertical="center"/>
    </xf>
    <xf numFmtId="164" fontId="0" fillId="0" borderId="15" xfId="0" applyNumberFormat="1" applyFill="1" applyBorder="1" applyAlignment="1">
      <alignment vertical="center"/>
    </xf>
    <xf numFmtId="0" fontId="2" fillId="0" borderId="14" xfId="1" applyBorder="1" applyAlignment="1">
      <alignment wrapText="1"/>
    </xf>
    <xf numFmtId="0" fontId="2" fillId="0" borderId="15" xfId="1" applyFill="1" applyBorder="1" applyAlignment="1">
      <alignment wrapText="1"/>
    </xf>
    <xf numFmtId="0" fontId="0" fillId="0" borderId="5" xfId="0" applyBorder="1" applyAlignment="1">
      <alignment vertical="center"/>
    </xf>
    <xf numFmtId="0" fontId="0" fillId="15" borderId="11" xfId="0" applyFill="1" applyBorder="1"/>
    <xf numFmtId="0" fontId="0" fillId="15" borderId="6" xfId="0" applyFill="1" applyBorder="1"/>
    <xf numFmtId="0" fontId="0" fillId="15" borderId="10" xfId="0" applyFill="1" applyBorder="1"/>
    <xf numFmtId="0" fontId="0" fillId="15" borderId="5" xfId="0" applyFill="1" applyBorder="1"/>
    <xf numFmtId="0" fontId="0" fillId="0" borderId="12" xfId="0" applyBorder="1"/>
    <xf numFmtId="0" fontId="0" fillId="0" borderId="9" xfId="0" applyBorder="1"/>
    <xf numFmtId="164" fontId="0" fillId="0" borderId="9" xfId="0" applyNumberFormat="1" applyBorder="1"/>
    <xf numFmtId="164" fontId="0" fillId="0" borderId="16" xfId="0" applyNumberFormat="1" applyBorder="1"/>
    <xf numFmtId="0" fontId="19" fillId="0" borderId="6" xfId="0" applyFont="1" applyBorder="1"/>
    <xf numFmtId="0" fontId="19" fillId="0" borderId="0" xfId="0" applyFont="1" applyBorder="1"/>
    <xf numFmtId="0" fontId="19" fillId="0" borderId="5" xfId="0" applyFont="1" applyBorder="1"/>
    <xf numFmtId="0" fontId="19" fillId="15" borderId="6" xfId="0" applyFont="1" applyFill="1" applyBorder="1"/>
    <xf numFmtId="0" fontId="19" fillId="0" borderId="9" xfId="0" applyFont="1" applyBorder="1"/>
    <xf numFmtId="0" fontId="19" fillId="15" borderId="0" xfId="0" applyFont="1" applyFill="1" applyBorder="1"/>
    <xf numFmtId="0" fontId="19" fillId="15" borderId="5" xfId="0" applyFont="1" applyFill="1" applyBorder="1"/>
    <xf numFmtId="0" fontId="0" fillId="0" borderId="0" xfId="0" applyFill="1" applyAlignment="1">
      <alignment horizontal="left" vertical="top"/>
    </xf>
    <xf numFmtId="164" fontId="0" fillId="0" borderId="14" xfId="0" applyNumberFormat="1" applyBorder="1" applyAlignment="1">
      <alignment horizontal="center" vertical="center"/>
    </xf>
    <xf numFmtId="0" fontId="0" fillId="15" borderId="11" xfId="0" applyFont="1" applyFill="1" applyBorder="1" applyAlignment="1">
      <alignment horizontal="center" vertical="center"/>
    </xf>
    <xf numFmtId="0" fontId="0" fillId="0" borderId="20" xfId="0" applyBorder="1" applyAlignment="1">
      <alignment horizontal="center" vertical="center"/>
    </xf>
    <xf numFmtId="164" fontId="0" fillId="0" borderId="11" xfId="0" applyNumberFormat="1" applyBorder="1" applyAlignment="1">
      <alignment horizontal="center" vertical="center"/>
    </xf>
    <xf numFmtId="164" fontId="16" fillId="11" borderId="10" xfId="0" applyNumberFormat="1" applyFont="1" applyFill="1" applyBorder="1"/>
    <xf numFmtId="0" fontId="0" fillId="15" borderId="18" xfId="0" applyFont="1" applyFill="1" applyBorder="1" applyAlignment="1">
      <alignment horizontal="right"/>
    </xf>
    <xf numFmtId="0" fontId="1" fillId="15" borderId="19" xfId="0" applyFont="1" applyFill="1" applyBorder="1" applyAlignment="1">
      <alignment horizontal="right"/>
    </xf>
    <xf numFmtId="0" fontId="1" fillId="15" borderId="18" xfId="0" applyFont="1" applyFill="1" applyBorder="1" applyAlignment="1">
      <alignment horizontal="right"/>
    </xf>
    <xf numFmtId="0" fontId="0" fillId="0" borderId="15" xfId="0" applyFont="1" applyFill="1" applyBorder="1" applyAlignment="1">
      <alignment horizontal="right"/>
    </xf>
    <xf numFmtId="0" fontId="0" fillId="0" borderId="0" xfId="0" applyFill="1" applyAlignment="1">
      <alignment horizontal="left" vertical="top" wrapText="1"/>
    </xf>
    <xf numFmtId="0" fontId="0" fillId="11" borderId="6" xfId="0" applyFill="1" applyBorder="1" applyAlignment="1">
      <alignment horizontal="center"/>
    </xf>
    <xf numFmtId="0" fontId="0" fillId="9" borderId="0" xfId="0" applyFill="1" applyBorder="1"/>
    <xf numFmtId="164" fontId="0" fillId="9" borderId="6" xfId="0" applyNumberFormat="1" applyFill="1" applyBorder="1"/>
    <xf numFmtId="0" fontId="0" fillId="4" borderId="6" xfId="0" applyFill="1" applyBorder="1" applyAlignment="1">
      <alignment horizontal="center"/>
    </xf>
    <xf numFmtId="0" fontId="0" fillId="12" borderId="0" xfId="0" applyFill="1" applyBorder="1"/>
    <xf numFmtId="0" fontId="0" fillId="16" borderId="14" xfId="0" applyFill="1" applyBorder="1" applyAlignment="1">
      <alignment horizontal="center"/>
    </xf>
    <xf numFmtId="0" fontId="0" fillId="17" borderId="13" xfId="0" applyFill="1" applyBorder="1"/>
    <xf numFmtId="164" fontId="0" fillId="17" borderId="14" xfId="0" applyNumberFormat="1" applyFill="1" applyBorder="1"/>
    <xf numFmtId="164" fontId="0" fillId="12" borderId="9" xfId="0" applyNumberFormat="1" applyFill="1" applyBorder="1"/>
    <xf numFmtId="164" fontId="0" fillId="9" borderId="9" xfId="0" applyNumberFormat="1" applyFill="1" applyBorder="1"/>
    <xf numFmtId="0" fontId="0" fillId="14" borderId="11" xfId="0" applyFill="1" applyBorder="1" applyAlignment="1">
      <alignment horizontal="center"/>
    </xf>
    <xf numFmtId="0" fontId="0" fillId="14" borderId="6" xfId="0" applyFill="1" applyBorder="1" applyAlignment="1">
      <alignment horizontal="center"/>
    </xf>
    <xf numFmtId="0" fontId="1" fillId="13" borderId="11" xfId="0" applyFont="1" applyFill="1" applyBorder="1"/>
    <xf numFmtId="0" fontId="0" fillId="13" borderId="6" xfId="0" applyFill="1" applyBorder="1"/>
    <xf numFmtId="164" fontId="0" fillId="13" borderId="6" xfId="0" applyNumberFormat="1" applyFill="1" applyBorder="1"/>
    <xf numFmtId="0" fontId="1" fillId="13" borderId="8" xfId="0" applyFont="1" applyFill="1" applyBorder="1"/>
    <xf numFmtId="0" fontId="0" fillId="13" borderId="0" xfId="0" applyFill="1" applyBorder="1"/>
    <xf numFmtId="0" fontId="0" fillId="0" borderId="0" xfId="0" applyAlignment="1">
      <alignment horizontal="left"/>
    </xf>
    <xf numFmtId="168" fontId="0" fillId="0" borderId="0" xfId="0" applyNumberFormat="1"/>
    <xf numFmtId="0" fontId="0" fillId="13" borderId="0" xfId="0" applyFill="1" applyBorder="1" applyAlignment="1">
      <alignment horizontal="right"/>
    </xf>
    <xf numFmtId="4" fontId="0" fillId="13" borderId="0" xfId="0" applyNumberFormat="1" applyFill="1" applyBorder="1" applyAlignment="1">
      <alignment horizontal="center" vertical="center"/>
    </xf>
    <xf numFmtId="0" fontId="0" fillId="13" borderId="0" xfId="0" applyFill="1" applyBorder="1" applyAlignment="1">
      <alignment horizontal="left"/>
    </xf>
    <xf numFmtId="0" fontId="1" fillId="0" borderId="0" xfId="0" applyFont="1" applyFill="1" applyAlignment="1">
      <alignment vertical="top" wrapText="1"/>
    </xf>
    <xf numFmtId="164" fontId="0" fillId="13" borderId="16" xfId="0" applyNumberFormat="1" applyFont="1" applyFill="1" applyBorder="1" applyAlignment="1">
      <alignment horizontal="center" vertical="center" wrapText="1"/>
    </xf>
    <xf numFmtId="9" fontId="1" fillId="13" borderId="10" xfId="2" applyFont="1" applyFill="1" applyBorder="1" applyAlignment="1">
      <alignment horizontal="right" vertical="center" wrapText="1"/>
    </xf>
    <xf numFmtId="166" fontId="0" fillId="13" borderId="15" xfId="2" applyNumberFormat="1" applyFont="1" applyFill="1" applyBorder="1" applyAlignment="1">
      <alignment horizontal="center" vertical="center" wrapText="1"/>
    </xf>
    <xf numFmtId="9" fontId="1" fillId="13" borderId="12" xfId="2" applyFont="1" applyFill="1" applyBorder="1" applyAlignment="1">
      <alignment horizontal="right" vertical="center" wrapText="1"/>
    </xf>
    <xf numFmtId="166" fontId="0" fillId="13" borderId="16" xfId="2" applyNumberFormat="1" applyFont="1" applyFill="1" applyBorder="1" applyAlignment="1">
      <alignment horizontal="center" vertical="center" wrapText="1"/>
    </xf>
    <xf numFmtId="0" fontId="0" fillId="13" borderId="11" xfId="0" applyFill="1" applyBorder="1"/>
    <xf numFmtId="0" fontId="1" fillId="13" borderId="6" xfId="0" applyFont="1" applyFill="1" applyBorder="1" applyAlignment="1">
      <alignment horizontal="right"/>
    </xf>
    <xf numFmtId="0" fontId="1" fillId="13" borderId="6" xfId="0" applyFont="1" applyFill="1" applyBorder="1" applyAlignment="1">
      <alignment horizontal="center" vertical="center"/>
    </xf>
    <xf numFmtId="0" fontId="1" fillId="13" borderId="6" xfId="0" applyFont="1" applyFill="1" applyBorder="1" applyAlignment="1">
      <alignment horizontal="left"/>
    </xf>
    <xf numFmtId="0" fontId="0" fillId="13" borderId="14" xfId="0" applyFill="1" applyBorder="1" applyAlignment="1">
      <alignment horizontal="center"/>
    </xf>
    <xf numFmtId="0" fontId="0" fillId="13" borderId="8" xfId="0" applyFill="1" applyBorder="1"/>
    <xf numFmtId="4" fontId="0" fillId="13" borderId="13" xfId="0" applyNumberFormat="1" applyFill="1" applyBorder="1"/>
    <xf numFmtId="0" fontId="0" fillId="13" borderId="10" xfId="0" applyFill="1" applyBorder="1"/>
    <xf numFmtId="0" fontId="0" fillId="13" borderId="5" xfId="0" applyFill="1" applyBorder="1" applyAlignment="1">
      <alignment horizontal="right"/>
    </xf>
    <xf numFmtId="4" fontId="0" fillId="13" borderId="5" xfId="0" applyNumberFormat="1" applyFill="1" applyBorder="1" applyAlignment="1">
      <alignment horizontal="center" vertical="center"/>
    </xf>
    <xf numFmtId="4" fontId="0" fillId="13" borderId="5" xfId="0" applyNumberFormat="1" applyFill="1" applyBorder="1" applyAlignment="1">
      <alignment horizontal="left"/>
    </xf>
    <xf numFmtId="0" fontId="0" fillId="13" borderId="15" xfId="0" applyFill="1" applyBorder="1"/>
    <xf numFmtId="0" fontId="0" fillId="13" borderId="6" xfId="0" applyFill="1" applyBorder="1" applyAlignment="1">
      <alignment horizontal="right"/>
    </xf>
    <xf numFmtId="4" fontId="0" fillId="13" borderId="14" xfId="0" applyNumberFormat="1" applyFill="1" applyBorder="1" applyAlignment="1">
      <alignment horizontal="left"/>
    </xf>
    <xf numFmtId="4" fontId="0" fillId="13" borderId="13" xfId="0" applyNumberFormat="1" applyFill="1" applyBorder="1" applyAlignment="1">
      <alignment horizontal="left"/>
    </xf>
    <xf numFmtId="4" fontId="0" fillId="13" borderId="15" xfId="0" applyNumberFormat="1" applyFill="1" applyBorder="1" applyAlignment="1">
      <alignment horizontal="left"/>
    </xf>
    <xf numFmtId="3" fontId="0" fillId="13" borderId="11" xfId="0" applyNumberFormat="1" applyFill="1" applyBorder="1" applyAlignment="1">
      <alignment horizontal="center" vertical="center"/>
    </xf>
    <xf numFmtId="3" fontId="0" fillId="13" borderId="8" xfId="0" applyNumberFormat="1" applyFill="1" applyBorder="1" applyAlignment="1">
      <alignment horizontal="center" vertical="center"/>
    </xf>
    <xf numFmtId="3" fontId="0" fillId="13" borderId="10" xfId="0" applyNumberFormat="1" applyFill="1" applyBorder="1" applyAlignment="1">
      <alignment horizontal="center" vertical="center"/>
    </xf>
    <xf numFmtId="0" fontId="4" fillId="0" borderId="11" xfId="0" applyFont="1" applyBorder="1" applyAlignment="1">
      <alignment horizontal="left"/>
    </xf>
    <xf numFmtId="0" fontId="1" fillId="0" borderId="6" xfId="0" applyFont="1" applyBorder="1" applyAlignment="1">
      <alignment horizontal="center"/>
    </xf>
    <xf numFmtId="0" fontId="1" fillId="0" borderId="8" xfId="0" applyFont="1" applyBorder="1" applyAlignment="1">
      <alignment horizontal="right"/>
    </xf>
    <xf numFmtId="164" fontId="0" fillId="0" borderId="0" xfId="0" applyNumberFormat="1" applyBorder="1" applyAlignment="1">
      <alignment horizontal="center"/>
    </xf>
    <xf numFmtId="0" fontId="1" fillId="15" borderId="8" xfId="0" applyFont="1" applyFill="1" applyBorder="1" applyAlignment="1">
      <alignment horizontal="right"/>
    </xf>
    <xf numFmtId="164" fontId="0" fillId="15" borderId="0" xfId="0" applyNumberFormat="1" applyFill="1" applyBorder="1" applyAlignment="1">
      <alignment horizontal="center"/>
    </xf>
    <xf numFmtId="0" fontId="1" fillId="15" borderId="10" xfId="0" applyFont="1" applyFill="1" applyBorder="1" applyAlignment="1">
      <alignment horizontal="right"/>
    </xf>
    <xf numFmtId="164" fontId="0" fillId="15" borderId="5" xfId="0" applyNumberFormat="1" applyFill="1" applyBorder="1" applyAlignment="1">
      <alignment horizontal="center"/>
    </xf>
    <xf numFmtId="0" fontId="1" fillId="8" borderId="0" xfId="0" applyFont="1" applyFill="1" applyBorder="1" applyAlignment="1">
      <alignment horizontal="right"/>
    </xf>
    <xf numFmtId="164" fontId="0" fillId="8" borderId="0" xfId="0" applyNumberFormat="1" applyFill="1" applyBorder="1" applyAlignment="1">
      <alignment horizontal="right"/>
    </xf>
    <xf numFmtId="9" fontId="0" fillId="8" borderId="0" xfId="0" applyNumberFormat="1" applyFill="1" applyBorder="1" applyAlignment="1">
      <alignment horizontal="right"/>
    </xf>
    <xf numFmtId="0" fontId="0" fillId="0" borderId="0" xfId="0" applyFont="1" applyFill="1" applyBorder="1" applyAlignment="1">
      <alignment vertical="top" wrapText="1"/>
    </xf>
    <xf numFmtId="10" fontId="0" fillId="0" borderId="0" xfId="2" applyNumberFormat="1" applyFont="1" applyFill="1" applyBorder="1" applyAlignment="1">
      <alignment vertical="center"/>
    </xf>
    <xf numFmtId="0" fontId="0" fillId="0" borderId="8" xfId="0" applyFont="1" applyFill="1" applyBorder="1" applyAlignment="1">
      <alignment vertical="top" wrapText="1"/>
    </xf>
    <xf numFmtId="0" fontId="1" fillId="13" borderId="0" xfId="0" applyFont="1" applyFill="1" applyBorder="1" applyAlignment="1">
      <alignment horizontal="center"/>
    </xf>
    <xf numFmtId="10" fontId="0" fillId="13" borderId="0" xfId="0" applyNumberFormat="1" applyFill="1" applyBorder="1" applyAlignment="1">
      <alignment horizontal="left"/>
    </xf>
    <xf numFmtId="10" fontId="0" fillId="13" borderId="0" xfId="0" applyNumberFormat="1" applyFont="1" applyFill="1" applyBorder="1" applyAlignment="1">
      <alignment horizontal="center"/>
    </xf>
    <xf numFmtId="10" fontId="0" fillId="13" borderId="0" xfId="0" applyNumberFormat="1" applyFill="1" applyBorder="1" applyAlignment="1">
      <alignment horizontal="center"/>
    </xf>
    <xf numFmtId="164" fontId="21" fillId="13" borderId="0" xfId="0" applyNumberFormat="1" applyFont="1" applyFill="1" applyBorder="1" applyAlignment="1">
      <alignment horizontal="left"/>
    </xf>
    <xf numFmtId="0" fontId="1" fillId="13" borderId="11" xfId="0" applyFont="1" applyFill="1" applyBorder="1" applyAlignment="1">
      <alignment horizontal="right"/>
    </xf>
    <xf numFmtId="164" fontId="0" fillId="13" borderId="6" xfId="0" applyNumberFormat="1" applyFill="1" applyBorder="1" applyAlignment="1">
      <alignment horizontal="left"/>
    </xf>
    <xf numFmtId="0" fontId="1" fillId="13" borderId="6" xfId="0" applyFont="1" applyFill="1" applyBorder="1" applyAlignment="1">
      <alignment horizontal="center"/>
    </xf>
    <xf numFmtId="0" fontId="1" fillId="13" borderId="14" xfId="0" applyFont="1" applyFill="1" applyBorder="1" applyAlignment="1">
      <alignment horizontal="center"/>
    </xf>
    <xf numFmtId="0" fontId="21" fillId="13" borderId="8" xfId="0" applyFont="1" applyFill="1" applyBorder="1" applyAlignment="1">
      <alignment horizontal="right"/>
    </xf>
    <xf numFmtId="0" fontId="1" fillId="13" borderId="13" xfId="0" applyFont="1" applyFill="1" applyBorder="1" applyAlignment="1">
      <alignment horizontal="center"/>
    </xf>
    <xf numFmtId="0" fontId="1" fillId="13" borderId="8" xfId="0" applyFont="1" applyFill="1" applyBorder="1" applyAlignment="1">
      <alignment horizontal="right"/>
    </xf>
    <xf numFmtId="10" fontId="0" fillId="13" borderId="13" xfId="0" applyNumberFormat="1" applyFill="1" applyBorder="1" applyAlignment="1">
      <alignment horizontal="center"/>
    </xf>
    <xf numFmtId="0" fontId="1" fillId="13" borderId="10" xfId="0" applyFont="1" applyFill="1" applyBorder="1" applyAlignment="1">
      <alignment horizontal="right"/>
    </xf>
    <xf numFmtId="164" fontId="0" fillId="13" borderId="5" xfId="0" applyNumberFormat="1" applyFill="1" applyBorder="1" applyAlignment="1">
      <alignment horizontal="left"/>
    </xf>
    <xf numFmtId="0" fontId="0" fillId="13" borderId="5" xfId="0" applyFill="1" applyBorder="1"/>
    <xf numFmtId="164" fontId="0" fillId="13" borderId="5" xfId="0" applyNumberFormat="1" applyFill="1" applyBorder="1"/>
    <xf numFmtId="164" fontId="0" fillId="13" borderId="15" xfId="0" applyNumberFormat="1" applyFill="1" applyBorder="1"/>
    <xf numFmtId="0" fontId="1" fillId="14" borderId="11" xfId="0" applyFont="1" applyFill="1" applyBorder="1" applyAlignment="1"/>
    <xf numFmtId="0" fontId="0" fillId="8" borderId="0" xfId="0" applyFill="1" applyBorder="1"/>
    <xf numFmtId="0" fontId="1" fillId="8" borderId="0" xfId="0" applyFont="1" applyFill="1" applyBorder="1" applyAlignment="1"/>
    <xf numFmtId="164" fontId="0" fillId="0" borderId="0" xfId="0" applyNumberFormat="1" applyFill="1" applyBorder="1" applyAlignment="1">
      <alignment horizontal="right"/>
    </xf>
    <xf numFmtId="0" fontId="2" fillId="0" borderId="0" xfId="1"/>
    <xf numFmtId="1" fontId="0" fillId="15" borderId="0" xfId="0" applyNumberFormat="1" applyFill="1" applyBorder="1" applyAlignment="1">
      <alignment horizontal="center"/>
    </xf>
    <xf numFmtId="10" fontId="0" fillId="15" borderId="0" xfId="0" applyNumberFormat="1" applyFill="1" applyBorder="1" applyAlignment="1">
      <alignment horizontal="center"/>
    </xf>
    <xf numFmtId="0" fontId="0" fillId="0" borderId="8" xfId="0" applyFont="1" applyBorder="1" applyAlignment="1">
      <alignment horizontal="right"/>
    </xf>
    <xf numFmtId="164" fontId="0" fillId="0" borderId="13" xfId="0" applyNumberFormat="1" applyFont="1" applyBorder="1" applyAlignment="1">
      <alignment horizontal="center" vertical="center"/>
    </xf>
    <xf numFmtId="0" fontId="0" fillId="15" borderId="8" xfId="0" applyFill="1" applyBorder="1" applyAlignment="1">
      <alignment horizontal="right"/>
    </xf>
    <xf numFmtId="10" fontId="0" fillId="15" borderId="13" xfId="0" applyNumberFormat="1" applyFill="1" applyBorder="1" applyAlignment="1">
      <alignment horizontal="center"/>
    </xf>
    <xf numFmtId="0" fontId="0" fillId="0" borderId="8" xfId="0" applyBorder="1" applyAlignment="1">
      <alignment horizontal="right"/>
    </xf>
    <xf numFmtId="10" fontId="0" fillId="0" borderId="13" xfId="0" applyNumberFormat="1" applyBorder="1" applyAlignment="1">
      <alignment horizontal="center"/>
    </xf>
    <xf numFmtId="164" fontId="1" fillId="15" borderId="5" xfId="0" applyNumberFormat="1" applyFont="1" applyFill="1" applyBorder="1" applyAlignment="1">
      <alignment horizontal="center" vertical="center"/>
    </xf>
    <xf numFmtId="165" fontId="1" fillId="15" borderId="5" xfId="0" applyNumberFormat="1" applyFont="1" applyFill="1" applyBorder="1" applyAlignment="1">
      <alignment horizontal="center"/>
    </xf>
    <xf numFmtId="167" fontId="1" fillId="15" borderId="5" xfId="0" applyNumberFormat="1" applyFont="1" applyFill="1" applyBorder="1" applyAlignment="1">
      <alignment horizontal="center"/>
    </xf>
    <xf numFmtId="10" fontId="1" fillId="15" borderId="5" xfId="0" applyNumberFormat="1" applyFont="1" applyFill="1" applyBorder="1" applyAlignment="1">
      <alignment horizontal="center"/>
    </xf>
    <xf numFmtId="9" fontId="1" fillId="15" borderId="5" xfId="2" applyFont="1" applyFill="1" applyBorder="1" applyAlignment="1">
      <alignment horizontal="center"/>
    </xf>
    <xf numFmtId="9" fontId="1" fillId="15" borderId="15" xfId="2" applyFont="1" applyFill="1" applyBorder="1" applyAlignment="1">
      <alignment horizontal="center"/>
    </xf>
    <xf numFmtId="164" fontId="1" fillId="0" borderId="14" xfId="0" applyNumberFormat="1" applyFont="1" applyBorder="1" applyAlignment="1">
      <alignment horizontal="center" vertical="center"/>
    </xf>
    <xf numFmtId="164" fontId="0" fillId="0" borderId="8" xfId="0" applyNumberFormat="1" applyFont="1" applyBorder="1" applyAlignment="1">
      <alignment horizontal="center" vertical="center"/>
    </xf>
    <xf numFmtId="165" fontId="0" fillId="15" borderId="8" xfId="0" applyNumberFormat="1" applyFont="1" applyFill="1" applyBorder="1" applyAlignment="1">
      <alignment horizontal="center"/>
    </xf>
    <xf numFmtId="165" fontId="0" fillId="0" borderId="8" xfId="0" applyNumberFormat="1" applyFont="1" applyBorder="1" applyAlignment="1">
      <alignment horizontal="center"/>
    </xf>
    <xf numFmtId="165" fontId="1" fillId="15" borderId="10" xfId="0" applyNumberFormat="1" applyFont="1" applyFill="1" applyBorder="1" applyAlignment="1">
      <alignment horizontal="center"/>
    </xf>
    <xf numFmtId="10" fontId="1" fillId="15" borderId="15" xfId="0" applyNumberFormat="1" applyFont="1" applyFill="1" applyBorder="1" applyAlignment="1">
      <alignment horizontal="center"/>
    </xf>
    <xf numFmtId="9" fontId="22" fillId="0" borderId="0" xfId="2" applyFont="1" applyBorder="1" applyAlignment="1">
      <alignment horizontal="center" vertical="center"/>
    </xf>
    <xf numFmtId="0" fontId="1" fillId="0" borderId="11" xfId="0" applyFont="1" applyBorder="1" applyAlignment="1">
      <alignment horizontal="right"/>
    </xf>
    <xf numFmtId="164" fontId="1" fillId="0" borderId="6" xfId="0" applyNumberFormat="1" applyFont="1" applyBorder="1" applyAlignment="1">
      <alignment horizontal="center" vertical="center"/>
    </xf>
    <xf numFmtId="0" fontId="1" fillId="0" borderId="0" xfId="0" applyFont="1" applyBorder="1" applyAlignment="1">
      <alignment horizontal="right"/>
    </xf>
    <xf numFmtId="0" fontId="1" fillId="0" borderId="0" xfId="0" applyFont="1" applyBorder="1" applyAlignment="1">
      <alignment horizontal="right" vertical="top"/>
    </xf>
    <xf numFmtId="165" fontId="1" fillId="0" borderId="6" xfId="0" applyNumberFormat="1" applyFont="1" applyBorder="1" applyAlignment="1">
      <alignment horizontal="center"/>
    </xf>
    <xf numFmtId="167" fontId="1" fillId="0" borderId="6" xfId="0" applyNumberFormat="1" applyFont="1" applyBorder="1" applyAlignment="1">
      <alignment horizontal="center"/>
    </xf>
    <xf numFmtId="10" fontId="1" fillId="0" borderId="6" xfId="0" applyNumberFormat="1" applyFont="1" applyBorder="1" applyAlignment="1">
      <alignment horizontal="center"/>
    </xf>
    <xf numFmtId="9" fontId="1" fillId="0" borderId="6" xfId="2" applyFont="1" applyBorder="1" applyAlignment="1">
      <alignment horizontal="center"/>
    </xf>
    <xf numFmtId="165" fontId="1" fillId="0" borderId="14" xfId="0" applyNumberFormat="1" applyFont="1" applyBorder="1" applyAlignment="1">
      <alignment horizontal="center"/>
    </xf>
    <xf numFmtId="0" fontId="0" fillId="15" borderId="13" xfId="0" applyFill="1" applyBorder="1"/>
    <xf numFmtId="0" fontId="0" fillId="0" borderId="10" xfId="0" applyBorder="1" applyAlignment="1">
      <alignment horizontal="right"/>
    </xf>
    <xf numFmtId="164" fontId="0" fillId="0" borderId="5" xfId="0" applyNumberFormat="1" applyBorder="1" applyAlignment="1">
      <alignment horizontal="center" vertical="center"/>
    </xf>
    <xf numFmtId="165" fontId="0" fillId="0" borderId="5" xfId="0" applyNumberFormat="1" applyFont="1" applyBorder="1" applyAlignment="1">
      <alignment horizontal="center"/>
    </xf>
    <xf numFmtId="0" fontId="0" fillId="0" borderId="5" xfId="0" applyBorder="1" applyAlignment="1">
      <alignment horizontal="center"/>
    </xf>
    <xf numFmtId="165" fontId="0" fillId="0" borderId="5" xfId="0" applyNumberFormat="1" applyBorder="1" applyAlignment="1">
      <alignment horizontal="center"/>
    </xf>
    <xf numFmtId="0" fontId="0" fillId="0" borderId="5" xfId="0" applyNumberFormat="1" applyBorder="1" applyAlignment="1">
      <alignment horizontal="center"/>
    </xf>
    <xf numFmtId="1" fontId="0" fillId="0" borderId="5" xfId="0" applyNumberFormat="1" applyFont="1" applyBorder="1" applyAlignment="1">
      <alignment horizontal="center"/>
    </xf>
    <xf numFmtId="0" fontId="0" fillId="0" borderId="15" xfId="0" applyBorder="1"/>
    <xf numFmtId="0" fontId="1" fillId="0" borderId="12" xfId="0" applyFont="1" applyBorder="1" applyAlignment="1">
      <alignment horizontal="right"/>
    </xf>
    <xf numFmtId="164" fontId="1" fillId="0" borderId="9" xfId="0" applyNumberFormat="1" applyFont="1" applyBorder="1" applyAlignment="1">
      <alignment horizontal="center" vertical="center"/>
    </xf>
    <xf numFmtId="0" fontId="1" fillId="0" borderId="9" xfId="0" applyFont="1" applyBorder="1" applyAlignment="1">
      <alignment horizontal="center"/>
    </xf>
    <xf numFmtId="164" fontId="1" fillId="0" borderId="12" xfId="0" applyNumberFormat="1" applyFont="1" applyBorder="1" applyAlignment="1">
      <alignment horizontal="center" vertical="center"/>
    </xf>
    <xf numFmtId="164" fontId="1" fillId="0" borderId="16" xfId="0" applyNumberFormat="1" applyFont="1" applyBorder="1" applyAlignment="1">
      <alignment horizontal="center" vertical="center"/>
    </xf>
    <xf numFmtId="164" fontId="1" fillId="0" borderId="16" xfId="0" applyNumberFormat="1" applyFont="1" applyFill="1" applyBorder="1" applyAlignment="1">
      <alignment horizontal="center" vertical="center"/>
    </xf>
    <xf numFmtId="1" fontId="0" fillId="0" borderId="5" xfId="0" applyNumberFormat="1" applyBorder="1" applyAlignment="1">
      <alignment horizontal="center"/>
    </xf>
    <xf numFmtId="1" fontId="0" fillId="0" borderId="6" xfId="0" applyNumberFormat="1" applyFont="1" applyBorder="1" applyAlignment="1">
      <alignment horizontal="center"/>
    </xf>
    <xf numFmtId="0" fontId="0" fillId="0" borderId="0" xfId="0" applyFont="1" applyAlignment="1">
      <alignment horizontal="left" vertical="top" wrapText="1"/>
    </xf>
    <xf numFmtId="0" fontId="0" fillId="0" borderId="20" xfId="0" applyBorder="1"/>
    <xf numFmtId="0" fontId="23" fillId="0" borderId="0" xfId="1" applyFont="1"/>
    <xf numFmtId="0" fontId="1" fillId="7" borderId="0" xfId="0" applyFont="1" applyFill="1" applyBorder="1" applyAlignment="1">
      <alignment horizontal="center"/>
    </xf>
    <xf numFmtId="0" fontId="1" fillId="14" borderId="6" xfId="0" applyFont="1" applyFill="1" applyBorder="1" applyAlignment="1">
      <alignment horizontal="center"/>
    </xf>
    <xf numFmtId="3" fontId="0" fillId="14" borderId="20" xfId="0" applyNumberFormat="1" applyFont="1" applyFill="1" applyBorder="1" applyAlignment="1">
      <alignment horizontal="center" vertical="center" wrapText="1"/>
    </xf>
    <xf numFmtId="164" fontId="0" fillId="0" borderId="20" xfId="0" applyNumberFormat="1" applyBorder="1" applyAlignment="1">
      <alignment horizontal="center"/>
    </xf>
    <xf numFmtId="164" fontId="0" fillId="0" borderId="20" xfId="0" applyNumberFormat="1" applyFont="1" applyBorder="1" applyAlignment="1">
      <alignment horizontal="center" vertical="center" wrapText="1"/>
    </xf>
    <xf numFmtId="164" fontId="0" fillId="0" borderId="20" xfId="0" applyNumberFormat="1" applyBorder="1" applyAlignment="1">
      <alignment horizontal="center" vertical="center"/>
    </xf>
    <xf numFmtId="164" fontId="0" fillId="13" borderId="20" xfId="0" applyNumberFormat="1" applyFill="1" applyBorder="1" applyAlignment="1">
      <alignment horizontal="center"/>
    </xf>
    <xf numFmtId="3" fontId="0" fillId="14" borderId="17" xfId="0" applyNumberFormat="1" applyFont="1" applyFill="1" applyBorder="1" applyAlignment="1">
      <alignment horizontal="center" vertical="center" wrapText="1"/>
    </xf>
    <xf numFmtId="0" fontId="0" fillId="0" borderId="20" xfId="0" applyFont="1" applyBorder="1" applyAlignment="1">
      <alignment horizontal="right" vertical="center" wrapText="1"/>
    </xf>
    <xf numFmtId="0" fontId="1" fillId="8" borderId="20" xfId="0" applyFont="1" applyFill="1" applyBorder="1"/>
    <xf numFmtId="164" fontId="0" fillId="13" borderId="18" xfId="0" applyNumberFormat="1" applyFont="1" applyFill="1" applyBorder="1" applyAlignment="1">
      <alignment horizontal="center" vertical="center"/>
    </xf>
    <xf numFmtId="164" fontId="0" fillId="13" borderId="19" xfId="0" applyNumberFormat="1" applyFont="1" applyFill="1" applyBorder="1" applyAlignment="1">
      <alignment horizontal="center" vertical="center"/>
    </xf>
    <xf numFmtId="3" fontId="1" fillId="8" borderId="20" xfId="0" applyNumberFormat="1" applyFont="1" applyFill="1" applyBorder="1" applyAlignment="1">
      <alignment horizontal="center" vertical="center"/>
    </xf>
    <xf numFmtId="0" fontId="0" fillId="0" borderId="20" xfId="0" applyFont="1" applyBorder="1" applyAlignment="1">
      <alignment horizontal="center" vertical="center" wrapText="1"/>
    </xf>
    <xf numFmtId="3" fontId="0" fillId="0" borderId="20" xfId="0" applyNumberFormat="1" applyFont="1" applyBorder="1" applyAlignment="1">
      <alignment horizontal="center" vertical="center" wrapText="1"/>
    </xf>
    <xf numFmtId="0" fontId="0" fillId="0" borderId="17" xfId="0" applyFont="1" applyBorder="1" applyAlignment="1">
      <alignment horizontal="center" vertical="center" wrapText="1"/>
    </xf>
    <xf numFmtId="0" fontId="0" fillId="0" borderId="20" xfId="0" applyFont="1" applyBorder="1" applyAlignment="1">
      <alignment horizontal="justify" vertical="center" wrapText="1"/>
    </xf>
    <xf numFmtId="0" fontId="3" fillId="13" borderId="20" xfId="0" applyFont="1" applyFill="1" applyBorder="1" applyAlignment="1">
      <alignment horizontal="center" vertical="center" wrapText="1"/>
    </xf>
    <xf numFmtId="0" fontId="1" fillId="14" borderId="6" xfId="0" applyFont="1" applyFill="1" applyBorder="1" applyAlignment="1">
      <alignment horizontal="center"/>
    </xf>
    <xf numFmtId="0" fontId="1" fillId="14" borderId="14" xfId="0" applyFont="1" applyFill="1" applyBorder="1" applyAlignment="1">
      <alignment horizontal="center"/>
    </xf>
    <xf numFmtId="164" fontId="0" fillId="13" borderId="0" xfId="0" applyNumberFormat="1" applyFill="1" applyBorder="1"/>
    <xf numFmtId="164" fontId="0" fillId="13" borderId="13" xfId="0" applyNumberFormat="1" applyFill="1" applyBorder="1"/>
    <xf numFmtId="164" fontId="0" fillId="2" borderId="5" xfId="0" applyNumberFormat="1" applyFill="1" applyBorder="1"/>
    <xf numFmtId="164" fontId="0" fillId="2" borderId="15" xfId="0" applyNumberFormat="1" applyFill="1" applyBorder="1"/>
    <xf numFmtId="0" fontId="1" fillId="2" borderId="6" xfId="0" applyFont="1" applyFill="1" applyBorder="1" applyAlignment="1">
      <alignment horizontal="center"/>
    </xf>
    <xf numFmtId="0" fontId="1" fillId="2" borderId="14" xfId="0" applyFont="1" applyFill="1" applyBorder="1" applyAlignment="1">
      <alignment horizontal="center"/>
    </xf>
    <xf numFmtId="0" fontId="1" fillId="2" borderId="11" xfId="0" applyFont="1" applyFill="1" applyBorder="1" applyAlignment="1">
      <alignment horizontal="center"/>
    </xf>
    <xf numFmtId="0" fontId="1" fillId="2" borderId="12" xfId="0" applyFont="1" applyFill="1" applyBorder="1"/>
    <xf numFmtId="0" fontId="1" fillId="13" borderId="11" xfId="0" applyFont="1" applyFill="1" applyBorder="1" applyAlignment="1">
      <alignment horizontal="center" vertical="center"/>
    </xf>
    <xf numFmtId="0" fontId="1" fillId="13" borderId="14" xfId="0" applyFont="1" applyFill="1" applyBorder="1" applyAlignment="1">
      <alignment horizontal="center" vertical="center"/>
    </xf>
    <xf numFmtId="0" fontId="1" fillId="13" borderId="0" xfId="0" applyFont="1" applyFill="1" applyBorder="1" applyAlignment="1">
      <alignment horizontal="right"/>
    </xf>
    <xf numFmtId="164" fontId="24" fillId="13" borderId="0" xfId="0" applyNumberFormat="1" applyFont="1" applyFill="1" applyBorder="1"/>
    <xf numFmtId="164" fontId="24" fillId="13" borderId="13" xfId="0" applyNumberFormat="1" applyFont="1" applyFill="1" applyBorder="1"/>
    <xf numFmtId="164" fontId="24" fillId="13" borderId="5" xfId="0" applyNumberFormat="1" applyFont="1" applyFill="1" applyBorder="1"/>
    <xf numFmtId="164" fontId="24" fillId="13" borderId="15" xfId="0" applyNumberFormat="1" applyFont="1" applyFill="1" applyBorder="1"/>
    <xf numFmtId="0" fontId="1" fillId="13" borderId="10" xfId="0" applyFont="1" applyFill="1" applyBorder="1"/>
    <xf numFmtId="0" fontId="1" fillId="14" borderId="11" xfId="0" applyFont="1" applyFill="1" applyBorder="1" applyAlignment="1">
      <alignment horizontal="center"/>
    </xf>
    <xf numFmtId="164" fontId="0" fillId="0" borderId="0" xfId="0" applyNumberFormat="1" applyFont="1" applyBorder="1"/>
    <xf numFmtId="164" fontId="0" fillId="0" borderId="13" xfId="0" applyNumberFormat="1" applyFont="1" applyBorder="1"/>
    <xf numFmtId="0" fontId="19" fillId="15" borderId="0" xfId="0" applyFont="1" applyFill="1" applyBorder="1" applyAlignment="1">
      <alignment horizontal="right"/>
    </xf>
    <xf numFmtId="164" fontId="19" fillId="15" borderId="0" xfId="0" applyNumberFormat="1" applyFont="1" applyFill="1" applyBorder="1"/>
    <xf numFmtId="164" fontId="19" fillId="15" borderId="13" xfId="0" applyNumberFormat="1" applyFont="1" applyFill="1" applyBorder="1"/>
    <xf numFmtId="164" fontId="1" fillId="0" borderId="0" xfId="0" applyNumberFormat="1" applyFont="1" applyBorder="1"/>
    <xf numFmtId="164" fontId="1" fillId="0" borderId="13" xfId="0" applyNumberFormat="1" applyFont="1" applyBorder="1"/>
    <xf numFmtId="0" fontId="0" fillId="15" borderId="10" xfId="0" applyFill="1" applyBorder="1" applyAlignment="1">
      <alignment horizontal="right"/>
    </xf>
    <xf numFmtId="0" fontId="0" fillId="15" borderId="11" xfId="0" applyFill="1" applyBorder="1" applyAlignment="1">
      <alignment horizontal="right"/>
    </xf>
    <xf numFmtId="0" fontId="19" fillId="15" borderId="6" xfId="0" applyFont="1" applyFill="1" applyBorder="1" applyAlignment="1">
      <alignment horizontal="right"/>
    </xf>
    <xf numFmtId="164" fontId="19" fillId="15" borderId="6" xfId="0" applyNumberFormat="1" applyFont="1" applyFill="1" applyBorder="1"/>
    <xf numFmtId="164" fontId="19" fillId="15" borderId="14" xfId="0" applyNumberFormat="1" applyFont="1" applyFill="1" applyBorder="1"/>
    <xf numFmtId="0" fontId="0" fillId="15" borderId="5" xfId="0" applyFont="1" applyFill="1" applyBorder="1"/>
    <xf numFmtId="164" fontId="0" fillId="15" borderId="5" xfId="0" applyNumberFormat="1" applyFont="1" applyFill="1" applyBorder="1"/>
    <xf numFmtId="164" fontId="0" fillId="15" borderId="15" xfId="0" applyNumberFormat="1" applyFont="1" applyFill="1" applyBorder="1"/>
    <xf numFmtId="0" fontId="0" fillId="15" borderId="12" xfId="0" applyFill="1" applyBorder="1" applyAlignment="1">
      <alignment horizontal="right"/>
    </xf>
    <xf numFmtId="0" fontId="0" fillId="15" borderId="9" xfId="0" applyFill="1" applyBorder="1"/>
    <xf numFmtId="0" fontId="0" fillId="15" borderId="9" xfId="0" applyFont="1" applyFill="1" applyBorder="1"/>
    <xf numFmtId="164" fontId="0" fillId="15" borderId="9" xfId="0" applyNumberFormat="1" applyFont="1" applyFill="1" applyBorder="1"/>
    <xf numFmtId="164" fontId="0" fillId="15" borderId="16" xfId="0" applyNumberFormat="1" applyFont="1" applyFill="1" applyBorder="1"/>
    <xf numFmtId="164" fontId="1" fillId="15" borderId="9" xfId="0" applyNumberFormat="1" applyFont="1" applyFill="1" applyBorder="1"/>
    <xf numFmtId="164" fontId="1" fillId="15" borderId="16" xfId="0" applyNumberFormat="1" applyFont="1" applyFill="1" applyBorder="1"/>
    <xf numFmtId="10" fontId="0" fillId="8" borderId="0" xfId="2" applyNumberFormat="1" applyFont="1" applyFill="1" applyBorder="1" applyAlignment="1">
      <alignment horizontal="right" vertical="center"/>
    </xf>
    <xf numFmtId="164" fontId="18" fillId="0" borderId="13" xfId="0" applyNumberFormat="1" applyFont="1" applyBorder="1"/>
    <xf numFmtId="9" fontId="0" fillId="13" borderId="14" xfId="2" applyFont="1" applyFill="1" applyBorder="1"/>
    <xf numFmtId="8" fontId="0" fillId="13" borderId="13" xfId="0" applyNumberFormat="1" applyFill="1" applyBorder="1"/>
    <xf numFmtId="9" fontId="0" fillId="13" borderId="15" xfId="0" applyNumberFormat="1" applyFill="1" applyBorder="1"/>
    <xf numFmtId="0" fontId="0" fillId="0" borderId="0" xfId="0" applyBorder="1" applyAlignment="1">
      <alignment wrapText="1"/>
    </xf>
    <xf numFmtId="9" fontId="0" fillId="0" borderId="0" xfId="2" applyFont="1" applyBorder="1" applyAlignment="1">
      <alignment horizontal="center" vertical="center"/>
    </xf>
    <xf numFmtId="9" fontId="0" fillId="0" borderId="13" xfId="2" applyFont="1" applyBorder="1" applyAlignment="1">
      <alignment horizontal="center" vertical="center"/>
    </xf>
    <xf numFmtId="0" fontId="0" fillId="0" borderId="0" xfId="0" applyBorder="1" applyAlignment="1">
      <alignment vertical="top" wrapText="1"/>
    </xf>
    <xf numFmtId="9" fontId="0" fillId="0" borderId="0" xfId="2" applyFont="1" applyBorder="1" applyAlignment="1">
      <alignment horizontal="center" vertical="center" wrapText="1"/>
    </xf>
    <xf numFmtId="0" fontId="0" fillId="0" borderId="0" xfId="0" applyBorder="1" applyAlignment="1">
      <alignment horizontal="left" vertical="top" wrapText="1"/>
    </xf>
    <xf numFmtId="0" fontId="0" fillId="14" borderId="9" xfId="0" applyFill="1" applyBorder="1"/>
    <xf numFmtId="0" fontId="0" fillId="15" borderId="0" xfId="0" applyFill="1" applyBorder="1" applyAlignment="1">
      <alignment vertical="top" wrapText="1"/>
    </xf>
    <xf numFmtId="9" fontId="0" fillId="15" borderId="0" xfId="2" applyFont="1" applyFill="1" applyBorder="1" applyAlignment="1">
      <alignment horizontal="center" vertical="center" wrapText="1"/>
    </xf>
    <xf numFmtId="9" fontId="0" fillId="15" borderId="13" xfId="2" applyFont="1" applyFill="1" applyBorder="1" applyAlignment="1">
      <alignment horizontal="center" vertical="center"/>
    </xf>
    <xf numFmtId="0" fontId="0" fillId="15" borderId="0" xfId="0" applyFill="1" applyBorder="1" applyAlignment="1">
      <alignment vertical="top" wrapText="1"/>
    </xf>
    <xf numFmtId="9" fontId="0" fillId="15" borderId="0" xfId="2" applyFont="1" applyFill="1" applyBorder="1" applyAlignment="1">
      <alignment horizontal="center" vertical="center"/>
    </xf>
    <xf numFmtId="0" fontId="0" fillId="15" borderId="0" xfId="0" applyFill="1" applyBorder="1" applyAlignment="1">
      <alignment wrapText="1"/>
    </xf>
    <xf numFmtId="0" fontId="0" fillId="14" borderId="9" xfId="0" applyFill="1" applyBorder="1" applyAlignment="1">
      <alignment horizontal="center"/>
    </xf>
    <xf numFmtId="0" fontId="0" fillId="14" borderId="16" xfId="0" applyFill="1" applyBorder="1" applyAlignment="1">
      <alignment horizontal="center"/>
    </xf>
    <xf numFmtId="0" fontId="0" fillId="4" borderId="6" xfId="0" applyFill="1" applyBorder="1" applyAlignment="1">
      <alignment horizontal="center"/>
    </xf>
    <xf numFmtId="0" fontId="1" fillId="14" borderId="6" xfId="0" applyFont="1" applyFill="1" applyBorder="1" applyAlignment="1">
      <alignment horizontal="center"/>
    </xf>
    <xf numFmtId="0" fontId="1" fillId="14" borderId="14" xfId="0" applyFont="1" applyFill="1" applyBorder="1" applyAlignment="1">
      <alignment horizontal="center"/>
    </xf>
    <xf numFmtId="0" fontId="0" fillId="17" borderId="0" xfId="0" applyFill="1" applyBorder="1" applyAlignment="1">
      <alignment vertical="top" wrapText="1"/>
    </xf>
    <xf numFmtId="9" fontId="0" fillId="17" borderId="13" xfId="2" applyFont="1" applyFill="1" applyBorder="1" applyAlignment="1">
      <alignment horizontal="center" vertical="center"/>
    </xf>
    <xf numFmtId="0" fontId="0" fillId="12" borderId="0" xfId="0" applyFill="1" applyBorder="1" applyAlignment="1">
      <alignment vertical="top" wrapText="1"/>
    </xf>
    <xf numFmtId="9" fontId="0" fillId="12" borderId="0" xfId="2" applyFont="1" applyFill="1" applyBorder="1" applyAlignment="1">
      <alignment horizontal="center" vertical="center"/>
    </xf>
    <xf numFmtId="9" fontId="0" fillId="12" borderId="13" xfId="2" applyFont="1" applyFill="1" applyBorder="1" applyAlignment="1">
      <alignment horizontal="center" vertical="center"/>
    </xf>
    <xf numFmtId="9" fontId="0" fillId="17" borderId="0" xfId="2" applyFont="1" applyFill="1" applyBorder="1" applyAlignment="1">
      <alignment horizontal="center" vertical="center"/>
    </xf>
    <xf numFmtId="0" fontId="1" fillId="15" borderId="21" xfId="0" applyFont="1" applyFill="1" applyBorder="1"/>
    <xf numFmtId="0" fontId="0" fillId="15" borderId="22" xfId="0" applyFill="1" applyBorder="1"/>
    <xf numFmtId="0" fontId="0" fillId="15" borderId="23" xfId="0" applyFill="1" applyBorder="1"/>
    <xf numFmtId="0" fontId="1" fillId="0" borderId="24" xfId="0" applyFont="1" applyBorder="1"/>
    <xf numFmtId="0" fontId="0" fillId="0" borderId="25" xfId="0" applyBorder="1"/>
    <xf numFmtId="0" fontId="1" fillId="15" borderId="24" xfId="0" applyFont="1" applyFill="1" applyBorder="1"/>
    <xf numFmtId="0" fontId="0" fillId="15" borderId="25" xfId="0" applyFill="1" applyBorder="1"/>
    <xf numFmtId="0" fontId="1" fillId="0" borderId="26" xfId="0" applyFont="1" applyBorder="1"/>
    <xf numFmtId="9" fontId="0" fillId="0" borderId="27" xfId="0" applyNumberFormat="1" applyBorder="1" applyAlignment="1">
      <alignment horizontal="left"/>
    </xf>
    <xf numFmtId="0" fontId="0" fillId="0" borderId="27" xfId="0" applyBorder="1"/>
    <xf numFmtId="0" fontId="0" fillId="0" borderId="28" xfId="0" applyBorder="1"/>
    <xf numFmtId="0" fontId="1" fillId="15" borderId="29" xfId="0" applyFont="1" applyFill="1" applyBorder="1"/>
    <xf numFmtId="0" fontId="0" fillId="15" borderId="30" xfId="0" applyFill="1" applyBorder="1"/>
    <xf numFmtId="0" fontId="0" fillId="15" borderId="31" xfId="0" applyFill="1" applyBorder="1"/>
    <xf numFmtId="0" fontId="1" fillId="0" borderId="32" xfId="0" applyFont="1" applyBorder="1"/>
    <xf numFmtId="0" fontId="0" fillId="0" borderId="33" xfId="0" applyBorder="1"/>
    <xf numFmtId="0" fontId="1" fillId="15" borderId="32" xfId="0" applyFont="1" applyFill="1" applyBorder="1"/>
    <xf numFmtId="0" fontId="0" fillId="15" borderId="33" xfId="0" applyFill="1" applyBorder="1"/>
    <xf numFmtId="0" fontId="1" fillId="0" borderId="34" xfId="0" applyFont="1" applyBorder="1"/>
    <xf numFmtId="9" fontId="0" fillId="0" borderId="35" xfId="0" applyNumberFormat="1" applyBorder="1" applyAlignment="1">
      <alignment horizontal="left"/>
    </xf>
    <xf numFmtId="0" fontId="0" fillId="0" borderId="35" xfId="0" applyBorder="1"/>
    <xf numFmtId="0" fontId="0" fillId="0" borderId="36" xfId="0" applyBorder="1"/>
    <xf numFmtId="164" fontId="0" fillId="0" borderId="11" xfId="0" applyNumberFormat="1" applyFont="1" applyBorder="1" applyAlignment="1">
      <alignment horizontal="center" vertical="center"/>
    </xf>
    <xf numFmtId="0" fontId="1" fillId="14" borderId="6" xfId="0" applyFont="1" applyFill="1" applyBorder="1" applyAlignment="1">
      <alignment horizontal="center"/>
    </xf>
    <xf numFmtId="0" fontId="1" fillId="14" borderId="14" xfId="0" applyFont="1" applyFill="1" applyBorder="1" applyAlignment="1">
      <alignment horizontal="center"/>
    </xf>
    <xf numFmtId="0" fontId="0" fillId="0" borderId="13" xfId="0" applyBorder="1" applyAlignment="1">
      <alignment vertical="top"/>
    </xf>
    <xf numFmtId="0" fontId="0" fillId="0" borderId="0" xfId="0" applyBorder="1" applyAlignment="1">
      <alignment vertical="top"/>
    </xf>
    <xf numFmtId="0" fontId="0" fillId="0" borderId="8" xfId="0" applyBorder="1" applyAlignment="1">
      <alignment vertical="top"/>
    </xf>
    <xf numFmtId="0" fontId="0" fillId="0" borderId="18" xfId="0" applyBorder="1"/>
    <xf numFmtId="0" fontId="0" fillId="15" borderId="18" xfId="0" applyFill="1" applyBorder="1"/>
    <xf numFmtId="0" fontId="0" fillId="15" borderId="19" xfId="0" applyFill="1" applyBorder="1"/>
    <xf numFmtId="0" fontId="0" fillId="0" borderId="18" xfId="0" applyFont="1" applyBorder="1" applyAlignment="1">
      <alignment horizontal="center"/>
    </xf>
    <xf numFmtId="0" fontId="0" fillId="0" borderId="18" xfId="0" applyBorder="1" applyAlignment="1">
      <alignment horizontal="center"/>
    </xf>
    <xf numFmtId="0" fontId="0" fillId="15" borderId="18" xfId="0" applyFill="1" applyBorder="1" applyAlignment="1">
      <alignment horizontal="center"/>
    </xf>
    <xf numFmtId="0" fontId="1" fillId="15" borderId="18" xfId="0" applyFont="1" applyFill="1" applyBorder="1" applyAlignment="1">
      <alignment horizontal="center"/>
    </xf>
    <xf numFmtId="0" fontId="0" fillId="15" borderId="19" xfId="0" applyFill="1" applyBorder="1" applyAlignment="1">
      <alignment horizontal="center"/>
    </xf>
    <xf numFmtId="0" fontId="1" fillId="15" borderId="19" xfId="0" applyFont="1" applyFill="1" applyBorder="1" applyAlignment="1">
      <alignment horizontal="center"/>
    </xf>
    <xf numFmtId="0" fontId="1" fillId="14" borderId="12" xfId="0" applyFont="1" applyFill="1" applyBorder="1" applyAlignment="1">
      <alignment horizontal="center" vertical="top" wrapText="1"/>
    </xf>
    <xf numFmtId="0" fontId="1" fillId="14" borderId="20" xfId="0" applyFont="1" applyFill="1" applyBorder="1" applyAlignment="1">
      <alignment horizontal="center" vertical="top" wrapText="1"/>
    </xf>
    <xf numFmtId="0" fontId="25" fillId="15" borderId="0" xfId="0" applyFont="1" applyFill="1" applyBorder="1" applyAlignment="1">
      <alignment horizontal="right"/>
    </xf>
    <xf numFmtId="164" fontId="25" fillId="15" borderId="0" xfId="0" applyNumberFormat="1" applyFont="1" applyFill="1" applyBorder="1"/>
    <xf numFmtId="164" fontId="25" fillId="15" borderId="13" xfId="0" applyNumberFormat="1" applyFont="1" applyFill="1" applyBorder="1"/>
    <xf numFmtId="0" fontId="0" fillId="0" borderId="8" xfId="0" applyFill="1" applyBorder="1" applyAlignment="1">
      <alignment horizontal="right"/>
    </xf>
    <xf numFmtId="165" fontId="0" fillId="0" borderId="0" xfId="0" applyNumberFormat="1" applyFont="1" applyFill="1" applyBorder="1" applyAlignment="1">
      <alignment horizontal="center"/>
    </xf>
    <xf numFmtId="1" fontId="0" fillId="0" borderId="0" xfId="0" applyNumberFormat="1" applyFill="1" applyBorder="1" applyAlignment="1">
      <alignment horizontal="center"/>
    </xf>
    <xf numFmtId="10" fontId="0" fillId="0" borderId="0" xfId="0" applyNumberFormat="1" applyFill="1" applyBorder="1" applyAlignment="1">
      <alignment horizontal="center"/>
    </xf>
    <xf numFmtId="10" fontId="0" fillId="0" borderId="13" xfId="0" applyNumberFormat="1" applyFill="1" applyBorder="1" applyAlignment="1">
      <alignment horizontal="center"/>
    </xf>
    <xf numFmtId="0" fontId="0" fillId="14" borderId="14" xfId="0" applyFill="1" applyBorder="1" applyAlignment="1">
      <alignment horizontal="center"/>
    </xf>
    <xf numFmtId="4" fontId="0" fillId="0" borderId="6" xfId="0" applyNumberFormat="1" applyBorder="1" applyAlignment="1">
      <alignment horizontal="center"/>
    </xf>
    <xf numFmtId="4" fontId="0" fillId="15" borderId="5" xfId="0" applyNumberFormat="1" applyFill="1" applyBorder="1" applyAlignment="1">
      <alignment horizontal="center"/>
    </xf>
    <xf numFmtId="0" fontId="0" fillId="14" borderId="17" xfId="0" applyFill="1" applyBorder="1" applyAlignment="1">
      <alignment horizontal="center"/>
    </xf>
    <xf numFmtId="9" fontId="0" fillId="0" borderId="18" xfId="2" applyFont="1" applyBorder="1"/>
    <xf numFmtId="9" fontId="0" fillId="15" borderId="19" xfId="2" applyFont="1" applyFill="1" applyBorder="1"/>
    <xf numFmtId="164" fontId="0" fillId="0" borderId="14" xfId="0" applyNumberFormat="1" applyFont="1" applyBorder="1" applyAlignment="1">
      <alignment horizontal="center" vertical="center"/>
    </xf>
    <xf numFmtId="165" fontId="0" fillId="0" borderId="8" xfId="0" applyNumberFormat="1" applyFont="1" applyFill="1" applyBorder="1" applyAlignment="1">
      <alignment horizontal="center"/>
    </xf>
    <xf numFmtId="0" fontId="17" fillId="14" borderId="6" xfId="0" applyFont="1" applyFill="1" applyBorder="1"/>
    <xf numFmtId="0" fontId="17" fillId="14" borderId="14" xfId="0" applyFont="1" applyFill="1" applyBorder="1"/>
    <xf numFmtId="0" fontId="16" fillId="14" borderId="11" xfId="0" applyFont="1" applyFill="1" applyBorder="1"/>
    <xf numFmtId="164" fontId="25" fillId="0" borderId="0" xfId="0" applyNumberFormat="1" applyFont="1" applyBorder="1"/>
    <xf numFmtId="164" fontId="0" fillId="0" borderId="6" xfId="0" applyNumberFormat="1" applyFont="1" applyBorder="1" applyAlignment="1">
      <alignment horizontal="center" vertical="center"/>
    </xf>
    <xf numFmtId="165" fontId="0" fillId="0" borderId="0" xfId="0" applyNumberFormat="1"/>
    <xf numFmtId="164" fontId="1" fillId="0" borderId="11" xfId="0" applyNumberFormat="1" applyFont="1" applyBorder="1" applyAlignment="1">
      <alignment horizontal="center" vertical="center"/>
    </xf>
    <xf numFmtId="4" fontId="24" fillId="0" borderId="14" xfId="0" applyNumberFormat="1" applyFont="1" applyBorder="1" applyAlignment="1">
      <alignment horizontal="center"/>
    </xf>
    <xf numFmtId="4" fontId="24" fillId="15" borderId="15" xfId="0" applyNumberFormat="1" applyFont="1" applyFill="1" applyBorder="1" applyAlignment="1">
      <alignment horizontal="center"/>
    </xf>
    <xf numFmtId="164" fontId="24" fillId="15" borderId="0" xfId="0" applyNumberFormat="1" applyFont="1" applyFill="1" applyBorder="1" applyAlignment="1">
      <alignment horizontal="center" vertical="center"/>
    </xf>
    <xf numFmtId="164" fontId="24" fillId="0" borderId="0" xfId="0" applyNumberFormat="1" applyFont="1" applyBorder="1" applyAlignment="1">
      <alignment horizontal="center" vertical="center"/>
    </xf>
    <xf numFmtId="164" fontId="24" fillId="0" borderId="0" xfId="0" applyNumberFormat="1" applyFont="1" applyBorder="1"/>
    <xf numFmtId="164" fontId="24" fillId="0" borderId="13" xfId="0" applyNumberFormat="1" applyFont="1" applyBorder="1"/>
    <xf numFmtId="164" fontId="24" fillId="15" borderId="0" xfId="0" applyNumberFormat="1" applyFont="1" applyFill="1" applyBorder="1"/>
    <xf numFmtId="164" fontId="24" fillId="15" borderId="13" xfId="0" applyNumberFormat="1" applyFont="1" applyFill="1" applyBorder="1"/>
    <xf numFmtId="164" fontId="24" fillId="0" borderId="0" xfId="0" applyNumberFormat="1" applyFont="1" applyFill="1" applyBorder="1" applyAlignment="1">
      <alignment horizontal="center" vertical="center"/>
    </xf>
    <xf numFmtId="164" fontId="24" fillId="0" borderId="6" xfId="0" applyNumberFormat="1" applyFont="1" applyBorder="1"/>
    <xf numFmtId="164" fontId="24" fillId="0" borderId="14" xfId="0" applyNumberFormat="1" applyFont="1" applyBorder="1"/>
    <xf numFmtId="164" fontId="24" fillId="0" borderId="15" xfId="0" applyNumberFormat="1" applyFont="1" applyBorder="1"/>
    <xf numFmtId="164" fontId="24" fillId="0" borderId="6" xfId="0" applyNumberFormat="1" applyFont="1" applyBorder="1" applyAlignment="1"/>
    <xf numFmtId="164" fontId="24" fillId="15" borderId="0" xfId="0" applyNumberFormat="1" applyFont="1" applyFill="1" applyBorder="1" applyAlignment="1"/>
    <xf numFmtId="164" fontId="24" fillId="0" borderId="13" xfId="0" applyNumberFormat="1" applyFont="1" applyBorder="1" applyAlignment="1"/>
    <xf numFmtId="164" fontId="24" fillId="0" borderId="14" xfId="0" applyNumberFormat="1" applyFont="1" applyBorder="1" applyAlignment="1"/>
    <xf numFmtId="164" fontId="18" fillId="0" borderId="6" xfId="0" applyNumberFormat="1" applyFont="1" applyBorder="1"/>
    <xf numFmtId="164" fontId="18" fillId="0" borderId="14" xfId="0" applyNumberFormat="1" applyFont="1" applyBorder="1"/>
    <xf numFmtId="0" fontId="0" fillId="17" borderId="5" xfId="0" applyFill="1" applyBorder="1" applyAlignment="1">
      <alignment horizontal="left" vertical="top" wrapText="1"/>
    </xf>
    <xf numFmtId="9" fontId="0" fillId="17" borderId="5" xfId="2" applyFont="1" applyFill="1" applyBorder="1" applyAlignment="1">
      <alignment horizontal="center" vertical="center"/>
    </xf>
    <xf numFmtId="9" fontId="0" fillId="17" borderId="15" xfId="2" applyFont="1" applyFill="1" applyBorder="1" applyAlignment="1">
      <alignment horizontal="center" vertical="center"/>
    </xf>
    <xf numFmtId="0" fontId="1" fillId="0" borderId="24" xfId="0" applyFont="1" applyBorder="1" applyAlignment="1">
      <alignment vertical="top"/>
    </xf>
    <xf numFmtId="164" fontId="25" fillId="15" borderId="6" xfId="0" applyNumberFormat="1" applyFont="1" applyFill="1" applyBorder="1"/>
    <xf numFmtId="0" fontId="1" fillId="14" borderId="6" xfId="0" applyFont="1" applyFill="1" applyBorder="1" applyAlignment="1">
      <alignment horizontal="center"/>
    </xf>
    <xf numFmtId="0" fontId="1" fillId="14" borderId="14" xfId="0" applyFont="1" applyFill="1" applyBorder="1" applyAlignment="1">
      <alignment horizontal="center"/>
    </xf>
    <xf numFmtId="0" fontId="1" fillId="14" borderId="6" xfId="0" applyFont="1" applyFill="1" applyBorder="1" applyAlignment="1">
      <alignment horizontal="center"/>
    </xf>
    <xf numFmtId="0" fontId="1" fillId="14" borderId="14" xfId="0" applyFont="1" applyFill="1" applyBorder="1" applyAlignment="1">
      <alignment horizontal="center"/>
    </xf>
    <xf numFmtId="0" fontId="0" fillId="0" borderId="0" xfId="0" applyAlignment="1">
      <alignment horizontal="center"/>
    </xf>
    <xf numFmtId="0" fontId="0" fillId="0" borderId="0" xfId="0" applyAlignment="1">
      <alignment horizontal="left" vertical="top" wrapText="1"/>
    </xf>
    <xf numFmtId="0" fontId="7" fillId="0" borderId="0" xfId="0" applyFont="1" applyAlignment="1">
      <alignment horizontal="center"/>
    </xf>
    <xf numFmtId="0" fontId="5" fillId="0" borderId="0" xfId="0" applyFont="1" applyAlignment="1">
      <alignment horizontal="center"/>
    </xf>
    <xf numFmtId="0" fontId="6" fillId="0" borderId="0" xfId="0" applyFont="1" applyAlignment="1">
      <alignment horizontal="center"/>
    </xf>
    <xf numFmtId="0" fontId="1" fillId="8" borderId="0" xfId="0" applyFont="1" applyFill="1" applyBorder="1" applyAlignment="1">
      <alignment horizontal="right" wrapText="1"/>
    </xf>
    <xf numFmtId="0" fontId="10" fillId="0" borderId="5" xfId="0" applyFont="1" applyBorder="1" applyAlignment="1">
      <alignment horizontal="center"/>
    </xf>
    <xf numFmtId="0" fontId="4" fillId="0" borderId="6" xfId="0" applyFont="1" applyBorder="1" applyAlignment="1">
      <alignment horizontal="left"/>
    </xf>
    <xf numFmtId="0" fontId="0" fillId="0" borderId="0" xfId="0" applyFont="1" applyAlignment="1">
      <alignment horizontal="left" vertical="top" wrapText="1"/>
    </xf>
    <xf numFmtId="3" fontId="0" fillId="0" borderId="20" xfId="0" applyNumberFormat="1" applyFont="1" applyBorder="1" applyAlignment="1">
      <alignment horizontal="center" vertical="center" wrapText="1"/>
    </xf>
    <xf numFmtId="0" fontId="0" fillId="13" borderId="20" xfId="0" applyFont="1" applyFill="1" applyBorder="1" applyAlignment="1">
      <alignment horizontal="center" vertical="center" wrapText="1"/>
    </xf>
    <xf numFmtId="0" fontId="20" fillId="13" borderId="20" xfId="0" applyFont="1" applyFill="1" applyBorder="1" applyAlignment="1">
      <alignment horizontal="center" vertical="center" wrapText="1"/>
    </xf>
    <xf numFmtId="0" fontId="0" fillId="0" borderId="0" xfId="0" applyAlignment="1">
      <alignment horizontal="left"/>
    </xf>
    <xf numFmtId="164" fontId="0" fillId="13" borderId="0" xfId="0" applyNumberFormat="1" applyFill="1" applyAlignment="1">
      <alignment horizontal="center"/>
    </xf>
    <xf numFmtId="0" fontId="0" fillId="13" borderId="0" xfId="0" applyFill="1" applyAlignment="1">
      <alignment horizontal="center"/>
    </xf>
    <xf numFmtId="164" fontId="0" fillId="15" borderId="0" xfId="0" applyNumberFormat="1" applyFill="1" applyBorder="1" applyAlignment="1">
      <alignment horizontal="center"/>
    </xf>
    <xf numFmtId="164" fontId="0" fillId="15" borderId="13" xfId="0" applyNumberFormat="1" applyFill="1" applyBorder="1" applyAlignment="1">
      <alignment horizontal="center"/>
    </xf>
    <xf numFmtId="164" fontId="0" fillId="0" borderId="0" xfId="0" applyNumberFormat="1" applyBorder="1" applyAlignment="1">
      <alignment horizontal="center"/>
    </xf>
    <xf numFmtId="164" fontId="0" fillId="0" borderId="13" xfId="0" applyNumberFormat="1" applyBorder="1" applyAlignment="1">
      <alignment horizontal="center"/>
    </xf>
    <xf numFmtId="0" fontId="3" fillId="13" borderId="20" xfId="0" applyFont="1" applyFill="1" applyBorder="1" applyAlignment="1">
      <alignment horizontal="center" vertical="center" wrapText="1"/>
    </xf>
    <xf numFmtId="3" fontId="0" fillId="13" borderId="12" xfId="0" applyNumberFormat="1" applyFont="1" applyFill="1" applyBorder="1" applyAlignment="1">
      <alignment horizontal="center" vertical="center" wrapText="1"/>
    </xf>
    <xf numFmtId="3" fontId="0" fillId="13" borderId="9" xfId="0" applyNumberFormat="1" applyFont="1" applyFill="1" applyBorder="1" applyAlignment="1">
      <alignment horizontal="center" vertical="center" wrapText="1"/>
    </xf>
    <xf numFmtId="164" fontId="0" fillId="15" borderId="5" xfId="0" applyNumberFormat="1" applyFill="1" applyBorder="1" applyAlignment="1">
      <alignment horizontal="center"/>
    </xf>
    <xf numFmtId="0" fontId="0" fillId="15" borderId="5" xfId="0" applyFill="1" applyBorder="1" applyAlignment="1">
      <alignment horizontal="center"/>
    </xf>
    <xf numFmtId="0" fontId="1" fillId="0" borderId="6" xfId="0" applyFont="1" applyBorder="1" applyAlignment="1">
      <alignment horizontal="center"/>
    </xf>
    <xf numFmtId="0" fontId="1" fillId="0" borderId="14" xfId="0" applyFont="1" applyBorder="1" applyAlignment="1">
      <alignment horizontal="center"/>
    </xf>
    <xf numFmtId="0" fontId="0" fillId="0" borderId="0" xfId="0" applyAlignment="1">
      <alignment horizontal="left" wrapText="1"/>
    </xf>
    <xf numFmtId="3" fontId="0" fillId="0" borderId="20" xfId="0" applyNumberFormat="1" applyFont="1" applyBorder="1" applyAlignment="1">
      <alignment horizontal="center" vertical="center"/>
    </xf>
    <xf numFmtId="9" fontId="0" fillId="0" borderId="0" xfId="2" applyFont="1" applyAlignment="1">
      <alignment horizontal="left" vertical="top" wrapText="1"/>
    </xf>
    <xf numFmtId="0" fontId="0" fillId="0" borderId="0" xfId="0" applyAlignment="1">
      <alignment horizontal="left" vertical="top"/>
    </xf>
    <xf numFmtId="0" fontId="1" fillId="14" borderId="12" xfId="0" applyFont="1" applyFill="1" applyBorder="1" applyAlignment="1">
      <alignment horizontal="center" vertical="top" wrapText="1"/>
    </xf>
    <xf numFmtId="0" fontId="1" fillId="14" borderId="9" xfId="0" applyFont="1" applyFill="1" applyBorder="1" applyAlignment="1">
      <alignment horizontal="center" vertical="top" wrapText="1"/>
    </xf>
    <xf numFmtId="0" fontId="1" fillId="14" borderId="16" xfId="0" applyFont="1" applyFill="1" applyBorder="1" applyAlignment="1">
      <alignment horizontal="center" vertical="top" wrapText="1"/>
    </xf>
    <xf numFmtId="0" fontId="0" fillId="15" borderId="8" xfId="0" applyFill="1" applyBorder="1" applyAlignment="1">
      <alignment horizontal="center" vertical="center"/>
    </xf>
    <xf numFmtId="0" fontId="0" fillId="15" borderId="10" xfId="0" applyFill="1" applyBorder="1" applyAlignment="1">
      <alignment horizontal="center" vertical="center"/>
    </xf>
    <xf numFmtId="0" fontId="0" fillId="15" borderId="18" xfId="0" applyFill="1" applyBorder="1" applyAlignment="1">
      <alignment horizontal="center" vertical="center"/>
    </xf>
    <xf numFmtId="0" fontId="0" fillId="15" borderId="19" xfId="0" applyFill="1" applyBorder="1" applyAlignment="1">
      <alignment horizontal="center" vertical="center"/>
    </xf>
    <xf numFmtId="0" fontId="0" fillId="0" borderId="8" xfId="0" applyBorder="1" applyAlignment="1">
      <alignment horizontal="left" vertical="top" wrapText="1"/>
    </xf>
    <xf numFmtId="0" fontId="0" fillId="0" borderId="0" xfId="0" applyBorder="1" applyAlignment="1">
      <alignment horizontal="left" vertical="top" wrapText="1"/>
    </xf>
    <xf numFmtId="0" fontId="0" fillId="0" borderId="13" xfId="0" applyBorder="1" applyAlignment="1">
      <alignment horizontal="left" vertical="top" wrapText="1"/>
    </xf>
    <xf numFmtId="0" fontId="0" fillId="0" borderId="8" xfId="0" applyBorder="1" applyAlignment="1">
      <alignment horizontal="left" vertical="top"/>
    </xf>
    <xf numFmtId="0" fontId="0" fillId="0" borderId="0" xfId="0" applyBorder="1" applyAlignment="1">
      <alignment horizontal="left" vertical="top"/>
    </xf>
    <xf numFmtId="0" fontId="0" fillId="0" borderId="13" xfId="0" applyBorder="1" applyAlignment="1">
      <alignment horizontal="left" vertical="top"/>
    </xf>
    <xf numFmtId="0" fontId="0" fillId="0" borderId="10" xfId="0" applyBorder="1" applyAlignment="1">
      <alignment horizontal="left" vertical="top"/>
    </xf>
    <xf numFmtId="0" fontId="0" fillId="0" borderId="5" xfId="0" applyBorder="1" applyAlignment="1">
      <alignment horizontal="left" vertical="top"/>
    </xf>
    <xf numFmtId="0" fontId="0" fillId="0" borderId="15" xfId="0" applyBorder="1" applyAlignment="1">
      <alignment horizontal="left" vertical="top"/>
    </xf>
    <xf numFmtId="0" fontId="0" fillId="12" borderId="6" xfId="0" applyFill="1" applyBorder="1" applyAlignment="1">
      <alignment horizontal="center"/>
    </xf>
    <xf numFmtId="0" fontId="0" fillId="4" borderId="9" xfId="0" applyFill="1" applyBorder="1" applyAlignment="1">
      <alignment horizontal="center"/>
    </xf>
    <xf numFmtId="0" fontId="0" fillId="4" borderId="16" xfId="0" applyFill="1" applyBorder="1" applyAlignment="1">
      <alignment horizontal="center"/>
    </xf>
    <xf numFmtId="164" fontId="0" fillId="17" borderId="12" xfId="0" applyNumberFormat="1" applyFill="1" applyBorder="1" applyAlignment="1">
      <alignment horizontal="center"/>
    </xf>
    <xf numFmtId="164" fontId="0" fillId="17" borderId="9" xfId="0" applyNumberFormat="1" applyFill="1" applyBorder="1" applyAlignment="1">
      <alignment horizontal="center"/>
    </xf>
    <xf numFmtId="0" fontId="0" fillId="16" borderId="9" xfId="0" applyFill="1" applyBorder="1" applyAlignment="1">
      <alignment horizontal="center"/>
    </xf>
    <xf numFmtId="0" fontId="0" fillId="17" borderId="9" xfId="0" applyFill="1" applyBorder="1" applyAlignment="1">
      <alignment horizontal="center"/>
    </xf>
    <xf numFmtId="0" fontId="0" fillId="16" borderId="16" xfId="0" applyFill="1" applyBorder="1" applyAlignment="1">
      <alignment horizontal="center"/>
    </xf>
    <xf numFmtId="0" fontId="0" fillId="4" borderId="6" xfId="0" applyFill="1" applyBorder="1" applyAlignment="1">
      <alignment horizontal="center"/>
    </xf>
    <xf numFmtId="164" fontId="0" fillId="12" borderId="11" xfId="0" applyNumberFormat="1" applyFill="1" applyBorder="1" applyAlignment="1">
      <alignment horizontal="center"/>
    </xf>
    <xf numFmtId="164" fontId="0" fillId="12" borderId="6" xfId="0" applyNumberFormat="1" applyFill="1" applyBorder="1" applyAlignment="1">
      <alignment horizontal="center"/>
    </xf>
    <xf numFmtId="0" fontId="0" fillId="11" borderId="9" xfId="0" applyFill="1" applyBorder="1" applyAlignment="1">
      <alignment horizontal="center"/>
    </xf>
    <xf numFmtId="0" fontId="0" fillId="9" borderId="9" xfId="0" applyFill="1" applyBorder="1" applyAlignment="1">
      <alignment horizontal="center"/>
    </xf>
    <xf numFmtId="0" fontId="0" fillId="11" borderId="16" xfId="0" applyFill="1" applyBorder="1" applyAlignment="1">
      <alignment horizontal="center"/>
    </xf>
    <xf numFmtId="0" fontId="4" fillId="0" borderId="0" xfId="0" applyFont="1" applyBorder="1" applyAlignment="1">
      <alignment horizontal="right"/>
    </xf>
    <xf numFmtId="164" fontId="0" fillId="9" borderId="9" xfId="0" applyNumberFormat="1" applyFill="1" applyBorder="1" applyAlignment="1">
      <alignment horizontal="center"/>
    </xf>
    <xf numFmtId="0" fontId="1" fillId="12" borderId="12" xfId="0" applyFont="1" applyFill="1" applyBorder="1" applyAlignment="1">
      <alignment horizontal="right" vertical="center"/>
    </xf>
    <xf numFmtId="0" fontId="1" fillId="12" borderId="9" xfId="0" applyFont="1" applyFill="1" applyBorder="1" applyAlignment="1">
      <alignment horizontal="right" vertical="center"/>
    </xf>
    <xf numFmtId="0" fontId="1" fillId="17" borderId="12" xfId="0" applyFont="1" applyFill="1" applyBorder="1" applyAlignment="1">
      <alignment horizontal="right" vertical="center"/>
    </xf>
    <xf numFmtId="0" fontId="1" fillId="17" borderId="9" xfId="0" applyFont="1" applyFill="1" applyBorder="1" applyAlignment="1">
      <alignment horizontal="right" vertical="center"/>
    </xf>
    <xf numFmtId="0" fontId="15" fillId="11" borderId="11" xfId="0" applyFont="1" applyFill="1" applyBorder="1" applyAlignment="1">
      <alignment horizontal="center"/>
    </xf>
    <xf numFmtId="0" fontId="15" fillId="11" borderId="6" xfId="0" applyFont="1" applyFill="1" applyBorder="1" applyAlignment="1">
      <alignment horizontal="center"/>
    </xf>
    <xf numFmtId="0" fontId="15" fillId="11" borderId="14" xfId="0" applyFont="1" applyFill="1" applyBorder="1" applyAlignment="1">
      <alignment horizontal="center"/>
    </xf>
    <xf numFmtId="0" fontId="15" fillId="15" borderId="11" xfId="0" applyFont="1" applyFill="1" applyBorder="1" applyAlignment="1">
      <alignment horizontal="center" vertical="center"/>
    </xf>
    <xf numFmtId="0" fontId="15" fillId="15" borderId="8" xfId="0" applyFont="1" applyFill="1" applyBorder="1" applyAlignment="1">
      <alignment horizontal="center" vertical="center"/>
    </xf>
    <xf numFmtId="0" fontId="15" fillId="15" borderId="10" xfId="0" applyFont="1" applyFill="1" applyBorder="1" applyAlignment="1">
      <alignment horizontal="center" vertical="center"/>
    </xf>
    <xf numFmtId="0" fontId="1" fillId="15" borderId="11" xfId="0" applyFont="1" applyFill="1" applyBorder="1" applyAlignment="1">
      <alignment vertical="center"/>
    </xf>
    <xf numFmtId="0" fontId="1" fillId="15" borderId="8" xfId="0" applyFont="1" applyFill="1" applyBorder="1" applyAlignment="1">
      <alignment vertical="center"/>
    </xf>
    <xf numFmtId="0" fontId="15" fillId="16" borderId="11" xfId="0" applyFont="1" applyFill="1" applyBorder="1" applyAlignment="1">
      <alignment horizontal="center"/>
    </xf>
    <xf numFmtId="0" fontId="15" fillId="16" borderId="6" xfId="0" applyFont="1" applyFill="1" applyBorder="1" applyAlignment="1">
      <alignment horizontal="center"/>
    </xf>
    <xf numFmtId="0" fontId="15" fillId="16" borderId="14" xfId="0" applyFont="1" applyFill="1" applyBorder="1" applyAlignment="1">
      <alignment horizontal="center"/>
    </xf>
    <xf numFmtId="0" fontId="0" fillId="0" borderId="0" xfId="0" applyFill="1" applyAlignment="1">
      <alignment horizontal="left" vertical="top"/>
    </xf>
    <xf numFmtId="0" fontId="15" fillId="4" borderId="11" xfId="0" applyFont="1" applyFill="1" applyBorder="1" applyAlignment="1">
      <alignment horizontal="center"/>
    </xf>
    <xf numFmtId="0" fontId="15" fillId="4" borderId="6" xfId="0" applyFont="1" applyFill="1" applyBorder="1" applyAlignment="1">
      <alignment horizontal="center"/>
    </xf>
    <xf numFmtId="0" fontId="15" fillId="4" borderId="14" xfId="0" applyFont="1" applyFill="1" applyBorder="1" applyAlignment="1">
      <alignment horizontal="center"/>
    </xf>
    <xf numFmtId="0" fontId="1" fillId="9" borderId="12" xfId="0" applyFont="1" applyFill="1" applyBorder="1" applyAlignment="1">
      <alignment horizontal="right" vertical="center"/>
    </xf>
    <xf numFmtId="0" fontId="1" fillId="9" borderId="9" xfId="0" applyFont="1" applyFill="1" applyBorder="1" applyAlignment="1">
      <alignment horizontal="right" vertical="center"/>
    </xf>
    <xf numFmtId="164" fontId="1" fillId="17" borderId="12" xfId="0" applyNumberFormat="1" applyFont="1" applyFill="1" applyBorder="1" applyAlignment="1">
      <alignment horizontal="right"/>
    </xf>
    <xf numFmtId="164" fontId="1" fillId="17" borderId="9" xfId="0" applyNumberFormat="1" applyFont="1" applyFill="1" applyBorder="1" applyAlignment="1">
      <alignment horizontal="right"/>
    </xf>
    <xf numFmtId="164" fontId="1" fillId="9" borderId="12" xfId="0" applyNumberFormat="1" applyFont="1" applyFill="1" applyBorder="1" applyAlignment="1">
      <alignment horizontal="right"/>
    </xf>
    <xf numFmtId="164" fontId="1" fillId="9" borderId="9" xfId="0" applyNumberFormat="1" applyFont="1" applyFill="1" applyBorder="1" applyAlignment="1">
      <alignment horizontal="right"/>
    </xf>
    <xf numFmtId="164" fontId="1" fillId="12" borderId="12" xfId="0" applyNumberFormat="1" applyFont="1" applyFill="1" applyBorder="1" applyAlignment="1">
      <alignment horizontal="right"/>
    </xf>
    <xf numFmtId="164" fontId="1" fillId="12" borderId="9" xfId="0" applyNumberFormat="1" applyFont="1" applyFill="1" applyBorder="1" applyAlignment="1">
      <alignment horizontal="right"/>
    </xf>
    <xf numFmtId="0" fontId="0" fillId="0" borderId="0" xfId="0" applyFill="1" applyAlignment="1">
      <alignment horizontal="left" vertical="top" wrapText="1"/>
    </xf>
    <xf numFmtId="0" fontId="1" fillId="14" borderId="6" xfId="0" applyFont="1" applyFill="1" applyBorder="1" applyAlignment="1">
      <alignment horizontal="center"/>
    </xf>
    <xf numFmtId="0" fontId="1" fillId="14" borderId="14" xfId="0" applyFont="1" applyFill="1" applyBorder="1" applyAlignment="1">
      <alignment horizontal="center"/>
    </xf>
    <xf numFmtId="0" fontId="0" fillId="12" borderId="0" xfId="0" applyFill="1" applyAlignment="1">
      <alignment horizontal="left" vertical="top" wrapText="1"/>
    </xf>
    <xf numFmtId="0" fontId="1" fillId="15" borderId="11" xfId="0" applyFont="1" applyFill="1" applyBorder="1" applyAlignment="1">
      <alignment horizontal="center" vertical="center"/>
    </xf>
    <xf numFmtId="0" fontId="1" fillId="15" borderId="8" xfId="0" applyFont="1" applyFill="1" applyBorder="1" applyAlignment="1">
      <alignment horizontal="center" vertical="center"/>
    </xf>
    <xf numFmtId="164" fontId="0" fillId="0" borderId="14" xfId="0" applyNumberFormat="1" applyBorder="1" applyAlignment="1">
      <alignment horizontal="center" vertical="center"/>
    </xf>
    <xf numFmtId="0" fontId="0" fillId="0" borderId="13" xfId="0" applyBorder="1" applyAlignment="1">
      <alignment horizontal="center" vertical="center"/>
    </xf>
    <xf numFmtId="0" fontId="0" fillId="0" borderId="15" xfId="0" applyBorder="1" applyAlignment="1">
      <alignment horizontal="center" vertical="center"/>
    </xf>
    <xf numFmtId="0" fontId="0" fillId="15" borderId="11" xfId="0" applyFont="1" applyFill="1" applyBorder="1" applyAlignment="1">
      <alignment horizontal="center" vertical="center"/>
    </xf>
    <xf numFmtId="0" fontId="0" fillId="15" borderId="8" xfId="0" applyFont="1" applyFill="1" applyBorder="1" applyAlignment="1">
      <alignment horizontal="center" vertical="center"/>
    </xf>
    <xf numFmtId="0" fontId="0" fillId="15" borderId="10" xfId="0" applyFont="1" applyFill="1" applyBorder="1" applyAlignment="1">
      <alignment horizontal="center" vertical="center"/>
    </xf>
    <xf numFmtId="0" fontId="1" fillId="15" borderId="10" xfId="0" applyFont="1" applyFill="1" applyBorder="1" applyAlignment="1">
      <alignment horizontal="center" vertical="center"/>
    </xf>
    <xf numFmtId="0" fontId="1" fillId="11" borderId="11" xfId="0" applyFont="1" applyFill="1" applyBorder="1" applyAlignment="1">
      <alignment horizontal="center"/>
    </xf>
    <xf numFmtId="0" fontId="1" fillId="11" borderId="6" xfId="0" applyFont="1" applyFill="1" applyBorder="1" applyAlignment="1">
      <alignment horizontal="center"/>
    </xf>
    <xf numFmtId="0" fontId="1" fillId="11" borderId="14" xfId="0" applyFont="1" applyFill="1" applyBorder="1" applyAlignment="1">
      <alignment horizontal="center"/>
    </xf>
    <xf numFmtId="164" fontId="0" fillId="0" borderId="11" xfId="0" applyNumberFormat="1" applyFont="1" applyFill="1" applyBorder="1" applyAlignment="1">
      <alignment horizontal="center" vertical="center"/>
    </xf>
    <xf numFmtId="164" fontId="0" fillId="0" borderId="8" xfId="0" applyNumberFormat="1" applyFont="1" applyFill="1" applyBorder="1" applyAlignment="1">
      <alignment horizontal="center" vertical="center"/>
    </xf>
    <xf numFmtId="164" fontId="0" fillId="0" borderId="10" xfId="0" applyNumberFormat="1" applyFont="1" applyFill="1" applyBorder="1" applyAlignment="1">
      <alignment horizontal="center" vertical="center"/>
    </xf>
    <xf numFmtId="164" fontId="0" fillId="0" borderId="14" xfId="0" applyNumberFormat="1" applyFill="1" applyBorder="1" applyAlignment="1">
      <alignment horizontal="center" vertical="center"/>
    </xf>
    <xf numFmtId="164" fontId="0" fillId="0" borderId="13" xfId="0" applyNumberFormat="1" applyFill="1" applyBorder="1" applyAlignment="1">
      <alignment horizontal="center" vertical="center"/>
    </xf>
    <xf numFmtId="164" fontId="0" fillId="0" borderId="15" xfId="0" applyNumberFormat="1" applyFill="1" applyBorder="1" applyAlignment="1">
      <alignment horizontal="center" vertical="center"/>
    </xf>
    <xf numFmtId="0" fontId="0" fillId="0" borderId="20"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15" fillId="11" borderId="12" xfId="0" applyFont="1" applyFill="1" applyBorder="1" applyAlignment="1">
      <alignment horizontal="center"/>
    </xf>
    <xf numFmtId="0" fontId="15" fillId="11" borderId="9" xfId="0" applyFont="1" applyFill="1" applyBorder="1" applyAlignment="1">
      <alignment horizontal="center"/>
    </xf>
    <xf numFmtId="0" fontId="15" fillId="11" borderId="16" xfId="0" applyFont="1" applyFill="1" applyBorder="1" applyAlignment="1">
      <alignment horizontal="center"/>
    </xf>
    <xf numFmtId="164" fontId="0" fillId="0" borderId="11" xfId="0" applyNumberFormat="1" applyBorder="1" applyAlignment="1">
      <alignment horizontal="center" vertical="center"/>
    </xf>
    <xf numFmtId="164" fontId="0" fillId="0" borderId="8" xfId="0" applyNumberFormat="1" applyBorder="1" applyAlignment="1">
      <alignment horizontal="center" vertical="center"/>
    </xf>
    <xf numFmtId="164" fontId="0" fillId="0" borderId="13" xfId="0" applyNumberFormat="1" applyBorder="1" applyAlignment="1">
      <alignment horizontal="center" vertical="center"/>
    </xf>
    <xf numFmtId="164" fontId="0" fillId="0" borderId="10" xfId="0" applyNumberFormat="1" applyBorder="1" applyAlignment="1">
      <alignment horizontal="center" vertical="center"/>
    </xf>
    <xf numFmtId="164" fontId="0" fillId="0" borderId="15" xfId="0" applyNumberFormat="1" applyBorder="1" applyAlignment="1">
      <alignment horizontal="center" vertical="center"/>
    </xf>
    <xf numFmtId="164" fontId="0" fillId="0" borderId="11" xfId="0" applyNumberFormat="1" applyFont="1" applyBorder="1" applyAlignment="1">
      <alignment horizontal="center" vertical="center"/>
    </xf>
    <xf numFmtId="164" fontId="0" fillId="0" borderId="10" xfId="0" applyNumberFormat="1" applyFont="1" applyBorder="1" applyAlignment="1">
      <alignment horizontal="center" vertical="center"/>
    </xf>
    <xf numFmtId="0" fontId="0" fillId="0" borderId="8" xfId="0" applyBorder="1" applyAlignment="1">
      <alignment horizontal="center" vertical="center"/>
    </xf>
    <xf numFmtId="0" fontId="0" fillId="0" borderId="10" xfId="0" applyBorder="1" applyAlignment="1">
      <alignment horizontal="center" vertical="center"/>
    </xf>
    <xf numFmtId="0" fontId="0" fillId="7" borderId="0" xfId="0" applyFill="1" applyAlignment="1">
      <alignment horizontal="left" vertical="center" wrapText="1"/>
    </xf>
    <xf numFmtId="0" fontId="1" fillId="4" borderId="11" xfId="0" applyFont="1" applyFill="1" applyBorder="1" applyAlignment="1">
      <alignment horizontal="center"/>
    </xf>
    <xf numFmtId="0" fontId="1" fillId="4" borderId="6" xfId="0" applyFont="1" applyFill="1" applyBorder="1" applyAlignment="1">
      <alignment horizontal="center"/>
    </xf>
    <xf numFmtId="0" fontId="1" fillId="4" borderId="14" xfId="0" applyFont="1" applyFill="1" applyBorder="1" applyAlignment="1">
      <alignment horizontal="center"/>
    </xf>
    <xf numFmtId="0" fontId="0" fillId="0" borderId="19" xfId="0" applyBorder="1" applyAlignment="1">
      <alignment horizontal="center" vertical="center"/>
    </xf>
    <xf numFmtId="0" fontId="1" fillId="16" borderId="11" xfId="0" applyFont="1" applyFill="1" applyBorder="1" applyAlignment="1">
      <alignment horizontal="center"/>
    </xf>
    <xf numFmtId="0" fontId="1" fillId="16" borderId="6" xfId="0" applyFont="1" applyFill="1" applyBorder="1" applyAlignment="1">
      <alignment horizontal="center"/>
    </xf>
    <xf numFmtId="0" fontId="1" fillId="16" borderId="14" xfId="0" applyFont="1" applyFill="1" applyBorder="1" applyAlignment="1">
      <alignment horizontal="center"/>
    </xf>
    <xf numFmtId="0" fontId="0" fillId="17" borderId="0" xfId="0" applyFill="1" applyAlignment="1">
      <alignment horizontal="left" vertical="top" wrapText="1"/>
    </xf>
    <xf numFmtId="0" fontId="1" fillId="6" borderId="11" xfId="0" applyFont="1" applyFill="1" applyBorder="1" applyAlignment="1">
      <alignment horizontal="center"/>
    </xf>
    <xf numFmtId="0" fontId="1" fillId="6" borderId="6" xfId="0" applyFont="1" applyFill="1" applyBorder="1" applyAlignment="1">
      <alignment horizontal="center"/>
    </xf>
    <xf numFmtId="0" fontId="1" fillId="9" borderId="12" xfId="0" applyFont="1" applyFill="1" applyBorder="1" applyAlignment="1">
      <alignment horizontal="right"/>
    </xf>
    <xf numFmtId="0" fontId="1" fillId="9" borderId="9" xfId="0" applyFont="1" applyFill="1" applyBorder="1" applyAlignment="1">
      <alignment horizontal="right"/>
    </xf>
    <xf numFmtId="0" fontId="1" fillId="12" borderId="12" xfId="0" applyFont="1" applyFill="1" applyBorder="1" applyAlignment="1">
      <alignment horizontal="right"/>
    </xf>
    <xf numFmtId="0" fontId="1" fillId="12" borderId="9" xfId="0" applyFont="1" applyFill="1" applyBorder="1" applyAlignment="1">
      <alignment horizontal="right"/>
    </xf>
    <xf numFmtId="0" fontId="1" fillId="17" borderId="12" xfId="0" applyFont="1" applyFill="1" applyBorder="1" applyAlignment="1">
      <alignment horizontal="right"/>
    </xf>
    <xf numFmtId="0" fontId="1" fillId="17" borderId="9" xfId="0" applyFont="1" applyFill="1" applyBorder="1" applyAlignment="1">
      <alignment horizontal="right"/>
    </xf>
    <xf numFmtId="0" fontId="1" fillId="2" borderId="12" xfId="0" applyFont="1" applyFill="1" applyBorder="1" applyAlignment="1">
      <alignment horizontal="right"/>
    </xf>
    <xf numFmtId="0" fontId="1" fillId="2" borderId="9" xfId="0" applyFont="1" applyFill="1" applyBorder="1" applyAlignment="1">
      <alignment horizontal="right"/>
    </xf>
    <xf numFmtId="0" fontId="0" fillId="15" borderId="6" xfId="0" applyFill="1" applyBorder="1" applyAlignment="1">
      <alignment horizontal="right"/>
    </xf>
    <xf numFmtId="0" fontId="1" fillId="13" borderId="12" xfId="0" applyFont="1" applyFill="1" applyBorder="1" applyAlignment="1">
      <alignment horizontal="right"/>
    </xf>
    <xf numFmtId="0" fontId="1" fillId="13" borderId="9" xfId="0" applyFont="1" applyFill="1" applyBorder="1" applyAlignment="1">
      <alignment horizontal="right"/>
    </xf>
    <xf numFmtId="0" fontId="0" fillId="0" borderId="6" xfId="0" applyBorder="1" applyAlignment="1">
      <alignment horizontal="right"/>
    </xf>
    <xf numFmtId="0" fontId="0" fillId="0" borderId="6" xfId="0" applyBorder="1" applyAlignment="1">
      <alignment horizontal="right" vertical="center"/>
    </xf>
    <xf numFmtId="0" fontId="0" fillId="15" borderId="5" xfId="0" applyFill="1" applyBorder="1" applyAlignment="1">
      <alignment horizontal="right"/>
    </xf>
    <xf numFmtId="0" fontId="0" fillId="0" borderId="9" xfId="0" applyBorder="1" applyAlignment="1">
      <alignment horizontal="right"/>
    </xf>
    <xf numFmtId="0" fontId="0" fillId="0" borderId="0" xfId="0" applyBorder="1" applyAlignment="1">
      <alignment vertical="top" wrapText="1"/>
    </xf>
    <xf numFmtId="0" fontId="0" fillId="17" borderId="10" xfId="0" applyFill="1" applyBorder="1" applyAlignment="1">
      <alignment horizontal="left" vertical="top" wrapText="1"/>
    </xf>
    <xf numFmtId="0" fontId="0" fillId="17" borderId="5" xfId="0" applyFill="1" applyBorder="1" applyAlignment="1">
      <alignment horizontal="left" vertical="top" wrapText="1"/>
    </xf>
    <xf numFmtId="0" fontId="0" fillId="15" borderId="0" xfId="0" applyFill="1" applyBorder="1" applyAlignment="1">
      <alignment horizontal="left" vertical="top" wrapText="1"/>
    </xf>
    <xf numFmtId="0" fontId="0" fillId="15" borderId="8" xfId="0" applyFill="1" applyBorder="1" applyAlignment="1">
      <alignment vertical="top" wrapText="1"/>
    </xf>
    <xf numFmtId="0" fontId="0" fillId="15" borderId="0" xfId="0" applyFill="1" applyBorder="1" applyAlignment="1">
      <alignment vertical="top" wrapText="1"/>
    </xf>
    <xf numFmtId="0" fontId="0" fillId="17" borderId="8" xfId="0" applyFill="1" applyBorder="1" applyAlignment="1">
      <alignment vertical="top" wrapText="1"/>
    </xf>
    <xf numFmtId="0" fontId="0" fillId="17" borderId="0" xfId="0" applyFill="1" applyBorder="1" applyAlignment="1">
      <alignment vertical="top" wrapText="1"/>
    </xf>
    <xf numFmtId="0" fontId="0" fillId="15" borderId="0" xfId="0" applyFill="1" applyBorder="1" applyAlignment="1">
      <alignment horizontal="left" wrapText="1"/>
    </xf>
    <xf numFmtId="0" fontId="0" fillId="17" borderId="0" xfId="0" applyFill="1" applyBorder="1" applyAlignment="1">
      <alignment horizontal="left" vertical="top" wrapText="1"/>
    </xf>
    <xf numFmtId="0" fontId="0" fillId="12" borderId="0" xfId="0" applyFill="1" applyBorder="1" applyAlignment="1">
      <alignment horizontal="left" wrapText="1"/>
    </xf>
    <xf numFmtId="0" fontId="0" fillId="12" borderId="8" xfId="0" applyFill="1" applyBorder="1" applyAlignment="1">
      <alignment vertical="top" wrapText="1"/>
    </xf>
    <xf numFmtId="0" fontId="0" fillId="12" borderId="0" xfId="0" applyFill="1" applyBorder="1" applyAlignment="1">
      <alignment vertical="top" wrapText="1"/>
    </xf>
    <xf numFmtId="0" fontId="0" fillId="0" borderId="8" xfId="0" applyBorder="1" applyAlignment="1">
      <alignment vertical="top" wrapText="1"/>
    </xf>
    <xf numFmtId="0" fontId="0" fillId="15" borderId="8" xfId="0" applyFill="1" applyBorder="1" applyAlignment="1">
      <alignment horizontal="left" vertical="top"/>
    </xf>
    <xf numFmtId="0" fontId="0" fillId="15" borderId="0" xfId="0" applyFill="1" applyBorder="1" applyAlignment="1">
      <alignment horizontal="left" vertical="top"/>
    </xf>
    <xf numFmtId="0" fontId="0" fillId="14" borderId="12" xfId="0" applyFill="1" applyBorder="1" applyAlignment="1">
      <alignment horizontal="left"/>
    </xf>
    <xf numFmtId="0" fontId="0" fillId="14" borderId="9" xfId="0" applyFill="1" applyBorder="1" applyAlignment="1">
      <alignment horizontal="left"/>
    </xf>
    <xf numFmtId="0" fontId="26" fillId="14" borderId="0" xfId="1" applyFont="1" applyFill="1" applyAlignment="1">
      <alignment horizontal="center" vertical="center"/>
    </xf>
    <xf numFmtId="0" fontId="0" fillId="0" borderId="25" xfId="0" applyBorder="1" applyAlignment="1">
      <alignment horizontal="left" vertical="top" wrapText="1"/>
    </xf>
    <xf numFmtId="0" fontId="17" fillId="14" borderId="8" xfId="0" applyFont="1" applyFill="1" applyBorder="1" applyAlignment="1">
      <alignment horizontal="left" vertical="top" wrapText="1"/>
    </xf>
    <xf numFmtId="0" fontId="17" fillId="14" borderId="0" xfId="0" applyFont="1" applyFill="1" applyBorder="1" applyAlignment="1">
      <alignment horizontal="left" vertical="top" wrapText="1"/>
    </xf>
    <xf numFmtId="0" fontId="17" fillId="14" borderId="13" xfId="0" applyFont="1" applyFill="1" applyBorder="1" applyAlignment="1">
      <alignment horizontal="left" vertical="top" wrapText="1"/>
    </xf>
    <xf numFmtId="0" fontId="17" fillId="14" borderId="10" xfId="0" applyFont="1" applyFill="1" applyBorder="1" applyAlignment="1">
      <alignment horizontal="left" vertical="top" wrapText="1"/>
    </xf>
    <xf numFmtId="0" fontId="17" fillId="14" borderId="5" xfId="0" applyFont="1" applyFill="1" applyBorder="1" applyAlignment="1">
      <alignment horizontal="left" vertical="top" wrapText="1"/>
    </xf>
    <xf numFmtId="0" fontId="17" fillId="14" borderId="15" xfId="0" applyFont="1" applyFill="1" applyBorder="1" applyAlignment="1">
      <alignment horizontal="left" vertical="top" wrapText="1"/>
    </xf>
    <xf numFmtId="4" fontId="0" fillId="15" borderId="11" xfId="0" applyNumberFormat="1" applyFill="1" applyBorder="1" applyAlignment="1">
      <alignment horizontal="center" vertical="center"/>
    </xf>
    <xf numFmtId="4" fontId="0" fillId="15" borderId="10" xfId="0" applyNumberFormat="1" applyFill="1" applyBorder="1" applyAlignment="1">
      <alignment horizontal="center" vertical="center"/>
    </xf>
    <xf numFmtId="0" fontId="16" fillId="14" borderId="11" xfId="0" applyFont="1" applyFill="1" applyBorder="1" applyAlignment="1">
      <alignment horizontal="center" vertical="center"/>
    </xf>
    <xf numFmtId="0" fontId="16" fillId="14" borderId="6" xfId="0" applyFont="1" applyFill="1" applyBorder="1" applyAlignment="1">
      <alignment horizontal="center" vertical="center"/>
    </xf>
    <xf numFmtId="0" fontId="16" fillId="14" borderId="14" xfId="0" applyFont="1" applyFill="1" applyBorder="1" applyAlignment="1">
      <alignment horizontal="center" vertical="center"/>
    </xf>
    <xf numFmtId="0" fontId="16" fillId="14" borderId="8" xfId="0" applyFont="1" applyFill="1" applyBorder="1" applyAlignment="1">
      <alignment horizontal="center" vertical="center"/>
    </xf>
    <xf numFmtId="0" fontId="16" fillId="14" borderId="0" xfId="0" applyFont="1" applyFill="1" applyBorder="1" applyAlignment="1">
      <alignment horizontal="center" vertical="center"/>
    </xf>
    <xf numFmtId="0" fontId="16" fillId="14" borderId="13" xfId="0" applyFont="1" applyFill="1" applyBorder="1" applyAlignment="1">
      <alignment horizontal="center" vertical="center"/>
    </xf>
    <xf numFmtId="0" fontId="16" fillId="14" borderId="10" xfId="0" applyFont="1" applyFill="1" applyBorder="1" applyAlignment="1">
      <alignment horizontal="center" vertical="center"/>
    </xf>
    <xf numFmtId="0" fontId="16" fillId="14" borderId="5" xfId="0" applyFont="1" applyFill="1" applyBorder="1" applyAlignment="1">
      <alignment horizontal="center" vertical="center"/>
    </xf>
    <xf numFmtId="0" fontId="16" fillId="14" borderId="15" xfId="0" applyFont="1" applyFill="1" applyBorder="1" applyAlignment="1">
      <alignment horizontal="center" vertical="center"/>
    </xf>
    <xf numFmtId="0" fontId="4" fillId="15" borderId="0" xfId="0" applyFont="1" applyFill="1" applyAlignment="1">
      <alignment horizontal="center"/>
    </xf>
    <xf numFmtId="9" fontId="0" fillId="13" borderId="13" xfId="2" applyFont="1" applyFill="1" applyBorder="1"/>
    <xf numFmtId="9" fontId="0" fillId="13" borderId="15" xfId="2" applyFont="1" applyFill="1" applyBorder="1"/>
    <xf numFmtId="0" fontId="16" fillId="14" borderId="0" xfId="1" applyFont="1" applyFill="1" applyAlignment="1">
      <alignment horizontal="center" vertical="center"/>
    </xf>
  </cellXfs>
  <cellStyles count="3">
    <cellStyle name="Hipervínculo" xfId="1" builtinId="8"/>
    <cellStyle name="Normal" xfId="0" builtinId="0"/>
    <cellStyle name="Porcentaje" xfId="2" builtinId="5"/>
  </cellStyles>
  <dxfs count="3">
    <dxf>
      <font>
        <color theme="9" tint="-0.24994659260841701"/>
      </font>
    </dxf>
    <dxf>
      <font>
        <color theme="7" tint="-0.24994659260841701"/>
      </font>
    </dxf>
    <dxf>
      <font>
        <color rgb="FFFF0000"/>
      </font>
    </dxf>
  </dxfs>
  <tableStyles count="0" defaultTableStyle="TableStyleMedium2" defaultPivotStyle="PivotStyleLight16"/>
  <colors>
    <mruColors>
      <color rgb="FFA4405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'Proyección de ventas'!$A$24</c:f>
              <c:strCache>
                <c:ptCount val="1"/>
                <c:pt idx="0">
                  <c:v>Distribución del turismo</c:v>
                </c:pt>
              </c:strCache>
            </c:strRef>
          </c:tx>
          <c:spPr>
            <a:ln w="28575" cap="rnd">
              <a:solidFill>
                <a:schemeClr val="accent1"/>
              </a:solidFill>
              <a:round/>
            </a:ln>
            <a:effectLst/>
          </c:spPr>
          <c:marker>
            <c:symbol val="none"/>
          </c:marker>
          <c:val>
            <c:numRef>
              <c:f>('Proyección de ventas'!$D$24,'Proyección de ventas'!$G$24,'Proyección de ventas'!$J$24,'Proyección de ventas'!$M$24,'Proyección de ventas'!$P$24,'Proyección de ventas'!$S$24,'Proyección de ventas'!$V$24,'Proyección de ventas'!$Y$24,'Proyección de ventas'!$AB$24,'Proyección de ventas'!$AE$24,'Proyección de ventas'!$AH$24,'Proyección de ventas'!$AK$24)</c:f>
              <c:numCache>
                <c:formatCode>0.00</c:formatCode>
                <c:ptCount val="12"/>
                <c:pt idx="0">
                  <c:v>5.7142857142857141E-2</c:v>
                </c:pt>
                <c:pt idx="1">
                  <c:v>3.8095238095238099E-2</c:v>
                </c:pt>
                <c:pt idx="2">
                  <c:v>3.8095238095238099E-2</c:v>
                </c:pt>
                <c:pt idx="3">
                  <c:v>5.7142857142857141E-2</c:v>
                </c:pt>
                <c:pt idx="4">
                  <c:v>9.5238095238095233E-2</c:v>
                </c:pt>
                <c:pt idx="5">
                  <c:v>0.13333333333333333</c:v>
                </c:pt>
                <c:pt idx="6">
                  <c:v>0.15238095238095239</c:v>
                </c:pt>
                <c:pt idx="7">
                  <c:v>0.11428571428571428</c:v>
                </c:pt>
                <c:pt idx="8">
                  <c:v>9.5238095238095233E-2</c:v>
                </c:pt>
                <c:pt idx="9">
                  <c:v>8.5714285714285715E-2</c:v>
                </c:pt>
                <c:pt idx="10">
                  <c:v>5.7142857142857141E-2</c:v>
                </c:pt>
                <c:pt idx="11">
                  <c:v>7.6190476190476197E-2</c:v>
                </c:pt>
              </c:numCache>
            </c:numRef>
          </c:val>
          <c:smooth val="0"/>
          <c:extLst>
            <c:ext xmlns:c16="http://schemas.microsoft.com/office/drawing/2014/chart" uri="{C3380CC4-5D6E-409C-BE32-E72D297353CC}">
              <c16:uniqueId val="{00000000-AB10-4567-9985-74B218F3FE41}"/>
            </c:ext>
          </c:extLst>
        </c:ser>
        <c:dLbls>
          <c:showLegendKey val="0"/>
          <c:showVal val="0"/>
          <c:showCatName val="0"/>
          <c:showSerName val="0"/>
          <c:showPercent val="0"/>
          <c:showBubbleSize val="0"/>
        </c:dLbls>
        <c:smooth val="0"/>
        <c:axId val="414692384"/>
        <c:axId val="309610840"/>
      </c:lineChart>
      <c:catAx>
        <c:axId val="41469238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09610840"/>
        <c:crosses val="autoZero"/>
        <c:auto val="1"/>
        <c:lblAlgn val="ctr"/>
        <c:lblOffset val="100"/>
        <c:noMultiLvlLbl val="0"/>
      </c:catAx>
      <c:valAx>
        <c:axId val="3096108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14692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Proyección de ingresos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'Modelo de ingresos'!$C$5</c:f>
              <c:strCache>
                <c:ptCount val="1"/>
                <c:pt idx="0">
                  <c:v>Experiencias de inmersión</c:v>
                </c:pt>
              </c:strCache>
            </c:strRef>
          </c:tx>
          <c:spPr>
            <a:solidFill>
              <a:schemeClr val="accent1"/>
            </a:solidFill>
            <a:ln>
              <a:noFill/>
            </a:ln>
            <a:effectLst/>
            <a:sp3d/>
          </c:spPr>
          <c:invertIfNegative val="0"/>
          <c:cat>
            <c:strRef>
              <c:f>'Modelo de ingresos'!$D$4:$F$4</c:f>
              <c:strCache>
                <c:ptCount val="3"/>
                <c:pt idx="0">
                  <c:v>Año 1</c:v>
                </c:pt>
                <c:pt idx="1">
                  <c:v>Año 2</c:v>
                </c:pt>
                <c:pt idx="2">
                  <c:v>Año 3</c:v>
                </c:pt>
              </c:strCache>
            </c:strRef>
          </c:cat>
          <c:val>
            <c:numRef>
              <c:f>'Modelo de ingresos'!$D$5:$F$5</c:f>
              <c:numCache>
                <c:formatCode>"$"\ #,##0.00</c:formatCode>
                <c:ptCount val="3"/>
                <c:pt idx="0">
                  <c:v>2503448.3999999994</c:v>
                </c:pt>
                <c:pt idx="1">
                  <c:v>4172413.9999999995</c:v>
                </c:pt>
                <c:pt idx="2">
                  <c:v>5841379.5999999996</c:v>
                </c:pt>
              </c:numCache>
            </c:numRef>
          </c:val>
          <c:extLst>
            <c:ext xmlns:c16="http://schemas.microsoft.com/office/drawing/2014/chart" uri="{C3380CC4-5D6E-409C-BE32-E72D297353CC}">
              <c16:uniqueId val="{00000000-69C1-45DF-932C-15E5856B7013}"/>
            </c:ext>
          </c:extLst>
        </c:ser>
        <c:ser>
          <c:idx val="1"/>
          <c:order val="1"/>
          <c:tx>
            <c:strRef>
              <c:f>'Modelo de ingresos'!$C$6</c:f>
              <c:strCache>
                <c:ptCount val="1"/>
                <c:pt idx="0">
                  <c:v>Servicios adicionales</c:v>
                </c:pt>
              </c:strCache>
            </c:strRef>
          </c:tx>
          <c:spPr>
            <a:solidFill>
              <a:schemeClr val="accent2"/>
            </a:solidFill>
            <a:ln>
              <a:noFill/>
            </a:ln>
            <a:effectLst/>
            <a:sp3d/>
          </c:spPr>
          <c:invertIfNegative val="0"/>
          <c:cat>
            <c:strRef>
              <c:f>'Modelo de ingresos'!$D$4:$F$4</c:f>
              <c:strCache>
                <c:ptCount val="3"/>
                <c:pt idx="0">
                  <c:v>Año 1</c:v>
                </c:pt>
                <c:pt idx="1">
                  <c:v>Año 2</c:v>
                </c:pt>
                <c:pt idx="2">
                  <c:v>Año 3</c:v>
                </c:pt>
              </c:strCache>
            </c:strRef>
          </c:cat>
          <c:val>
            <c:numRef>
              <c:f>'Modelo de ingresos'!$D$6:$F$6</c:f>
              <c:numCache>
                <c:formatCode>"$"\ #,##0.00</c:formatCode>
                <c:ptCount val="3"/>
                <c:pt idx="0">
                  <c:v>4104590.4000000004</c:v>
                </c:pt>
                <c:pt idx="1">
                  <c:v>6840984</c:v>
                </c:pt>
                <c:pt idx="2">
                  <c:v>9577377.6000000034</c:v>
                </c:pt>
              </c:numCache>
            </c:numRef>
          </c:val>
          <c:extLst>
            <c:ext xmlns:c16="http://schemas.microsoft.com/office/drawing/2014/chart" uri="{C3380CC4-5D6E-409C-BE32-E72D297353CC}">
              <c16:uniqueId val="{00000001-69C1-45DF-932C-15E5856B7013}"/>
            </c:ext>
          </c:extLst>
        </c:ser>
        <c:dLbls>
          <c:showLegendKey val="0"/>
          <c:showVal val="0"/>
          <c:showCatName val="0"/>
          <c:showSerName val="0"/>
          <c:showPercent val="0"/>
          <c:showBubbleSize val="0"/>
        </c:dLbls>
        <c:gapWidth val="150"/>
        <c:shape val="box"/>
        <c:axId val="527368456"/>
        <c:axId val="527357960"/>
        <c:axId val="0"/>
      </c:bar3DChart>
      <c:catAx>
        <c:axId val="5273684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527357960"/>
        <c:crosses val="autoZero"/>
        <c:auto val="1"/>
        <c:lblAlgn val="ctr"/>
        <c:lblOffset val="100"/>
        <c:noMultiLvlLbl val="0"/>
      </c:catAx>
      <c:valAx>
        <c:axId val="52735796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527368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Relación Ingresos / Egresos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tx>
            <c:strRef>
              <c:f>'Modelo de egresos'!$G$12</c:f>
              <c:strCache>
                <c:ptCount val="1"/>
                <c:pt idx="0">
                  <c:v>Fijo</c:v>
                </c:pt>
              </c:strCache>
            </c:strRef>
          </c:tx>
          <c:spPr>
            <a:solidFill>
              <a:schemeClr val="accent1"/>
            </a:solidFill>
            <a:ln>
              <a:noFill/>
            </a:ln>
            <a:effectLst/>
          </c:spPr>
          <c:invertIfNegative val="0"/>
          <c:cat>
            <c:strRef>
              <c:f>'Modelo de egresos'!$H$11:$J$11</c:f>
              <c:strCache>
                <c:ptCount val="3"/>
                <c:pt idx="0">
                  <c:v>Año 1</c:v>
                </c:pt>
                <c:pt idx="1">
                  <c:v>Año 2</c:v>
                </c:pt>
                <c:pt idx="2">
                  <c:v>Año 3</c:v>
                </c:pt>
              </c:strCache>
            </c:strRef>
          </c:cat>
          <c:val>
            <c:numRef>
              <c:f>'Modelo de egresos'!$H$12:$J$12</c:f>
              <c:numCache>
                <c:formatCode>"$"\ #,##0.00</c:formatCode>
                <c:ptCount val="3"/>
                <c:pt idx="0">
                  <c:v>1413260</c:v>
                </c:pt>
                <c:pt idx="1">
                  <c:v>1532135</c:v>
                </c:pt>
                <c:pt idx="2">
                  <c:v>1707410</c:v>
                </c:pt>
              </c:numCache>
            </c:numRef>
          </c:val>
          <c:extLst>
            <c:ext xmlns:c16="http://schemas.microsoft.com/office/drawing/2014/chart" uri="{C3380CC4-5D6E-409C-BE32-E72D297353CC}">
              <c16:uniqueId val="{00000000-8733-4324-B66A-B31B32E7B8BD}"/>
            </c:ext>
          </c:extLst>
        </c:ser>
        <c:ser>
          <c:idx val="1"/>
          <c:order val="1"/>
          <c:tx>
            <c:strRef>
              <c:f>'Modelo de egresos'!$G$13</c:f>
              <c:strCache>
                <c:ptCount val="1"/>
                <c:pt idx="0">
                  <c:v>Variable</c:v>
                </c:pt>
              </c:strCache>
            </c:strRef>
          </c:tx>
          <c:spPr>
            <a:solidFill>
              <a:schemeClr val="accent2"/>
            </a:solidFill>
            <a:ln>
              <a:noFill/>
            </a:ln>
            <a:effectLst/>
          </c:spPr>
          <c:invertIfNegative val="0"/>
          <c:cat>
            <c:strRef>
              <c:f>'Modelo de egresos'!$H$11:$J$11</c:f>
              <c:strCache>
                <c:ptCount val="3"/>
                <c:pt idx="0">
                  <c:v>Año 1</c:v>
                </c:pt>
                <c:pt idx="1">
                  <c:v>Año 2</c:v>
                </c:pt>
                <c:pt idx="2">
                  <c:v>Año 3</c:v>
                </c:pt>
              </c:strCache>
            </c:strRef>
          </c:cat>
          <c:val>
            <c:numRef>
              <c:f>'Modelo de egresos'!$H$13:$J$13</c:f>
              <c:numCache>
                <c:formatCode>"$"\ #,##0.00</c:formatCode>
                <c:ptCount val="3"/>
                <c:pt idx="0">
                  <c:v>642214.44171428576</c:v>
                </c:pt>
                <c:pt idx="1">
                  <c:v>1091335.3038095238</c:v>
                </c:pt>
                <c:pt idx="2">
                  <c:v>1637325.1693333336</c:v>
                </c:pt>
              </c:numCache>
            </c:numRef>
          </c:val>
          <c:extLst>
            <c:ext xmlns:c16="http://schemas.microsoft.com/office/drawing/2014/chart" uri="{C3380CC4-5D6E-409C-BE32-E72D297353CC}">
              <c16:uniqueId val="{00000001-8733-4324-B66A-B31B32E7B8BD}"/>
            </c:ext>
          </c:extLst>
        </c:ser>
        <c:ser>
          <c:idx val="2"/>
          <c:order val="2"/>
          <c:tx>
            <c:strRef>
              <c:f>'Modelo de egresos'!$G$14</c:f>
              <c:strCache>
                <c:ptCount val="1"/>
                <c:pt idx="0">
                  <c:v>RRHH</c:v>
                </c:pt>
              </c:strCache>
            </c:strRef>
          </c:tx>
          <c:spPr>
            <a:solidFill>
              <a:schemeClr val="accent3"/>
            </a:solidFill>
            <a:ln>
              <a:noFill/>
            </a:ln>
            <a:effectLst/>
          </c:spPr>
          <c:invertIfNegative val="0"/>
          <c:cat>
            <c:strRef>
              <c:f>'Modelo de egresos'!$H$11:$J$11</c:f>
              <c:strCache>
                <c:ptCount val="3"/>
                <c:pt idx="0">
                  <c:v>Año 1</c:v>
                </c:pt>
                <c:pt idx="1">
                  <c:v>Año 2</c:v>
                </c:pt>
                <c:pt idx="2">
                  <c:v>Año 3</c:v>
                </c:pt>
              </c:strCache>
            </c:strRef>
          </c:cat>
          <c:val>
            <c:numRef>
              <c:f>'Modelo de egresos'!$H$14:$J$14</c:f>
              <c:numCache>
                <c:formatCode>"$"\ #,##0.00</c:formatCode>
                <c:ptCount val="3"/>
                <c:pt idx="0">
                  <c:v>4258021.7550000008</c:v>
                </c:pt>
                <c:pt idx="1">
                  <c:v>6227009.5724999998</c:v>
                </c:pt>
                <c:pt idx="2">
                  <c:v>8166120.9708333323</c:v>
                </c:pt>
              </c:numCache>
            </c:numRef>
          </c:val>
          <c:extLst>
            <c:ext xmlns:c16="http://schemas.microsoft.com/office/drawing/2014/chart" uri="{C3380CC4-5D6E-409C-BE32-E72D297353CC}">
              <c16:uniqueId val="{00000002-8733-4324-B66A-B31B32E7B8BD}"/>
            </c:ext>
          </c:extLst>
        </c:ser>
        <c:ser>
          <c:idx val="3"/>
          <c:order val="3"/>
          <c:tx>
            <c:strRef>
              <c:f>'Modelo de egresos'!$G$15</c:f>
              <c:strCache>
                <c:ptCount val="1"/>
              </c:strCache>
            </c:strRef>
          </c:tx>
          <c:spPr>
            <a:solidFill>
              <a:schemeClr val="accent4"/>
            </a:solidFill>
            <a:ln>
              <a:noFill/>
            </a:ln>
            <a:effectLst/>
          </c:spPr>
          <c:invertIfNegative val="0"/>
          <c:cat>
            <c:strRef>
              <c:f>'Modelo de egresos'!$H$11:$J$11</c:f>
              <c:strCache>
                <c:ptCount val="3"/>
                <c:pt idx="0">
                  <c:v>Año 1</c:v>
                </c:pt>
                <c:pt idx="1">
                  <c:v>Año 2</c:v>
                </c:pt>
                <c:pt idx="2">
                  <c:v>Año 3</c:v>
                </c:pt>
              </c:strCache>
            </c:strRef>
          </c:cat>
          <c:val>
            <c:numRef>
              <c:f>'Modelo de egresos'!$H$15:$J$15</c:f>
              <c:numCache>
                <c:formatCode>"$"\ #,##0.00</c:formatCode>
                <c:ptCount val="3"/>
              </c:numCache>
            </c:numRef>
          </c:val>
          <c:extLst>
            <c:ext xmlns:c16="http://schemas.microsoft.com/office/drawing/2014/chart" uri="{C3380CC4-5D6E-409C-BE32-E72D297353CC}">
              <c16:uniqueId val="{00000003-8733-4324-B66A-B31B32E7B8BD}"/>
            </c:ext>
          </c:extLst>
        </c:ser>
        <c:ser>
          <c:idx val="4"/>
          <c:order val="4"/>
          <c:tx>
            <c:strRef>
              <c:f>'Modelo de egresos'!$G$16</c:f>
              <c:strCache>
                <c:ptCount val="1"/>
                <c:pt idx="0">
                  <c:v>Objetivo</c:v>
                </c:pt>
              </c:strCache>
            </c:strRef>
          </c:tx>
          <c:spPr>
            <a:solidFill>
              <a:schemeClr val="accent5"/>
            </a:solidFill>
            <a:ln>
              <a:noFill/>
            </a:ln>
            <a:effectLst/>
          </c:spPr>
          <c:invertIfNegative val="0"/>
          <c:cat>
            <c:strRef>
              <c:f>'Modelo de egresos'!$H$11:$J$11</c:f>
              <c:strCache>
                <c:ptCount val="3"/>
                <c:pt idx="0">
                  <c:v>Año 1</c:v>
                </c:pt>
                <c:pt idx="1">
                  <c:v>Año 2</c:v>
                </c:pt>
                <c:pt idx="2">
                  <c:v>Año 3</c:v>
                </c:pt>
              </c:strCache>
            </c:strRef>
          </c:cat>
          <c:val>
            <c:numRef>
              <c:f>'Modelo de egresos'!$H$16:$J$16</c:f>
              <c:numCache>
                <c:formatCode>"$"\ #,##0.00</c:formatCode>
                <c:ptCount val="3"/>
                <c:pt idx="0">
                  <c:v>6608038.7999999998</c:v>
                </c:pt>
                <c:pt idx="1">
                  <c:v>11013398</c:v>
                </c:pt>
                <c:pt idx="2">
                  <c:v>15418757.200000001</c:v>
                </c:pt>
              </c:numCache>
            </c:numRef>
          </c:val>
          <c:extLst>
            <c:ext xmlns:c16="http://schemas.microsoft.com/office/drawing/2014/chart" uri="{C3380CC4-5D6E-409C-BE32-E72D297353CC}">
              <c16:uniqueId val="{00000004-8733-4324-B66A-B31B32E7B8BD}"/>
            </c:ext>
          </c:extLst>
        </c:ser>
        <c:ser>
          <c:idx val="5"/>
          <c:order val="5"/>
          <c:tx>
            <c:strRef>
              <c:f>'Modelo de egresos'!$G$17</c:f>
              <c:strCache>
                <c:ptCount val="1"/>
                <c:pt idx="0">
                  <c:v>Costos</c:v>
                </c:pt>
              </c:strCache>
            </c:strRef>
          </c:tx>
          <c:spPr>
            <a:solidFill>
              <a:schemeClr val="accent6"/>
            </a:solidFill>
            <a:ln>
              <a:noFill/>
            </a:ln>
            <a:effectLst/>
          </c:spPr>
          <c:invertIfNegative val="0"/>
          <c:cat>
            <c:strRef>
              <c:f>'Modelo de egresos'!$H$11:$J$11</c:f>
              <c:strCache>
                <c:ptCount val="3"/>
                <c:pt idx="0">
                  <c:v>Año 1</c:v>
                </c:pt>
                <c:pt idx="1">
                  <c:v>Año 2</c:v>
                </c:pt>
                <c:pt idx="2">
                  <c:v>Año 3</c:v>
                </c:pt>
              </c:strCache>
            </c:strRef>
          </c:cat>
          <c:val>
            <c:numRef>
              <c:f>'Modelo de egresos'!$H$17:$J$17</c:f>
              <c:numCache>
                <c:formatCode>"$"\ #,##0.00</c:formatCode>
                <c:ptCount val="3"/>
                <c:pt idx="0">
                  <c:v>6313496.1967142867</c:v>
                </c:pt>
                <c:pt idx="1">
                  <c:v>8850479.8763095234</c:v>
                </c:pt>
                <c:pt idx="2">
                  <c:v>11510856.140166666</c:v>
                </c:pt>
              </c:numCache>
            </c:numRef>
          </c:val>
          <c:extLst>
            <c:ext xmlns:c16="http://schemas.microsoft.com/office/drawing/2014/chart" uri="{C3380CC4-5D6E-409C-BE32-E72D297353CC}">
              <c16:uniqueId val="{00000005-8733-4324-B66A-B31B32E7B8BD}"/>
            </c:ext>
          </c:extLst>
        </c:ser>
        <c:dLbls>
          <c:showLegendKey val="0"/>
          <c:showVal val="0"/>
          <c:showCatName val="0"/>
          <c:showSerName val="0"/>
          <c:showPercent val="0"/>
          <c:showBubbleSize val="0"/>
        </c:dLbls>
        <c:gapWidth val="150"/>
        <c:axId val="288008576"/>
        <c:axId val="289006232"/>
      </c:barChart>
      <c:catAx>
        <c:axId val="288008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89006232"/>
        <c:crosses val="autoZero"/>
        <c:auto val="1"/>
        <c:lblAlgn val="ctr"/>
        <c:lblOffset val="100"/>
        <c:noMultiLvlLbl val="0"/>
      </c:catAx>
      <c:valAx>
        <c:axId val="2890062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880085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0</xdr:col>
      <xdr:colOff>53340</xdr:colOff>
      <xdr:row>0</xdr:row>
      <xdr:rowOff>60961</xdr:rowOff>
    </xdr:from>
    <xdr:to>
      <xdr:col>6</xdr:col>
      <xdr:colOff>769620</xdr:colOff>
      <xdr:row>7</xdr:row>
      <xdr:rowOff>63841</xdr:rowOff>
    </xdr:to>
    <xdr:pic>
      <xdr:nvPicPr>
        <xdr:cNvPr id="5" name="Imagen 4">
          <a:extLst>
            <a:ext uri="{FF2B5EF4-FFF2-40B4-BE49-F238E27FC236}">
              <a16:creationId xmlns:a16="http://schemas.microsoft.com/office/drawing/2014/main" id="{C3BA1F39-8D0C-4DDA-8706-DC95D66FC38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340" y="60961"/>
          <a:ext cx="5471160" cy="1283040"/>
        </a:xfrm>
        <a:prstGeom prst="rect">
          <a:avLst/>
        </a:prstGeom>
      </xdr:spPr>
    </xdr:pic>
    <xdr:clientData/>
  </xdr:twoCellAnchor>
  <xdr:twoCellAnchor editAs="oneCell">
    <xdr:from>
      <xdr:col>2</xdr:col>
      <xdr:colOff>327660</xdr:colOff>
      <xdr:row>10</xdr:row>
      <xdr:rowOff>138950</xdr:rowOff>
    </xdr:from>
    <xdr:to>
      <xdr:col>4</xdr:col>
      <xdr:colOff>342900</xdr:colOff>
      <xdr:row>16</xdr:row>
      <xdr:rowOff>103567</xdr:rowOff>
    </xdr:to>
    <xdr:pic>
      <xdr:nvPicPr>
        <xdr:cNvPr id="4" name="Imagen 3">
          <a:extLst>
            <a:ext uri="{FF2B5EF4-FFF2-40B4-BE49-F238E27FC236}">
              <a16:creationId xmlns:a16="http://schemas.microsoft.com/office/drawing/2014/main" id="{E6DC3853-FE5A-4DA2-950F-11871373A6C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12620" y="2211590"/>
          <a:ext cx="1600200" cy="106189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53340</xdr:colOff>
      <xdr:row>0</xdr:row>
      <xdr:rowOff>60961</xdr:rowOff>
    </xdr:from>
    <xdr:to>
      <xdr:col>6</xdr:col>
      <xdr:colOff>769620</xdr:colOff>
      <xdr:row>7</xdr:row>
      <xdr:rowOff>63841</xdr:rowOff>
    </xdr:to>
    <xdr:pic>
      <xdr:nvPicPr>
        <xdr:cNvPr id="3" name="Imagen 2">
          <a:extLst>
            <a:ext uri="{FF2B5EF4-FFF2-40B4-BE49-F238E27FC236}">
              <a16:creationId xmlns:a16="http://schemas.microsoft.com/office/drawing/2014/main" id="{3D5F907E-5639-4FA5-A412-9B7599DF0F0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340" y="60961"/>
          <a:ext cx="5471160" cy="12830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9</xdr:col>
      <xdr:colOff>630382</xdr:colOff>
      <xdr:row>3</xdr:row>
      <xdr:rowOff>13855</xdr:rowOff>
    </xdr:from>
    <xdr:to>
      <xdr:col>17</xdr:col>
      <xdr:colOff>7620</xdr:colOff>
      <xdr:row>11</xdr:row>
      <xdr:rowOff>15240</xdr:rowOff>
    </xdr:to>
    <xdr:graphicFrame macro="">
      <xdr:nvGraphicFramePr>
        <xdr:cNvPr id="2" name="Gráfico 1">
          <a:extLst>
            <a:ext uri="{FF2B5EF4-FFF2-40B4-BE49-F238E27FC236}">
              <a16:creationId xmlns:a16="http://schemas.microsoft.com/office/drawing/2014/main" id="{258D8502-F5D8-4CB3-984A-B5949E2C12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0</xdr:colOff>
      <xdr:row>8</xdr:row>
      <xdr:rowOff>0</xdr:rowOff>
    </xdr:from>
    <xdr:to>
      <xdr:col>8</xdr:col>
      <xdr:colOff>15240</xdr:colOff>
      <xdr:row>27</xdr:row>
      <xdr:rowOff>15240</xdr:rowOff>
    </xdr:to>
    <xdr:graphicFrame macro="">
      <xdr:nvGraphicFramePr>
        <xdr:cNvPr id="2" name="Gráfico 1">
          <a:extLst>
            <a:ext uri="{FF2B5EF4-FFF2-40B4-BE49-F238E27FC236}">
              <a16:creationId xmlns:a16="http://schemas.microsoft.com/office/drawing/2014/main" id="{B511ED06-E660-4790-BACA-0A599B1886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53787</xdr:colOff>
      <xdr:row>21</xdr:row>
      <xdr:rowOff>31599</xdr:rowOff>
    </xdr:from>
    <xdr:to>
      <xdr:col>10</xdr:col>
      <xdr:colOff>53789</xdr:colOff>
      <xdr:row>44</xdr:row>
      <xdr:rowOff>170329</xdr:rowOff>
    </xdr:to>
    <xdr:graphicFrame macro="">
      <xdr:nvGraphicFramePr>
        <xdr:cNvPr id="6" name="Gráfico 5">
          <a:extLst>
            <a:ext uri="{FF2B5EF4-FFF2-40B4-BE49-F238E27FC236}">
              <a16:creationId xmlns:a16="http://schemas.microsoft.com/office/drawing/2014/main" id="{E03A4525-45E0-421D-A7A4-668DAB9EDD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s://articulo.mercadolibre.com.ar/MLA-616370152-mesa-directorio-180x090-color-a-eleccion-reunion-_JM" TargetMode="External"/><Relationship Id="rId13" Type="http://schemas.openxmlformats.org/officeDocument/2006/relationships/hyperlink" Target="https://articulo.mercadolibre.com.ar/MLA-636717811-kit-teclado-y-mouse-optico-genius-km130-usb-pc-xellers-_JM" TargetMode="External"/><Relationship Id="rId18" Type="http://schemas.openxmlformats.org/officeDocument/2006/relationships/hyperlink" Target="https://articulo.mercadolibre.com.ar/MLA-738149812-pc-completa-intel-core-i5-monitor-led-19-usb-30-garantia-_JM" TargetMode="External"/><Relationship Id="rId26" Type="http://schemas.openxmlformats.org/officeDocument/2006/relationships/hyperlink" Target="https://articulo.mercadolibre.com.ar/MLA-636717811-kit-teclado-y-mouse-optico-genius-km130-usb-pc-xellers-_JM" TargetMode="External"/><Relationship Id="rId3" Type="http://schemas.openxmlformats.org/officeDocument/2006/relationships/hyperlink" Target="https://articulo.mercadolibre.com.ar/MLA-636717811-kit-teclado-y-mouse-optico-genius-km130-usb-pc-xellers-_JM" TargetMode="External"/><Relationship Id="rId21" Type="http://schemas.openxmlformats.org/officeDocument/2006/relationships/hyperlink" Target="https://developer.vuforia.com/vui/pricing" TargetMode="External"/><Relationship Id="rId7" Type="http://schemas.openxmlformats.org/officeDocument/2006/relationships/hyperlink" Target="https://articulo.mercadolibre.com.ar/MLA-734118919-cyberpower-smart-app-sinewave-pr1000lcdrt2u-1000va-ups-_JM" TargetMode="External"/><Relationship Id="rId12" Type="http://schemas.openxmlformats.org/officeDocument/2006/relationships/hyperlink" Target="https://articulo.mercadolibre.com.ar/MLA-738149812-pc-completa-intel-core-i5-monitor-led-19-usb-30-garantia-_JM" TargetMode="External"/><Relationship Id="rId17" Type="http://schemas.openxmlformats.org/officeDocument/2006/relationships/hyperlink" Target="https://articulo.mercadolibre.com.ar/MLA-738266391-silla-operativa-oficina-silla-de-escritorio-pc-_JM" TargetMode="External"/><Relationship Id="rId25" Type="http://schemas.openxmlformats.org/officeDocument/2006/relationships/hyperlink" Target="https://articulo.mercadolibre.com.ar/MLA-727942607-notebook-gamer-hp-omen-15-ce002la-core-i7-12gb-1tb-gtx-1050-_JM" TargetMode="External"/><Relationship Id="rId2" Type="http://schemas.openxmlformats.org/officeDocument/2006/relationships/hyperlink" Target="https://articulo.mercadolibre.com.ar/MLA-727942607-notebook-gamer-hp-omen-15-ce002la-core-i7-12gb-1tb-gtx-1050-_JM" TargetMode="External"/><Relationship Id="rId16" Type="http://schemas.openxmlformats.org/officeDocument/2006/relationships/hyperlink" Target="https://articulo.mercadolibre.com.ar/MLA-616370152-mesa-directorio-180x090-color-a-eleccion-reunion-_JM" TargetMode="External"/><Relationship Id="rId20" Type="http://schemas.openxmlformats.org/officeDocument/2006/relationships/hyperlink" Target="https://articulo.mercadolibre.com.ar/MLA-636717811-kit-teclado-y-mouse-optico-genius-km130-usb-pc-xellers-_JM" TargetMode="External"/><Relationship Id="rId29" Type="http://schemas.openxmlformats.org/officeDocument/2006/relationships/hyperlink" Target="https://articulo.mercadolibre.com.ar/MLA-616370152-mesa-directorio-180x090-color-a-eleccion-reunion-_JM" TargetMode="External"/><Relationship Id="rId1" Type="http://schemas.openxmlformats.org/officeDocument/2006/relationships/hyperlink" Target="https://articulo.mercadolibre.com.ar/MLA-738149812-pc-completa-intel-core-i5-monitor-led-19-usb-30-garantia-_JM" TargetMode="External"/><Relationship Id="rId6" Type="http://schemas.openxmlformats.org/officeDocument/2006/relationships/hyperlink" Target="https://es.atlassian.com/software/jira/pricing" TargetMode="External"/><Relationship Id="rId11" Type="http://schemas.openxmlformats.org/officeDocument/2006/relationships/hyperlink" Target="https://articulo.mercadolibre.com.ar/MLA-637503000-matafuego-5kg-abc-ctarjeta-baliza-soporte-habilitacion-_JM" TargetMode="External"/><Relationship Id="rId24" Type="http://schemas.openxmlformats.org/officeDocument/2006/relationships/hyperlink" Target="https://articulo.mercadolibre.com.ar/MLA-738149812-pc-completa-intel-core-i5-monitor-led-19-usb-30-garantia-_JM" TargetMode="External"/><Relationship Id="rId5" Type="http://schemas.openxmlformats.org/officeDocument/2006/relationships/hyperlink" Target="https://store.unity.com/es" TargetMode="External"/><Relationship Id="rId15" Type="http://schemas.openxmlformats.org/officeDocument/2006/relationships/hyperlink" Target="https://store.unity.com/es" TargetMode="External"/><Relationship Id="rId23" Type="http://schemas.openxmlformats.org/officeDocument/2006/relationships/hyperlink" Target="https://articulo.mercadolibre.com.ar/MLA-738266391-silla-operativa-oficina-silla-de-escritorio-pc-_JM" TargetMode="External"/><Relationship Id="rId28" Type="http://schemas.openxmlformats.org/officeDocument/2006/relationships/hyperlink" Target="https://store.unity.com/es" TargetMode="External"/><Relationship Id="rId10" Type="http://schemas.openxmlformats.org/officeDocument/2006/relationships/hyperlink" Target="https://articulo.mercadolibre.com.ar/MLA-700654949-biblioteca-baja-con-alzada-escritorio-archivo-007-megan-100-_JM" TargetMode="External"/><Relationship Id="rId19" Type="http://schemas.openxmlformats.org/officeDocument/2006/relationships/hyperlink" Target="https://articulo.mercadolibre.com.ar/MLA-727942607-notebook-gamer-hp-omen-15-ce002la-core-i7-12gb-1tb-gtx-1050-_JM" TargetMode="External"/><Relationship Id="rId31" Type="http://schemas.openxmlformats.org/officeDocument/2006/relationships/printerSettings" Target="../printerSettings/printerSettings8.bin"/><Relationship Id="rId4" Type="http://schemas.openxmlformats.org/officeDocument/2006/relationships/hyperlink" Target="https://developer.vuforia.com/vui/pricing" TargetMode="External"/><Relationship Id="rId9" Type="http://schemas.openxmlformats.org/officeDocument/2006/relationships/hyperlink" Target="https://articulo.mercadolibre.com.ar/MLA-738266391-silla-operativa-oficina-silla-de-escritorio-pc-_JM" TargetMode="External"/><Relationship Id="rId14" Type="http://schemas.openxmlformats.org/officeDocument/2006/relationships/hyperlink" Target="https://developer.vuforia.com/vui/pricing" TargetMode="External"/><Relationship Id="rId22" Type="http://schemas.openxmlformats.org/officeDocument/2006/relationships/hyperlink" Target="https://store.unity.com/es" TargetMode="External"/><Relationship Id="rId27" Type="http://schemas.openxmlformats.org/officeDocument/2006/relationships/hyperlink" Target="https://developer.vuforia.com/vui/pricing" TargetMode="External"/><Relationship Id="rId30" Type="http://schemas.openxmlformats.org/officeDocument/2006/relationships/hyperlink" Target="https://articulo.mercadolibre.com.ar/MLA-738266391-silla-operativa-oficina-silla-de-escritorio-pc-_JM"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2EFD6-2A24-4541-8A4A-2C16A94D1DB3}">
  <dimension ref="A9:G25"/>
  <sheetViews>
    <sheetView showGridLines="0" zoomScaleNormal="100" workbookViewId="0">
      <selection activeCell="A23" sqref="A23:G23"/>
    </sheetView>
  </sheetViews>
  <sheetFormatPr baseColWidth="10" defaultRowHeight="14.4" x14ac:dyDescent="0.3"/>
  <sheetData>
    <row r="9" spans="1:7" ht="33.6" x14ac:dyDescent="0.65">
      <c r="A9" s="682" t="s">
        <v>22</v>
      </c>
      <c r="B9" s="682"/>
      <c r="C9" s="682"/>
      <c r="D9" s="682"/>
      <c r="E9" s="682"/>
      <c r="F9" s="682"/>
      <c r="G9" s="682"/>
    </row>
    <row r="18" spans="1:7" ht="21" x14ac:dyDescent="0.4">
      <c r="A18" s="683" t="s">
        <v>23</v>
      </c>
      <c r="B18" s="684"/>
      <c r="C18" s="684"/>
      <c r="D18" s="684"/>
      <c r="E18" s="684"/>
      <c r="F18" s="684"/>
      <c r="G18" s="684"/>
    </row>
    <row r="23" spans="1:7" ht="61.2" customHeight="1" x14ac:dyDescent="0.3">
      <c r="A23" s="681" t="s">
        <v>45</v>
      </c>
      <c r="B23" s="681"/>
      <c r="C23" s="681"/>
      <c r="D23" s="681"/>
      <c r="E23" s="681"/>
      <c r="F23" s="681"/>
      <c r="G23" s="681"/>
    </row>
    <row r="25" spans="1:7" x14ac:dyDescent="0.3">
      <c r="A25" s="680"/>
      <c r="B25" s="680"/>
      <c r="C25" s="680"/>
      <c r="D25" s="680"/>
      <c r="E25" s="680"/>
      <c r="F25" s="680"/>
      <c r="G25" s="680"/>
    </row>
  </sheetData>
  <mergeCells count="4">
    <mergeCell ref="A25:G25"/>
    <mergeCell ref="A23:G23"/>
    <mergeCell ref="A9:G9"/>
    <mergeCell ref="A18:G18"/>
  </mergeCells>
  <pageMargins left="0.7" right="0.7" top="0.75" bottom="0.75" header="0.3" footer="0.3"/>
  <pageSetup paperSize="9" orientation="portrait" horizontalDpi="0"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0DE6A-13A6-482E-99E5-CB2265E12776}">
  <dimension ref="A1:M76"/>
  <sheetViews>
    <sheetView showGridLines="0" zoomScaleNormal="100" workbookViewId="0">
      <pane ySplit="2" topLeftCell="A3" activePane="bottomLeft" state="frozen"/>
      <selection pane="bottomLeft" sqref="A1:M1"/>
    </sheetView>
  </sheetViews>
  <sheetFormatPr baseColWidth="10" defaultRowHeight="14.4" x14ac:dyDescent="0.3"/>
  <cols>
    <col min="1" max="1" width="37.109375" bestFit="1" customWidth="1"/>
    <col min="2" max="2" width="8.21875" bestFit="1" customWidth="1"/>
    <col min="3" max="3" width="14.109375" customWidth="1"/>
    <col min="4" max="4" width="15.33203125" customWidth="1"/>
    <col min="5" max="5" width="50.5546875" bestFit="1" customWidth="1"/>
    <col min="6" max="6" width="4.33203125" customWidth="1"/>
    <col min="7" max="7" width="8.77734375" bestFit="1" customWidth="1"/>
    <col min="8" max="8" width="13.6640625" customWidth="1"/>
    <col min="9" max="9" width="10.44140625" bestFit="1" customWidth="1"/>
    <col min="10" max="11" width="11.44140625" bestFit="1" customWidth="1"/>
    <col min="12" max="12" width="2.6640625" customWidth="1"/>
  </cols>
  <sheetData>
    <row r="1" spans="1:13" ht="21" x14ac:dyDescent="0.4">
      <c r="A1" s="686" t="s">
        <v>220</v>
      </c>
      <c r="B1" s="686"/>
      <c r="C1" s="686"/>
      <c r="D1" s="686"/>
      <c r="E1" s="686"/>
      <c r="F1" s="686"/>
      <c r="G1" s="686"/>
      <c r="H1" s="686"/>
      <c r="I1" s="686"/>
      <c r="J1" s="686"/>
      <c r="K1" s="686"/>
      <c r="L1" s="686"/>
      <c r="M1" s="686"/>
    </row>
    <row r="2" spans="1:13" ht="19.8" customHeight="1" x14ac:dyDescent="0.65">
      <c r="A2" s="502" t="s">
        <v>299</v>
      </c>
      <c r="C2" s="12"/>
      <c r="D2" s="740" t="s">
        <v>35</v>
      </c>
      <c r="E2" s="740"/>
      <c r="M2" s="502" t="s">
        <v>301</v>
      </c>
    </row>
    <row r="4" spans="1:13" x14ac:dyDescent="0.3">
      <c r="G4" s="14"/>
      <c r="H4" s="529" t="s">
        <v>221</v>
      </c>
      <c r="I4" s="527" t="s">
        <v>47</v>
      </c>
      <c r="J4" s="527" t="s">
        <v>48</v>
      </c>
      <c r="K4" s="528" t="s">
        <v>49</v>
      </c>
    </row>
    <row r="5" spans="1:13" x14ac:dyDescent="0.3">
      <c r="A5" s="815" t="s">
        <v>225</v>
      </c>
      <c r="B5" s="816"/>
      <c r="C5" s="816"/>
      <c r="D5" s="816"/>
      <c r="E5" s="281"/>
      <c r="G5" s="530" t="s">
        <v>250</v>
      </c>
      <c r="H5" s="525">
        <f>D27</f>
        <v>1285744</v>
      </c>
      <c r="I5" s="525">
        <f>D43</f>
        <v>72198</v>
      </c>
      <c r="J5" s="525">
        <f>D59</f>
        <v>171827</v>
      </c>
      <c r="K5" s="526">
        <f>D76</f>
        <v>157108</v>
      </c>
    </row>
    <row r="6" spans="1:13" x14ac:dyDescent="0.3">
      <c r="A6" s="292" t="s">
        <v>230</v>
      </c>
      <c r="B6" s="279"/>
      <c r="C6" s="279"/>
      <c r="D6" s="279"/>
      <c r="E6" s="281"/>
    </row>
    <row r="7" spans="1:13" x14ac:dyDescent="0.3">
      <c r="A7" s="267" t="s">
        <v>121</v>
      </c>
      <c r="B7" s="268" t="s">
        <v>222</v>
      </c>
      <c r="C7" s="268" t="s">
        <v>223</v>
      </c>
      <c r="D7" s="268" t="s">
        <v>46</v>
      </c>
      <c r="E7" s="286" t="s">
        <v>224</v>
      </c>
    </row>
    <row r="8" spans="1:13" ht="28.8" x14ac:dyDescent="0.3">
      <c r="A8" s="282" t="s">
        <v>227</v>
      </c>
      <c r="B8" s="283">
        <v>4</v>
      </c>
      <c r="C8" s="284">
        <v>15000</v>
      </c>
      <c r="D8" s="285">
        <f>B8*C8</f>
        <v>60000</v>
      </c>
      <c r="E8" s="340" t="s">
        <v>226</v>
      </c>
    </row>
    <row r="9" spans="1:13" ht="43.2" x14ac:dyDescent="0.3">
      <c r="A9" s="273" t="s">
        <v>229</v>
      </c>
      <c r="B9" s="274">
        <v>1</v>
      </c>
      <c r="C9" s="85">
        <v>50000</v>
      </c>
      <c r="D9" s="103">
        <f>B9*C9</f>
        <v>50000</v>
      </c>
      <c r="E9" s="275" t="s">
        <v>228</v>
      </c>
    </row>
    <row r="10" spans="1:13" ht="28.8" x14ac:dyDescent="0.3">
      <c r="A10" s="270" t="s">
        <v>249</v>
      </c>
      <c r="B10" s="271">
        <v>4</v>
      </c>
      <c r="C10" s="118">
        <v>369</v>
      </c>
      <c r="D10" s="294">
        <f>B10*C10</f>
        <v>1476</v>
      </c>
      <c r="E10" s="272" t="s">
        <v>231</v>
      </c>
    </row>
    <row r="11" spans="1:13" ht="43.2" x14ac:dyDescent="0.3">
      <c r="A11" s="273" t="s">
        <v>239</v>
      </c>
      <c r="B11" s="274">
        <v>1</v>
      </c>
      <c r="C11" s="85">
        <v>15400</v>
      </c>
      <c r="D11" s="103">
        <f>B11*C11</f>
        <v>15400</v>
      </c>
      <c r="E11" s="277" t="s">
        <v>238</v>
      </c>
    </row>
    <row r="12" spans="1:13" ht="43.2" x14ac:dyDescent="0.3">
      <c r="A12" s="336" t="s">
        <v>252</v>
      </c>
      <c r="B12" s="337">
        <v>1</v>
      </c>
      <c r="C12" s="338">
        <v>14950</v>
      </c>
      <c r="D12" s="339">
        <f>B12*C12</f>
        <v>14950</v>
      </c>
      <c r="E12" s="341" t="s">
        <v>251</v>
      </c>
    </row>
    <row r="13" spans="1:13" x14ac:dyDescent="0.3">
      <c r="A13" s="293" t="s">
        <v>232</v>
      </c>
      <c r="B13" s="290"/>
      <c r="C13" s="290"/>
      <c r="D13" s="291"/>
      <c r="E13" s="289"/>
    </row>
    <row r="14" spans="1:13" x14ac:dyDescent="0.3">
      <c r="A14" s="267" t="s">
        <v>121</v>
      </c>
      <c r="B14" s="268" t="s">
        <v>222</v>
      </c>
      <c r="C14" s="268" t="s">
        <v>223</v>
      </c>
      <c r="D14" s="268" t="s">
        <v>46</v>
      </c>
      <c r="E14" s="288" t="s">
        <v>224</v>
      </c>
    </row>
    <row r="15" spans="1:13" x14ac:dyDescent="0.3">
      <c r="A15" s="282" t="s">
        <v>235</v>
      </c>
      <c r="B15" s="283">
        <v>1</v>
      </c>
      <c r="C15" s="284">
        <v>19960</v>
      </c>
      <c r="D15" s="285">
        <f>B15*C15</f>
        <v>19960</v>
      </c>
      <c r="E15" s="295" t="s">
        <v>233</v>
      </c>
    </row>
    <row r="16" spans="1:13" x14ac:dyDescent="0.3">
      <c r="A16" s="276" t="s">
        <v>234</v>
      </c>
      <c r="B16" s="60">
        <v>1</v>
      </c>
      <c r="C16" s="83">
        <v>12000</v>
      </c>
      <c r="D16" s="101">
        <f>B16*C16</f>
        <v>12000</v>
      </c>
      <c r="E16" s="296" t="s">
        <v>236</v>
      </c>
    </row>
    <row r="17" spans="1:6" x14ac:dyDescent="0.3">
      <c r="A17" s="287" t="s">
        <v>151</v>
      </c>
      <c r="B17" s="187">
        <v>1</v>
      </c>
      <c r="C17" s="89">
        <v>4800</v>
      </c>
      <c r="D17" s="104">
        <f>B17*C17</f>
        <v>4800</v>
      </c>
      <c r="E17" s="297" t="s">
        <v>237</v>
      </c>
    </row>
    <row r="18" spans="1:6" x14ac:dyDescent="0.3">
      <c r="A18" s="293" t="s">
        <v>241</v>
      </c>
      <c r="B18" s="290"/>
      <c r="C18" s="290"/>
      <c r="D18" s="291"/>
      <c r="E18" s="280"/>
      <c r="F18" s="44"/>
    </row>
    <row r="19" spans="1:6" x14ac:dyDescent="0.3">
      <c r="A19" s="267" t="s">
        <v>121</v>
      </c>
      <c r="B19" s="268" t="s">
        <v>222</v>
      </c>
      <c r="C19" s="268" t="s">
        <v>223</v>
      </c>
      <c r="D19" s="269" t="s">
        <v>46</v>
      </c>
      <c r="E19" s="286" t="s">
        <v>224</v>
      </c>
    </row>
    <row r="20" spans="1:6" ht="28.8" x14ac:dyDescent="0.3">
      <c r="A20" s="270" t="s">
        <v>240</v>
      </c>
      <c r="B20" s="271">
        <v>1</v>
      </c>
      <c r="C20" s="118">
        <v>3600</v>
      </c>
      <c r="D20" s="294">
        <f>B20*C20</f>
        <v>3600</v>
      </c>
      <c r="E20" s="272" t="s">
        <v>242</v>
      </c>
    </row>
    <row r="21" spans="1:6" ht="28.8" x14ac:dyDescent="0.3">
      <c r="A21" s="276" t="s">
        <v>244</v>
      </c>
      <c r="B21" s="60">
        <v>5</v>
      </c>
      <c r="C21" s="83">
        <v>2950</v>
      </c>
      <c r="D21" s="101">
        <f>B21*C21</f>
        <v>14750</v>
      </c>
      <c r="E21" s="277" t="s">
        <v>243</v>
      </c>
    </row>
    <row r="22" spans="1:6" ht="43.2" x14ac:dyDescent="0.3">
      <c r="A22" s="270" t="s">
        <v>245</v>
      </c>
      <c r="B22" s="271">
        <v>1</v>
      </c>
      <c r="C22" s="118">
        <v>4500</v>
      </c>
      <c r="D22" s="294">
        <f>B22*C22</f>
        <v>4500</v>
      </c>
      <c r="E22" s="272" t="s">
        <v>246</v>
      </c>
    </row>
    <row r="23" spans="1:6" ht="43.2" x14ac:dyDescent="0.3">
      <c r="A23" s="331" t="s">
        <v>247</v>
      </c>
      <c r="B23" s="332">
        <v>2</v>
      </c>
      <c r="C23" s="333">
        <v>2154</v>
      </c>
      <c r="D23" s="334">
        <f>B23*C23</f>
        <v>4308</v>
      </c>
      <c r="E23" s="278" t="s">
        <v>248</v>
      </c>
    </row>
    <row r="24" spans="1:6" x14ac:dyDescent="0.3">
      <c r="A24" s="293" t="s">
        <v>284</v>
      </c>
      <c r="B24" s="290"/>
      <c r="C24" s="290"/>
      <c r="D24" s="291"/>
      <c r="E24" s="280"/>
      <c r="F24" s="44"/>
    </row>
    <row r="25" spans="1:6" x14ac:dyDescent="0.3">
      <c r="A25" s="267" t="s">
        <v>121</v>
      </c>
      <c r="B25" s="268" t="s">
        <v>286</v>
      </c>
      <c r="C25" s="268" t="s">
        <v>288</v>
      </c>
      <c r="D25" s="269" t="s">
        <v>46</v>
      </c>
      <c r="E25" s="286" t="s">
        <v>224</v>
      </c>
    </row>
    <row r="26" spans="1:6" x14ac:dyDescent="0.3">
      <c r="A26" s="270" t="s">
        <v>285</v>
      </c>
      <c r="B26" s="271">
        <v>3</v>
      </c>
      <c r="C26" s="118">
        <v>360000</v>
      </c>
      <c r="D26" s="294">
        <f>B26*C26</f>
        <v>1080000</v>
      </c>
      <c r="E26" s="501" t="s">
        <v>287</v>
      </c>
    </row>
    <row r="27" spans="1:6" x14ac:dyDescent="0.3">
      <c r="A27" s="823" t="s">
        <v>46</v>
      </c>
      <c r="B27" s="824"/>
      <c r="C27" s="824"/>
      <c r="D27" s="298">
        <f>SUM(D8:D26)</f>
        <v>1285744</v>
      </c>
      <c r="E27" s="8"/>
    </row>
    <row r="28" spans="1:6" x14ac:dyDescent="0.3">
      <c r="C28" s="5"/>
      <c r="D28" s="5"/>
      <c r="E28" s="8"/>
    </row>
    <row r="29" spans="1:6" x14ac:dyDescent="0.3">
      <c r="C29" s="5"/>
      <c r="D29" s="5"/>
      <c r="E29" s="8"/>
    </row>
    <row r="30" spans="1:6" x14ac:dyDescent="0.3">
      <c r="A30" s="782" t="s">
        <v>47</v>
      </c>
      <c r="B30" s="783"/>
      <c r="C30" s="783"/>
      <c r="D30" s="783"/>
      <c r="E30" s="281"/>
    </row>
    <row r="31" spans="1:6" x14ac:dyDescent="0.3">
      <c r="A31" s="300" t="s">
        <v>230</v>
      </c>
      <c r="B31" s="299"/>
      <c r="C31" s="299"/>
      <c r="D31" s="299"/>
      <c r="E31" s="281"/>
    </row>
    <row r="32" spans="1:6" x14ac:dyDescent="0.3">
      <c r="A32" s="301" t="s">
        <v>121</v>
      </c>
      <c r="B32" s="302" t="s">
        <v>222</v>
      </c>
      <c r="C32" s="302" t="s">
        <v>223</v>
      </c>
      <c r="D32" s="302" t="s">
        <v>46</v>
      </c>
      <c r="E32" s="194" t="s">
        <v>224</v>
      </c>
    </row>
    <row r="33" spans="1:5" ht="28.8" x14ac:dyDescent="0.3">
      <c r="A33" s="282" t="s">
        <v>227</v>
      </c>
      <c r="B33" s="283">
        <v>2</v>
      </c>
      <c r="C33" s="284">
        <v>15000</v>
      </c>
      <c r="D33" s="285">
        <f>B33*C33</f>
        <v>30000</v>
      </c>
      <c r="E33" s="272" t="s">
        <v>226</v>
      </c>
    </row>
    <row r="34" spans="1:5" ht="28.8" x14ac:dyDescent="0.3">
      <c r="A34" s="273" t="s">
        <v>249</v>
      </c>
      <c r="B34" s="274">
        <v>2</v>
      </c>
      <c r="C34" s="85">
        <v>369</v>
      </c>
      <c r="D34" s="103">
        <f>B34*C34</f>
        <v>738</v>
      </c>
      <c r="E34" s="272" t="s">
        <v>231</v>
      </c>
    </row>
    <row r="35" spans="1:5" x14ac:dyDescent="0.3">
      <c r="A35" s="314" t="s">
        <v>232</v>
      </c>
      <c r="B35" s="315"/>
      <c r="C35" s="315"/>
      <c r="D35" s="316"/>
      <c r="E35" s="289"/>
    </row>
    <row r="36" spans="1:5" x14ac:dyDescent="0.3">
      <c r="A36" s="317" t="s">
        <v>121</v>
      </c>
      <c r="B36" s="192" t="s">
        <v>222</v>
      </c>
      <c r="C36" s="192" t="s">
        <v>223</v>
      </c>
      <c r="D36" s="193" t="s">
        <v>46</v>
      </c>
      <c r="E36" s="303" t="s">
        <v>224</v>
      </c>
    </row>
    <row r="37" spans="1:5" x14ac:dyDescent="0.3">
      <c r="A37" s="282" t="s">
        <v>235</v>
      </c>
      <c r="B37" s="283">
        <v>1</v>
      </c>
      <c r="C37" s="284">
        <v>19960</v>
      </c>
      <c r="D37" s="285">
        <f>B37*C37</f>
        <v>19960</v>
      </c>
      <c r="E37" s="295" t="s">
        <v>233</v>
      </c>
    </row>
    <row r="38" spans="1:5" x14ac:dyDescent="0.3">
      <c r="A38" s="276" t="s">
        <v>234</v>
      </c>
      <c r="B38" s="60">
        <v>1</v>
      </c>
      <c r="C38" s="83">
        <v>12000</v>
      </c>
      <c r="D38" s="101">
        <f>B38*C38</f>
        <v>12000</v>
      </c>
      <c r="E38" s="304" t="s">
        <v>236</v>
      </c>
    </row>
    <row r="39" spans="1:5" x14ac:dyDescent="0.3">
      <c r="A39" s="314" t="s">
        <v>241</v>
      </c>
      <c r="B39" s="315"/>
      <c r="C39" s="315"/>
      <c r="D39" s="316"/>
      <c r="E39" s="280"/>
    </row>
    <row r="40" spans="1:5" x14ac:dyDescent="0.3">
      <c r="A40" s="317" t="s">
        <v>121</v>
      </c>
      <c r="B40" s="192" t="s">
        <v>222</v>
      </c>
      <c r="C40" s="192" t="s">
        <v>223</v>
      </c>
      <c r="D40" s="193" t="s">
        <v>46</v>
      </c>
      <c r="E40" s="313" t="s">
        <v>224</v>
      </c>
    </row>
    <row r="41" spans="1:5" ht="28.8" x14ac:dyDescent="0.3">
      <c r="A41" s="270" t="s">
        <v>240</v>
      </c>
      <c r="B41" s="271">
        <v>1</v>
      </c>
      <c r="C41" s="118">
        <v>3600</v>
      </c>
      <c r="D41" s="294">
        <f>B41*C41</f>
        <v>3600</v>
      </c>
      <c r="E41" s="272" t="s">
        <v>242</v>
      </c>
    </row>
    <row r="42" spans="1:5" ht="28.8" x14ac:dyDescent="0.3">
      <c r="A42" s="273" t="s">
        <v>244</v>
      </c>
      <c r="B42" s="274">
        <v>2</v>
      </c>
      <c r="C42" s="85">
        <v>2950</v>
      </c>
      <c r="D42" s="103">
        <f>B42*C42</f>
        <v>5900</v>
      </c>
      <c r="E42" s="304" t="s">
        <v>243</v>
      </c>
    </row>
    <row r="43" spans="1:5" x14ac:dyDescent="0.3">
      <c r="A43" s="817" t="s">
        <v>46</v>
      </c>
      <c r="B43" s="818"/>
      <c r="C43" s="818"/>
      <c r="D43" s="242">
        <f>SUM(D33:D42)</f>
        <v>72198</v>
      </c>
      <c r="E43" s="8"/>
    </row>
    <row r="46" spans="1:5" x14ac:dyDescent="0.3">
      <c r="A46" s="807" t="s">
        <v>48</v>
      </c>
      <c r="B46" s="808"/>
      <c r="C46" s="808"/>
      <c r="D46" s="809"/>
      <c r="E46" s="281"/>
    </row>
    <row r="47" spans="1:5" x14ac:dyDescent="0.3">
      <c r="A47" s="305" t="s">
        <v>230</v>
      </c>
      <c r="B47" s="306"/>
      <c r="C47" s="306"/>
      <c r="D47" s="318"/>
      <c r="E47" s="281"/>
    </row>
    <row r="48" spans="1:5" x14ac:dyDescent="0.3">
      <c r="A48" s="312" t="s">
        <v>121</v>
      </c>
      <c r="B48" s="198" t="s">
        <v>222</v>
      </c>
      <c r="C48" s="198" t="s">
        <v>223</v>
      </c>
      <c r="D48" s="199" t="s">
        <v>46</v>
      </c>
      <c r="E48" s="200" t="s">
        <v>224</v>
      </c>
    </row>
    <row r="49" spans="1:5" ht="28.8" x14ac:dyDescent="0.3">
      <c r="A49" s="282" t="s">
        <v>227</v>
      </c>
      <c r="B49" s="283">
        <v>3</v>
      </c>
      <c r="C49" s="284">
        <v>15000</v>
      </c>
      <c r="D49" s="285">
        <f>B49*C49</f>
        <v>45000</v>
      </c>
      <c r="E49" s="272" t="s">
        <v>226</v>
      </c>
    </row>
    <row r="50" spans="1:5" ht="43.2" x14ac:dyDescent="0.3">
      <c r="A50" s="273" t="s">
        <v>229</v>
      </c>
      <c r="B50" s="274">
        <v>1</v>
      </c>
      <c r="C50" s="85">
        <v>50000</v>
      </c>
      <c r="D50" s="103">
        <f>B50*C50</f>
        <v>50000</v>
      </c>
      <c r="E50" s="275" t="s">
        <v>228</v>
      </c>
    </row>
    <row r="51" spans="1:5" ht="28.8" x14ac:dyDescent="0.3">
      <c r="A51" s="270" t="s">
        <v>249</v>
      </c>
      <c r="B51" s="271">
        <v>3</v>
      </c>
      <c r="C51" s="118">
        <v>369</v>
      </c>
      <c r="D51" s="294">
        <f>B51*C51</f>
        <v>1107</v>
      </c>
      <c r="E51" s="272" t="s">
        <v>231</v>
      </c>
    </row>
    <row r="52" spans="1:5" x14ac:dyDescent="0.3">
      <c r="A52" s="309" t="s">
        <v>232</v>
      </c>
      <c r="B52" s="310"/>
      <c r="C52" s="310"/>
      <c r="D52" s="311"/>
      <c r="E52" s="289"/>
    </row>
    <row r="53" spans="1:5" x14ac:dyDescent="0.3">
      <c r="A53" s="312" t="s">
        <v>121</v>
      </c>
      <c r="B53" s="198" t="s">
        <v>222</v>
      </c>
      <c r="C53" s="198" t="s">
        <v>223</v>
      </c>
      <c r="D53" s="199" t="s">
        <v>46</v>
      </c>
      <c r="E53" s="307" t="s">
        <v>224</v>
      </c>
    </row>
    <row r="54" spans="1:5" x14ac:dyDescent="0.3">
      <c r="A54" s="282" t="s">
        <v>235</v>
      </c>
      <c r="B54" s="283">
        <v>2</v>
      </c>
      <c r="C54" s="284">
        <v>19960</v>
      </c>
      <c r="D54" s="285">
        <f>B54*C54</f>
        <v>39920</v>
      </c>
      <c r="E54" s="295" t="s">
        <v>233</v>
      </c>
    </row>
    <row r="55" spans="1:5" x14ac:dyDescent="0.3">
      <c r="A55" s="276" t="s">
        <v>234</v>
      </c>
      <c r="B55" s="60">
        <v>2</v>
      </c>
      <c r="C55" s="83">
        <v>12000</v>
      </c>
      <c r="D55" s="101">
        <f>B55*C55</f>
        <v>24000</v>
      </c>
      <c r="E55" s="304" t="s">
        <v>236</v>
      </c>
    </row>
    <row r="56" spans="1:5" x14ac:dyDescent="0.3">
      <c r="A56" s="309" t="s">
        <v>241</v>
      </c>
      <c r="B56" s="310"/>
      <c r="C56" s="310"/>
      <c r="D56" s="311"/>
      <c r="E56" s="280"/>
    </row>
    <row r="57" spans="1:5" x14ac:dyDescent="0.3">
      <c r="A57" s="312" t="s">
        <v>121</v>
      </c>
      <c r="B57" s="198" t="s">
        <v>222</v>
      </c>
      <c r="C57" s="198" t="s">
        <v>223</v>
      </c>
      <c r="D57" s="199" t="s">
        <v>46</v>
      </c>
      <c r="E57" s="308" t="s">
        <v>224</v>
      </c>
    </row>
    <row r="58" spans="1:5" ht="28.8" x14ac:dyDescent="0.3">
      <c r="A58" s="328" t="s">
        <v>244</v>
      </c>
      <c r="B58" s="329">
        <v>4</v>
      </c>
      <c r="C58" s="330">
        <v>2950</v>
      </c>
      <c r="D58" s="147">
        <f>B58*C58</f>
        <v>11800</v>
      </c>
      <c r="E58" s="304" t="s">
        <v>243</v>
      </c>
    </row>
    <row r="59" spans="1:5" x14ac:dyDescent="0.3">
      <c r="A59" s="819" t="s">
        <v>46</v>
      </c>
      <c r="B59" s="820"/>
      <c r="C59" s="820"/>
      <c r="D59" s="243">
        <f>SUM(D49:D58)</f>
        <v>171827</v>
      </c>
      <c r="E59" s="8"/>
    </row>
    <row r="62" spans="1:5" x14ac:dyDescent="0.3">
      <c r="A62" s="811" t="s">
        <v>49</v>
      </c>
      <c r="B62" s="812"/>
      <c r="C62" s="812"/>
      <c r="D62" s="812"/>
      <c r="E62" s="281"/>
    </row>
    <row r="63" spans="1:5" x14ac:dyDescent="0.3">
      <c r="A63" s="319" t="s">
        <v>230</v>
      </c>
      <c r="B63" s="320"/>
      <c r="C63" s="320"/>
      <c r="D63" s="320"/>
      <c r="E63" s="281"/>
    </row>
    <row r="64" spans="1:5" x14ac:dyDescent="0.3">
      <c r="A64" s="321" t="s">
        <v>121</v>
      </c>
      <c r="B64" s="322" t="s">
        <v>222</v>
      </c>
      <c r="C64" s="322" t="s">
        <v>223</v>
      </c>
      <c r="D64" s="322" t="s">
        <v>46</v>
      </c>
      <c r="E64" s="223" t="s">
        <v>224</v>
      </c>
    </row>
    <row r="65" spans="1:5" ht="28.8" x14ac:dyDescent="0.3">
      <c r="A65" s="282" t="s">
        <v>227</v>
      </c>
      <c r="B65" s="283">
        <v>2</v>
      </c>
      <c r="C65" s="284">
        <v>15000</v>
      </c>
      <c r="D65" s="285">
        <f>B65*C65</f>
        <v>30000</v>
      </c>
      <c r="E65" s="272" t="s">
        <v>226</v>
      </c>
    </row>
    <row r="66" spans="1:5" ht="43.2" x14ac:dyDescent="0.3">
      <c r="A66" s="273" t="s">
        <v>229</v>
      </c>
      <c r="B66" s="274">
        <v>1</v>
      </c>
      <c r="C66" s="85">
        <v>50000</v>
      </c>
      <c r="D66" s="103">
        <f>B66*C66</f>
        <v>50000</v>
      </c>
      <c r="E66" s="275" t="s">
        <v>228</v>
      </c>
    </row>
    <row r="67" spans="1:5" ht="28.8" x14ac:dyDescent="0.3">
      <c r="A67" s="270" t="s">
        <v>249</v>
      </c>
      <c r="B67" s="271">
        <v>2</v>
      </c>
      <c r="C67" s="118">
        <v>369</v>
      </c>
      <c r="D67" s="294">
        <f>B67*C67</f>
        <v>738</v>
      </c>
      <c r="E67" s="272" t="s">
        <v>231</v>
      </c>
    </row>
    <row r="68" spans="1:5" x14ac:dyDescent="0.3">
      <c r="A68" s="323" t="s">
        <v>232</v>
      </c>
      <c r="B68" s="324"/>
      <c r="C68" s="324"/>
      <c r="D68" s="325"/>
      <c r="E68" s="289"/>
    </row>
    <row r="69" spans="1:5" x14ac:dyDescent="0.3">
      <c r="A69" s="326" t="s">
        <v>121</v>
      </c>
      <c r="B69" s="221" t="s">
        <v>222</v>
      </c>
      <c r="C69" s="221" t="s">
        <v>223</v>
      </c>
      <c r="D69" s="222" t="s">
        <v>46</v>
      </c>
      <c r="E69" s="327" t="s">
        <v>224</v>
      </c>
    </row>
    <row r="70" spans="1:5" x14ac:dyDescent="0.3">
      <c r="A70" s="282" t="s">
        <v>235</v>
      </c>
      <c r="B70" s="283">
        <v>2</v>
      </c>
      <c r="C70" s="284">
        <v>19960</v>
      </c>
      <c r="D70" s="285">
        <f>B70*C70</f>
        <v>39920</v>
      </c>
      <c r="E70" s="295" t="s">
        <v>233</v>
      </c>
    </row>
    <row r="71" spans="1:5" x14ac:dyDescent="0.3">
      <c r="A71" s="276" t="s">
        <v>234</v>
      </c>
      <c r="B71" s="60">
        <v>2</v>
      </c>
      <c r="C71" s="83">
        <v>12000</v>
      </c>
      <c r="D71" s="101">
        <f>B71*C71</f>
        <v>24000</v>
      </c>
      <c r="E71" s="304" t="s">
        <v>236</v>
      </c>
    </row>
    <row r="72" spans="1:5" x14ac:dyDescent="0.3">
      <c r="A72" s="323" t="s">
        <v>241</v>
      </c>
      <c r="B72" s="324"/>
      <c r="C72" s="324"/>
      <c r="D72" s="325"/>
      <c r="E72" s="280"/>
    </row>
    <row r="73" spans="1:5" x14ac:dyDescent="0.3">
      <c r="A73" s="326" t="s">
        <v>121</v>
      </c>
      <c r="B73" s="221" t="s">
        <v>222</v>
      </c>
      <c r="C73" s="221" t="s">
        <v>223</v>
      </c>
      <c r="D73" s="222" t="s">
        <v>46</v>
      </c>
      <c r="E73" s="223" t="s">
        <v>224</v>
      </c>
    </row>
    <row r="74" spans="1:5" ht="28.8" x14ac:dyDescent="0.3">
      <c r="A74" s="270" t="s">
        <v>240</v>
      </c>
      <c r="B74" s="271">
        <v>1</v>
      </c>
      <c r="C74" s="118">
        <v>3600</v>
      </c>
      <c r="D74" s="294">
        <f>B74*C74</f>
        <v>3600</v>
      </c>
      <c r="E74" s="272" t="s">
        <v>242</v>
      </c>
    </row>
    <row r="75" spans="1:5" ht="28.8" x14ac:dyDescent="0.3">
      <c r="A75" s="273" t="s">
        <v>244</v>
      </c>
      <c r="B75" s="274">
        <v>3</v>
      </c>
      <c r="C75" s="85">
        <v>2950</v>
      </c>
      <c r="D75" s="103">
        <f>B75*C75</f>
        <v>8850</v>
      </c>
      <c r="E75" s="335" t="s">
        <v>243</v>
      </c>
    </row>
    <row r="76" spans="1:5" x14ac:dyDescent="0.3">
      <c r="A76" s="821" t="s">
        <v>46</v>
      </c>
      <c r="B76" s="822"/>
      <c r="C76" s="822"/>
      <c r="D76" s="250">
        <f>SUM(D65:D75)</f>
        <v>157108</v>
      </c>
      <c r="E76" s="8"/>
    </row>
  </sheetData>
  <mergeCells count="10">
    <mergeCell ref="A46:D46"/>
    <mergeCell ref="A59:C59"/>
    <mergeCell ref="A62:D62"/>
    <mergeCell ref="A76:C76"/>
    <mergeCell ref="A27:C27"/>
    <mergeCell ref="A5:D5"/>
    <mergeCell ref="A30:D30"/>
    <mergeCell ref="A43:C43"/>
    <mergeCell ref="A1:M1"/>
    <mergeCell ref="D2:E2"/>
  </mergeCells>
  <hyperlinks>
    <hyperlink ref="E8" r:id="rId1" xr:uid="{A10DB1A6-364E-40C7-805B-2CE1E743D323}"/>
    <hyperlink ref="E9" r:id="rId2" xr:uid="{D194BBE1-AC43-453F-B61A-C3D220B596DB}"/>
    <hyperlink ref="E10" r:id="rId3" xr:uid="{DFCF5A7C-DC3B-4F91-B270-43BAD094A774}"/>
    <hyperlink ref="E15" r:id="rId4" xr:uid="{14B3510E-CBC2-4FD8-B009-DFFE2BDF53AA}"/>
    <hyperlink ref="E16" r:id="rId5" xr:uid="{9CF834CA-2BA4-40FC-B0D4-8E12F914D09A}"/>
    <hyperlink ref="E17" r:id="rId6" xr:uid="{564A3806-BE17-4D78-AABD-7A9C6E28E501}"/>
    <hyperlink ref="E11" r:id="rId7" xr:uid="{62EAC07D-121D-4483-B248-6AE8CDE23B7A}"/>
    <hyperlink ref="E20" r:id="rId8" xr:uid="{68EFA7E2-FBBF-4F87-8D7D-2D6D7234A578}"/>
    <hyperlink ref="E21" r:id="rId9" xr:uid="{56F6366E-37A6-4332-8834-E422E2975011}"/>
    <hyperlink ref="E22" r:id="rId10" xr:uid="{3A0A65D2-9267-4107-BAB3-9C963D02B53E}"/>
    <hyperlink ref="E23" r:id="rId11" xr:uid="{F5B0FC71-75D6-4D1A-A7D2-4EE40BB990D7}"/>
    <hyperlink ref="E33" r:id="rId12" xr:uid="{E8A179FF-8BFC-4F28-85AF-5625B31996DF}"/>
    <hyperlink ref="E34" r:id="rId13" xr:uid="{AF56DC51-4B0E-4373-9F34-2F722EAB1945}"/>
    <hyperlink ref="E37" r:id="rId14" xr:uid="{C78B54FF-D9AE-4F2D-9C45-98BCC59036CC}"/>
    <hyperlink ref="E38" r:id="rId15" xr:uid="{A91E3B83-1ADC-431E-A313-00C5B7578F70}"/>
    <hyperlink ref="E41" r:id="rId16" xr:uid="{6A29148F-DB07-4300-A23B-E40E971DCB9E}"/>
    <hyperlink ref="E42" r:id="rId17" xr:uid="{17CA1CBB-64CF-4FAE-AB35-40E8AD00ACFC}"/>
    <hyperlink ref="E49" r:id="rId18" xr:uid="{118DE2DC-4C1F-43BB-BA2E-FC3B1118FB3A}"/>
    <hyperlink ref="E50" r:id="rId19" xr:uid="{4FD429C3-C4C1-4F0A-8CBA-58FE62D6DE01}"/>
    <hyperlink ref="E51" r:id="rId20" xr:uid="{BD168DEF-7E9C-4241-8331-70A6255E2047}"/>
    <hyperlink ref="E54" r:id="rId21" xr:uid="{3A41611B-31CF-4CF4-AEBB-CBFDB42DC1A0}"/>
    <hyperlink ref="E55" r:id="rId22" xr:uid="{CB6B4EDC-D220-499A-AF4C-E32BC6ECD6AB}"/>
    <hyperlink ref="E58" r:id="rId23" xr:uid="{9B2B914B-C26E-4837-BC65-7D1F8CCB0686}"/>
    <hyperlink ref="E65" r:id="rId24" xr:uid="{D46CE95F-CE0D-4DB3-8E6C-40E8FE3E5BAF}"/>
    <hyperlink ref="E66" r:id="rId25" xr:uid="{1D8372A6-9AA8-4C9A-97CD-1F3E2D02B15A}"/>
    <hyperlink ref="E67" r:id="rId26" xr:uid="{A6BB492F-3CBC-4EF5-8511-293984F02767}"/>
    <hyperlink ref="E70" r:id="rId27" xr:uid="{6C84DE81-286A-41FF-9DF4-FB799D2A102A}"/>
    <hyperlink ref="E71" r:id="rId28" xr:uid="{EEE63801-D4EC-40F0-AE05-C21B38F5E1AB}"/>
    <hyperlink ref="E74" r:id="rId29" xr:uid="{F4AE7B09-DEB7-4D6D-B78D-8A6BA6CB7BDD}"/>
    <hyperlink ref="E75" r:id="rId30" xr:uid="{7E9AFC66-0F58-46C8-BD89-C0BD85E14345}"/>
    <hyperlink ref="D2" location="Índice!A1" display="Regresar al índice" xr:uid="{452D8742-6807-4B74-AFEF-54D3AA3465AA}"/>
    <hyperlink ref="A2" location="'Modelo de egresos'!A1" display="[M. Egresos]" xr:uid="{3500610A-B5DC-4522-AA21-B2E828056C58}"/>
    <hyperlink ref="M2" location="Amortizaciones!A1" display="[Amortizaciones]" xr:uid="{53460239-787A-4733-803D-43B134A69143}"/>
  </hyperlinks>
  <pageMargins left="0.7" right="0.7" top="0.75" bottom="0.75" header="0.3" footer="0.3"/>
  <pageSetup paperSize="9" orientation="portrait" horizontalDpi="0" verticalDpi="0" r:id="rId3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2A897-6527-4D01-A01A-BD9B42E69660}">
  <dimension ref="A1:Q28"/>
  <sheetViews>
    <sheetView showGridLines="0" zoomScaleNormal="100" workbookViewId="0">
      <pane ySplit="2" topLeftCell="A3" activePane="bottomLeft" state="frozen"/>
      <selection pane="bottomLeft" activeCell="I4" sqref="I4:K4"/>
    </sheetView>
  </sheetViews>
  <sheetFormatPr baseColWidth="10" defaultRowHeight="14.4" x14ac:dyDescent="0.3"/>
  <cols>
    <col min="1" max="1" width="9.5546875" bestFit="1" customWidth="1"/>
    <col min="2" max="2" width="10.77734375" bestFit="1" customWidth="1"/>
    <col min="4" max="4" width="14.33203125" customWidth="1"/>
    <col min="5" max="5" width="8.44140625" bestFit="1" customWidth="1"/>
    <col min="6" max="6" width="10.77734375" bestFit="1" customWidth="1"/>
    <col min="7" max="7" width="11.88671875" bestFit="1" customWidth="1"/>
    <col min="8" max="8" width="10.6640625" bestFit="1" customWidth="1"/>
    <col min="9" max="11" width="10.77734375" bestFit="1" customWidth="1"/>
  </cols>
  <sheetData>
    <row r="1" spans="1:17" ht="21" x14ac:dyDescent="0.4">
      <c r="A1" s="686" t="s">
        <v>253</v>
      </c>
      <c r="B1" s="686"/>
      <c r="C1" s="686"/>
      <c r="D1" s="686"/>
      <c r="E1" s="686"/>
      <c r="F1" s="686"/>
      <c r="G1" s="686"/>
      <c r="H1" s="686"/>
      <c r="I1" s="686"/>
      <c r="J1" s="686"/>
      <c r="K1" s="686"/>
      <c r="L1" s="686"/>
      <c r="M1" s="686"/>
    </row>
    <row r="2" spans="1:17" ht="19.8" customHeight="1" x14ac:dyDescent="0.65">
      <c r="A2" s="502" t="s">
        <v>300</v>
      </c>
      <c r="C2" s="12"/>
      <c r="D2" s="12"/>
      <c r="E2" s="12"/>
      <c r="F2" s="740" t="s">
        <v>35</v>
      </c>
      <c r="G2" s="740"/>
      <c r="M2" s="502" t="s">
        <v>302</v>
      </c>
    </row>
    <row r="4" spans="1:17" x14ac:dyDescent="0.3">
      <c r="A4" s="379" t="s">
        <v>121</v>
      </c>
      <c r="B4" s="380" t="s">
        <v>254</v>
      </c>
      <c r="C4" s="380"/>
      <c r="D4" s="380"/>
      <c r="E4" s="380" t="s">
        <v>222</v>
      </c>
      <c r="F4" s="380" t="s">
        <v>255</v>
      </c>
      <c r="G4" s="380" t="s">
        <v>256</v>
      </c>
      <c r="H4" s="380" t="s">
        <v>221</v>
      </c>
      <c r="I4" s="369" t="s">
        <v>47</v>
      </c>
      <c r="J4" s="372" t="s">
        <v>48</v>
      </c>
      <c r="K4" s="374" t="s">
        <v>49</v>
      </c>
      <c r="O4" s="531" t="s">
        <v>47</v>
      </c>
      <c r="P4" s="399" t="s">
        <v>48</v>
      </c>
      <c r="Q4" s="532" t="s">
        <v>316</v>
      </c>
    </row>
    <row r="5" spans="1:17" x14ac:dyDescent="0.3">
      <c r="A5" s="384" t="s">
        <v>257</v>
      </c>
      <c r="B5" s="385"/>
      <c r="C5" s="385"/>
      <c r="D5" s="385"/>
      <c r="E5" s="385"/>
      <c r="F5" s="385"/>
      <c r="G5" s="385"/>
      <c r="H5" s="385"/>
      <c r="I5" s="370"/>
      <c r="J5" s="373"/>
      <c r="K5" s="375"/>
      <c r="M5" s="826" t="s">
        <v>280</v>
      </c>
      <c r="N5" s="827"/>
      <c r="O5" s="446">
        <f>I17+I28</f>
        <v>31081</v>
      </c>
      <c r="P5" s="446">
        <f>J17+J28</f>
        <v>38178.600000000006</v>
      </c>
      <c r="Q5" s="447">
        <f>K17+K28</f>
        <v>58580</v>
      </c>
    </row>
    <row r="6" spans="1:17" x14ac:dyDescent="0.3">
      <c r="A6" s="244"/>
      <c r="B6" s="829" t="str">
        <f>'Modelo de inversión'!A8</f>
        <v>PC Lenovo i5 - 4GB RAM - Disco 500 GB</v>
      </c>
      <c r="C6" s="829"/>
      <c r="D6" s="829"/>
      <c r="E6" s="245">
        <f>'Modelo de inversión'!B8</f>
        <v>4</v>
      </c>
      <c r="F6" s="95">
        <f>'Modelo de inversión'!C8</f>
        <v>15000</v>
      </c>
      <c r="G6" s="245">
        <v>5</v>
      </c>
      <c r="H6" s="351" t="s">
        <v>258</v>
      </c>
      <c r="I6" s="95">
        <f>$E6*$F6/$G6</f>
        <v>12000</v>
      </c>
      <c r="J6" s="95">
        <f>$E6*$F6/$G6</f>
        <v>12000</v>
      </c>
      <c r="K6" s="100">
        <f>$E6*$F6/$G6</f>
        <v>12000</v>
      </c>
    </row>
    <row r="7" spans="1:17" x14ac:dyDescent="0.3">
      <c r="A7" s="248"/>
      <c r="B7" s="271"/>
      <c r="C7" s="44"/>
      <c r="D7" s="44"/>
      <c r="E7" s="44">
        <f>'Modelo de inversión'!B33</f>
        <v>2</v>
      </c>
      <c r="F7" s="81">
        <f>'Modelo de inversión'!C33</f>
        <v>15000</v>
      </c>
      <c r="G7" s="44">
        <v>5</v>
      </c>
      <c r="H7" s="44"/>
      <c r="I7" s="352" t="s">
        <v>258</v>
      </c>
      <c r="J7" s="81">
        <f>$E7*$F7/$G7</f>
        <v>6000</v>
      </c>
      <c r="K7" s="102">
        <f>$E7*$F7/$G7</f>
        <v>6000</v>
      </c>
      <c r="M7" s="4"/>
    </row>
    <row r="8" spans="1:17" x14ac:dyDescent="0.3">
      <c r="A8" s="287"/>
      <c r="B8" s="342"/>
      <c r="C8" s="187"/>
      <c r="D8" s="187"/>
      <c r="E8" s="187">
        <f>'Modelo de inversión'!B49</f>
        <v>3</v>
      </c>
      <c r="F8" s="89">
        <f>'Modelo de inversión'!C49</f>
        <v>15000</v>
      </c>
      <c r="G8" s="187">
        <v>5</v>
      </c>
      <c r="H8" s="187"/>
      <c r="I8" s="187"/>
      <c r="J8" s="353" t="s">
        <v>258</v>
      </c>
      <c r="K8" s="104">
        <f t="shared" ref="K8:K14" si="0">$E8*$F8/$G8</f>
        <v>9000</v>
      </c>
      <c r="M8" s="4"/>
    </row>
    <row r="9" spans="1:17" x14ac:dyDescent="0.3">
      <c r="A9" s="343"/>
      <c r="B9" s="825" t="str">
        <f>'Modelo de inversión'!A9</f>
        <v>PC Omen i7 - 12GB RAM - GTx 1050</v>
      </c>
      <c r="C9" s="825"/>
      <c r="D9" s="825"/>
      <c r="E9" s="344">
        <f>'Modelo de inversión'!B9</f>
        <v>1</v>
      </c>
      <c r="F9" s="91">
        <f>'Modelo de inversión'!C9</f>
        <v>50000</v>
      </c>
      <c r="G9" s="344">
        <v>5</v>
      </c>
      <c r="H9" s="344"/>
      <c r="I9" s="91">
        <f>$E9*$F9/$G9</f>
        <v>10000</v>
      </c>
      <c r="J9" s="91">
        <f>$E9*$F9/$G9</f>
        <v>10000</v>
      </c>
      <c r="K9" s="105">
        <f t="shared" si="0"/>
        <v>10000</v>
      </c>
    </row>
    <row r="10" spans="1:17" x14ac:dyDescent="0.3">
      <c r="A10" s="345"/>
      <c r="B10" s="346"/>
      <c r="C10" s="346"/>
      <c r="D10" s="346"/>
      <c r="E10" s="346">
        <f>'Modelo de inversión'!B50</f>
        <v>1</v>
      </c>
      <c r="F10" s="121">
        <f>'Modelo de inversión'!C50</f>
        <v>50000</v>
      </c>
      <c r="G10" s="346">
        <v>5</v>
      </c>
      <c r="H10" s="346"/>
      <c r="I10" s="346"/>
      <c r="J10" s="346" t="s">
        <v>258</v>
      </c>
      <c r="K10" s="122">
        <f t="shared" si="0"/>
        <v>10000</v>
      </c>
      <c r="M10" s="4"/>
      <c r="N10" s="4"/>
    </row>
    <row r="11" spans="1:17" x14ac:dyDescent="0.3">
      <c r="A11" s="244"/>
      <c r="B11" s="828" t="str">
        <f>'Modelo de inversión'!A10</f>
        <v>Mouse + Teclado Genius</v>
      </c>
      <c r="C11" s="828"/>
      <c r="D11" s="828"/>
      <c r="E11" s="245">
        <f>'Modelo de inversión'!B10</f>
        <v>4</v>
      </c>
      <c r="F11" s="95">
        <f>'Modelo de inversión'!C10</f>
        <v>369</v>
      </c>
      <c r="G11" s="245">
        <v>5</v>
      </c>
      <c r="H11" s="351" t="s">
        <v>258</v>
      </c>
      <c r="I11" s="95">
        <f>$E11*$F11/$G11</f>
        <v>295.2</v>
      </c>
      <c r="J11" s="95">
        <f>$E11*$F11/$G11</f>
        <v>295.2</v>
      </c>
      <c r="K11" s="100">
        <f t="shared" si="0"/>
        <v>295.2</v>
      </c>
    </row>
    <row r="12" spans="1:17" x14ac:dyDescent="0.3">
      <c r="A12" s="248"/>
      <c r="B12" s="44"/>
      <c r="C12" s="44"/>
      <c r="D12" s="44"/>
      <c r="E12" s="44">
        <f>'Modelo de inversión'!B34</f>
        <v>2</v>
      </c>
      <c r="F12" s="81">
        <f>'Modelo de inversión'!C34</f>
        <v>369</v>
      </c>
      <c r="G12" s="44">
        <v>5</v>
      </c>
      <c r="H12" s="44"/>
      <c r="I12" s="352" t="s">
        <v>258</v>
      </c>
      <c r="J12" s="81">
        <f>$E12*$F12/$G12</f>
        <v>147.6</v>
      </c>
      <c r="K12" s="102">
        <f t="shared" si="0"/>
        <v>147.6</v>
      </c>
      <c r="M12" s="4"/>
    </row>
    <row r="13" spans="1:17" x14ac:dyDescent="0.3">
      <c r="A13" s="287"/>
      <c r="B13" s="187"/>
      <c r="C13" s="187"/>
      <c r="D13" s="187"/>
      <c r="E13" s="187">
        <f>'Modelo de inversión'!B51</f>
        <v>3</v>
      </c>
      <c r="F13" s="89">
        <f>'Modelo de inversión'!C51</f>
        <v>369</v>
      </c>
      <c r="G13" s="187">
        <v>5</v>
      </c>
      <c r="H13" s="187"/>
      <c r="I13" s="89"/>
      <c r="J13" s="353" t="s">
        <v>258</v>
      </c>
      <c r="K13" s="104">
        <f t="shared" si="0"/>
        <v>221.4</v>
      </c>
      <c r="M13" s="4"/>
    </row>
    <row r="14" spans="1:17" x14ac:dyDescent="0.3">
      <c r="A14" s="343"/>
      <c r="B14" s="825" t="str">
        <f>'Modelo de inversión'!A11</f>
        <v>UPS Cyberpower Smart App - varios equipos</v>
      </c>
      <c r="C14" s="825"/>
      <c r="D14" s="825"/>
      <c r="E14" s="344">
        <f>'Modelo de inversión'!B11</f>
        <v>1</v>
      </c>
      <c r="F14" s="91">
        <f>'Modelo de inversión'!C11</f>
        <v>15400</v>
      </c>
      <c r="G14" s="344">
        <v>5</v>
      </c>
      <c r="H14" s="354" t="s">
        <v>258</v>
      </c>
      <c r="I14" s="91">
        <f>$E14*$F14/$G14</f>
        <v>3080</v>
      </c>
      <c r="J14" s="91">
        <f>$E14*$F14/$G14</f>
        <v>3080</v>
      </c>
      <c r="K14" s="105">
        <f t="shared" si="0"/>
        <v>3080</v>
      </c>
    </row>
    <row r="15" spans="1:17" x14ac:dyDescent="0.3">
      <c r="A15" s="345"/>
      <c r="B15" s="346"/>
      <c r="C15" s="346"/>
      <c r="D15" s="346"/>
      <c r="E15" s="346"/>
      <c r="F15" s="121"/>
      <c r="G15" s="346"/>
      <c r="H15" s="346"/>
      <c r="I15" s="121"/>
      <c r="J15" s="121"/>
      <c r="K15" s="122"/>
    </row>
    <row r="16" spans="1:17" x14ac:dyDescent="0.3">
      <c r="A16" s="347"/>
      <c r="B16" s="831" t="str">
        <f>'Modelo de inversión'!A12</f>
        <v>Impresora Hp Pro M402dne</v>
      </c>
      <c r="C16" s="831"/>
      <c r="D16" s="831"/>
      <c r="E16" s="348">
        <f>'Modelo de inversión'!B12</f>
        <v>1</v>
      </c>
      <c r="F16" s="349">
        <f>'Modelo de inversión'!C12</f>
        <v>14950</v>
      </c>
      <c r="G16" s="348">
        <v>5</v>
      </c>
      <c r="H16" s="355" t="s">
        <v>258</v>
      </c>
      <c r="I16" s="349">
        <f>$E16*$F16/$G16</f>
        <v>2990</v>
      </c>
      <c r="J16" s="349">
        <f>$E16*$F16/$G16</f>
        <v>2990</v>
      </c>
      <c r="K16" s="350">
        <f>$E16*$F16/$G16</f>
        <v>2990</v>
      </c>
    </row>
    <row r="17" spans="1:13" x14ac:dyDescent="0.3">
      <c r="A17" s="826" t="s">
        <v>46</v>
      </c>
      <c r="B17" s="827"/>
      <c r="C17" s="827"/>
      <c r="D17" s="827"/>
      <c r="E17" s="827"/>
      <c r="F17" s="827"/>
      <c r="G17" s="827"/>
      <c r="H17" s="827"/>
      <c r="I17" s="378">
        <f>SUM(I6:I16)</f>
        <v>28365.200000000001</v>
      </c>
      <c r="J17" s="377">
        <f>SUM(J6:J16)</f>
        <v>34512.800000000003</v>
      </c>
      <c r="K17" s="250">
        <f>SUM(K6:K16)</f>
        <v>53734.2</v>
      </c>
    </row>
    <row r="18" spans="1:13" s="13" customFormat="1" x14ac:dyDescent="0.3">
      <c r="A18" s="75"/>
      <c r="B18" s="75"/>
      <c r="C18" s="75"/>
      <c r="D18" s="75"/>
      <c r="E18" s="75"/>
      <c r="F18" s="75"/>
      <c r="G18" s="75"/>
      <c r="H18" s="75"/>
      <c r="I18" s="77"/>
      <c r="J18" s="77"/>
      <c r="K18" s="77"/>
    </row>
    <row r="19" spans="1:13" x14ac:dyDescent="0.3">
      <c r="A19" s="379" t="s">
        <v>121</v>
      </c>
      <c r="B19" s="380" t="s">
        <v>254</v>
      </c>
      <c r="C19" s="380"/>
      <c r="D19" s="380"/>
      <c r="E19" s="380" t="s">
        <v>222</v>
      </c>
      <c r="F19" s="380" t="s">
        <v>255</v>
      </c>
      <c r="G19" s="380" t="s">
        <v>256</v>
      </c>
      <c r="H19" s="380" t="s">
        <v>221</v>
      </c>
      <c r="I19" s="369" t="s">
        <v>47</v>
      </c>
      <c r="J19" s="372" t="s">
        <v>48</v>
      </c>
      <c r="K19" s="374" t="s">
        <v>49</v>
      </c>
    </row>
    <row r="20" spans="1:13" x14ac:dyDescent="0.3">
      <c r="A20" s="381" t="str">
        <f>'Modelo de inversión'!A18</f>
        <v>Mobiliario</v>
      </c>
      <c r="B20" s="382"/>
      <c r="C20" s="382"/>
      <c r="D20" s="382"/>
      <c r="E20" s="382"/>
      <c r="F20" s="383"/>
      <c r="G20" s="382"/>
      <c r="H20" s="382"/>
      <c r="I20" s="371"/>
      <c r="J20" s="129"/>
      <c r="K20" s="376"/>
    </row>
    <row r="21" spans="1:13" x14ac:dyDescent="0.3">
      <c r="A21" s="244"/>
      <c r="B21" s="828" t="str">
        <f>'Modelo de inversión'!A20</f>
        <v>Mesa 1,80 x 0,90 mts - 4 / 6 personas</v>
      </c>
      <c r="C21" s="828"/>
      <c r="D21" s="828"/>
      <c r="E21" s="245">
        <f>'Modelo de inversión'!B20</f>
        <v>1</v>
      </c>
      <c r="F21" s="95">
        <f>'Modelo de inversión'!C20</f>
        <v>3600</v>
      </c>
      <c r="G21" s="245">
        <v>10</v>
      </c>
      <c r="H21" s="351" t="s">
        <v>258</v>
      </c>
      <c r="I21" s="95">
        <f>$E21*$F21/$G21</f>
        <v>360</v>
      </c>
      <c r="J21" s="95">
        <f>$E21*$F21/$G21</f>
        <v>360</v>
      </c>
      <c r="K21" s="100">
        <f>$E21*$F21/$G21</f>
        <v>360</v>
      </c>
    </row>
    <row r="22" spans="1:13" x14ac:dyDescent="0.3">
      <c r="A22" s="287"/>
      <c r="B22" s="187"/>
      <c r="C22" s="187"/>
      <c r="D22" s="187"/>
      <c r="E22" s="187">
        <f>'Modelo de inversión'!B41</f>
        <v>1</v>
      </c>
      <c r="F22" s="89">
        <f>'Modelo de inversión'!C41</f>
        <v>3600</v>
      </c>
      <c r="G22" s="187">
        <v>10</v>
      </c>
      <c r="H22" s="187"/>
      <c r="I22" s="353" t="s">
        <v>258</v>
      </c>
      <c r="J22" s="89">
        <f t="shared" ref="J22:K24" si="1">$E22*$F22/$G22</f>
        <v>360</v>
      </c>
      <c r="K22" s="104">
        <f t="shared" si="1"/>
        <v>360</v>
      </c>
      <c r="M22" s="4"/>
    </row>
    <row r="23" spans="1:13" x14ac:dyDescent="0.3">
      <c r="A23" s="343"/>
      <c r="B23" s="825" t="str">
        <f>'Modelo de inversión'!A21</f>
        <v xml:space="preserve">Silla Operativa Oficina </v>
      </c>
      <c r="C23" s="825"/>
      <c r="D23" s="825"/>
      <c r="E23" s="344">
        <f>'Modelo de inversión'!B21</f>
        <v>5</v>
      </c>
      <c r="F23" s="91">
        <f>'Modelo de inversión'!C21</f>
        <v>2950</v>
      </c>
      <c r="G23" s="344">
        <v>10</v>
      </c>
      <c r="H23" s="354" t="s">
        <v>258</v>
      </c>
      <c r="I23" s="91">
        <f>$E23*$F23/$G23</f>
        <v>1475</v>
      </c>
      <c r="J23" s="91">
        <f t="shared" si="1"/>
        <v>1475</v>
      </c>
      <c r="K23" s="105">
        <f t="shared" si="1"/>
        <v>1475</v>
      </c>
    </row>
    <row r="24" spans="1:13" x14ac:dyDescent="0.3">
      <c r="A24" s="276"/>
      <c r="B24" s="60"/>
      <c r="C24" s="60"/>
      <c r="D24" s="60"/>
      <c r="E24" s="60">
        <f>'Modelo de inversión'!B42</f>
        <v>2</v>
      </c>
      <c r="F24" s="83">
        <f>'Modelo de inversión'!C42</f>
        <v>2950</v>
      </c>
      <c r="G24" s="60">
        <v>10</v>
      </c>
      <c r="H24" s="60"/>
      <c r="I24" s="356" t="s">
        <v>258</v>
      </c>
      <c r="J24" s="83">
        <f t="shared" si="1"/>
        <v>590</v>
      </c>
      <c r="K24" s="101">
        <f t="shared" si="1"/>
        <v>590</v>
      </c>
      <c r="M24" s="4"/>
    </row>
    <row r="25" spans="1:13" x14ac:dyDescent="0.3">
      <c r="A25" s="345"/>
      <c r="B25" s="346"/>
      <c r="C25" s="346"/>
      <c r="D25" s="346"/>
      <c r="E25" s="346">
        <f>'Modelo de inversión'!B58</f>
        <v>4</v>
      </c>
      <c r="F25" s="121">
        <f>'Modelo de inversión'!C58</f>
        <v>2950</v>
      </c>
      <c r="G25" s="346">
        <v>10</v>
      </c>
      <c r="H25" s="346"/>
      <c r="I25" s="346"/>
      <c r="J25" s="357" t="s">
        <v>258</v>
      </c>
      <c r="K25" s="122">
        <f>$E25*$F25/$G25</f>
        <v>1180</v>
      </c>
      <c r="M25" s="4"/>
    </row>
    <row r="26" spans="1:13" x14ac:dyDescent="0.3">
      <c r="A26" s="347"/>
      <c r="B26" s="831" t="str">
        <f>'Modelo de inversión'!A22</f>
        <v>Biblioteca oficina</v>
      </c>
      <c r="C26" s="831"/>
      <c r="D26" s="831"/>
      <c r="E26" s="348">
        <f>'Modelo de inversión'!B22</f>
        <v>1</v>
      </c>
      <c r="F26" s="349">
        <f>'Modelo de inversión'!C22</f>
        <v>4500</v>
      </c>
      <c r="G26" s="348">
        <v>10</v>
      </c>
      <c r="H26" s="355" t="s">
        <v>258</v>
      </c>
      <c r="I26" s="349">
        <f>$E26*$F26/$G26</f>
        <v>450</v>
      </c>
      <c r="J26" s="349">
        <f>$E26*$F26/$G26</f>
        <v>450</v>
      </c>
      <c r="K26" s="350">
        <f>$E26*$F26/$G26</f>
        <v>450</v>
      </c>
    </row>
    <row r="27" spans="1:13" x14ac:dyDescent="0.3">
      <c r="A27" s="345"/>
      <c r="B27" s="830" t="str">
        <f>'Modelo de inversión'!A23</f>
        <v>Matafuegos</v>
      </c>
      <c r="C27" s="830"/>
      <c r="D27" s="830"/>
      <c r="E27" s="346">
        <f>'Modelo de inversión'!B23</f>
        <v>2</v>
      </c>
      <c r="F27" s="121">
        <f>'Modelo de inversión'!C23</f>
        <v>2154</v>
      </c>
      <c r="G27" s="346">
        <v>10</v>
      </c>
      <c r="H27" s="357" t="s">
        <v>258</v>
      </c>
      <c r="I27" s="121">
        <f>$E27*$F27/$G27</f>
        <v>430.8</v>
      </c>
      <c r="J27" s="121">
        <f>$E27*$F27/$G27</f>
        <v>430.8</v>
      </c>
      <c r="K27" s="122">
        <f>$E27*$F27/$G27</f>
        <v>430.8</v>
      </c>
    </row>
    <row r="28" spans="1:13" x14ac:dyDescent="0.3">
      <c r="A28" s="826" t="s">
        <v>46</v>
      </c>
      <c r="B28" s="827"/>
      <c r="C28" s="827"/>
      <c r="D28" s="827"/>
      <c r="E28" s="827"/>
      <c r="F28" s="827"/>
      <c r="G28" s="827"/>
      <c r="H28" s="827"/>
      <c r="I28" s="378">
        <f>SUM(I21:I27)</f>
        <v>2715.8</v>
      </c>
      <c r="J28" s="377">
        <f t="shared" ref="J28:K28" si="2">SUM(J21:J27)</f>
        <v>3665.8</v>
      </c>
      <c r="K28" s="250">
        <f t="shared" si="2"/>
        <v>4845.8</v>
      </c>
    </row>
  </sheetData>
  <mergeCells count="14">
    <mergeCell ref="B14:D14"/>
    <mergeCell ref="A17:H17"/>
    <mergeCell ref="A28:H28"/>
    <mergeCell ref="A1:M1"/>
    <mergeCell ref="B11:D11"/>
    <mergeCell ref="B9:D9"/>
    <mergeCell ref="B6:D6"/>
    <mergeCell ref="B27:D27"/>
    <mergeCell ref="B26:D26"/>
    <mergeCell ref="B23:D23"/>
    <mergeCell ref="B21:D21"/>
    <mergeCell ref="B16:D16"/>
    <mergeCell ref="M5:N5"/>
    <mergeCell ref="F2:G2"/>
  </mergeCells>
  <hyperlinks>
    <hyperlink ref="F2" location="Índice!A1" display="Regresar al índice" xr:uid="{2FE0724A-3D61-440D-B461-3DF308D5BF00}"/>
    <hyperlink ref="A2" location="'Modelo de inversión'!A1" display="[M. Inversión]" xr:uid="{26A6FC75-CF40-4D18-B2F0-04D8EBCB2DA2}"/>
    <hyperlink ref="M2" location="'Presupuesto financiero'!A1" display="[Prespuesto]" xr:uid="{E8D20400-1A80-4439-9179-EEDF5EED0A04}"/>
  </hyperlinks>
  <pageMargins left="0.7" right="0.7" top="0.75" bottom="0.75" header="0.3" footer="0.3"/>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F64947-EBDB-4670-A5C8-2F7D6BAFDFA6}">
  <dimension ref="A1:M35"/>
  <sheetViews>
    <sheetView showGridLines="0" zoomScaleNormal="100" workbookViewId="0">
      <pane ySplit="2" topLeftCell="A3" activePane="bottomLeft" state="frozen"/>
      <selection pane="bottomLeft" activeCell="E24" sqref="E24"/>
    </sheetView>
  </sheetViews>
  <sheetFormatPr baseColWidth="10" defaultRowHeight="14.4" x14ac:dyDescent="0.3"/>
  <cols>
    <col min="1" max="1" width="26.88671875" bestFit="1" customWidth="1"/>
    <col min="2" max="2" width="13" bestFit="1" customWidth="1"/>
    <col min="3" max="3" width="13.77734375" bestFit="1" customWidth="1"/>
    <col min="4" max="4" width="13.88671875" bestFit="1" customWidth="1"/>
    <col min="5" max="6" width="14" bestFit="1" customWidth="1"/>
    <col min="7" max="7" width="14.109375" bestFit="1" customWidth="1"/>
    <col min="8" max="8" width="24" customWidth="1"/>
    <col min="9" max="9" width="14" bestFit="1" customWidth="1"/>
    <col min="13" max="13" width="16.5546875" bestFit="1" customWidth="1"/>
  </cols>
  <sheetData>
    <row r="1" spans="1:13" ht="21" x14ac:dyDescent="0.4">
      <c r="A1" s="686" t="s">
        <v>0</v>
      </c>
      <c r="B1" s="686"/>
      <c r="C1" s="686"/>
      <c r="D1" s="686"/>
      <c r="E1" s="686"/>
      <c r="F1" s="686"/>
      <c r="G1" s="686"/>
      <c r="H1" s="686"/>
      <c r="I1" s="686"/>
      <c r="J1" s="686"/>
      <c r="K1" s="686"/>
      <c r="L1" s="686"/>
      <c r="M1" s="686"/>
    </row>
    <row r="2" spans="1:13" ht="19.8" customHeight="1" x14ac:dyDescent="0.65">
      <c r="A2" s="502" t="s">
        <v>301</v>
      </c>
      <c r="C2" s="12"/>
      <c r="D2" s="12"/>
      <c r="E2" s="12"/>
      <c r="F2" s="740" t="s">
        <v>35</v>
      </c>
      <c r="G2" s="740"/>
      <c r="M2" s="502" t="s">
        <v>340</v>
      </c>
    </row>
    <row r="4" spans="1:13" x14ac:dyDescent="0.3">
      <c r="D4" s="397"/>
      <c r="E4" s="382"/>
      <c r="F4" s="437" t="str">
        <f>'Modelo de ingresos'!D4</f>
        <v>Año 1</v>
      </c>
      <c r="G4" s="437" t="str">
        <f>'Modelo de ingresos'!E4</f>
        <v>Año 2</v>
      </c>
      <c r="H4" s="438" t="str">
        <f>'Modelo de ingresos'!F4</f>
        <v>Año 3</v>
      </c>
    </row>
    <row r="5" spans="1:13" x14ac:dyDescent="0.3">
      <c r="D5" s="384" t="s">
        <v>314</v>
      </c>
      <c r="E5" s="385"/>
      <c r="F5" s="534">
        <f>'Modelo de ingresos'!D7</f>
        <v>6608038.7999999998</v>
      </c>
      <c r="G5" s="534">
        <f>'Modelo de ingresos'!E7</f>
        <v>11013398</v>
      </c>
      <c r="H5" s="535">
        <f>'Modelo de ingresos'!F7</f>
        <v>15418757.200000003</v>
      </c>
    </row>
    <row r="6" spans="1:13" x14ac:dyDescent="0.3">
      <c r="D6" s="402"/>
      <c r="E6" s="385"/>
      <c r="F6" s="523"/>
      <c r="G6" s="523"/>
      <c r="H6" s="524"/>
    </row>
    <row r="7" spans="1:13" x14ac:dyDescent="0.3">
      <c r="D7" s="384" t="s">
        <v>315</v>
      </c>
      <c r="E7" s="533" t="str">
        <f>'Modelo de egresos'!B12</f>
        <v>Fijo</v>
      </c>
      <c r="F7" s="523">
        <f>'Modelo de egresos'!C12</f>
        <v>1413260</v>
      </c>
      <c r="G7" s="523">
        <f>'Modelo de egresos'!D12</f>
        <v>1532135</v>
      </c>
      <c r="H7" s="524">
        <f>'Modelo de egresos'!E12</f>
        <v>1707410</v>
      </c>
    </row>
    <row r="8" spans="1:13" x14ac:dyDescent="0.3">
      <c r="D8" s="402"/>
      <c r="E8" s="533" t="str">
        <f>'Modelo de egresos'!B13</f>
        <v>Variable</v>
      </c>
      <c r="F8" s="523">
        <f>'Modelo de egresos'!C13</f>
        <v>642214.44171428576</v>
      </c>
      <c r="G8" s="523">
        <f>'Modelo de egresos'!D13</f>
        <v>1091335.3038095238</v>
      </c>
      <c r="H8" s="524">
        <f>'Modelo de egresos'!E13</f>
        <v>1637325.1693333336</v>
      </c>
    </row>
    <row r="9" spans="1:13" x14ac:dyDescent="0.3">
      <c r="D9" s="402"/>
      <c r="E9" s="533" t="str">
        <f>'Modelo de egresos'!B14</f>
        <v>RRHH</v>
      </c>
      <c r="F9" s="523">
        <f>'Modelo de egresos'!C14</f>
        <v>4258021.7550000008</v>
      </c>
      <c r="G9" s="523">
        <f>'Modelo de egresos'!D14</f>
        <v>6227009.5724999998</v>
      </c>
      <c r="H9" s="524">
        <f>'Modelo de egresos'!E14</f>
        <v>8166120.9708333323</v>
      </c>
    </row>
    <row r="10" spans="1:13" x14ac:dyDescent="0.3">
      <c r="D10" s="402"/>
      <c r="E10" s="533"/>
      <c r="F10" s="534">
        <f>SUM(F7:F9)</f>
        <v>6313496.1967142867</v>
      </c>
      <c r="G10" s="534">
        <f>SUM(G7:G9)</f>
        <v>8850479.8763095234</v>
      </c>
      <c r="H10" s="535">
        <f>SUM(H7:H9)</f>
        <v>11510856.140166666</v>
      </c>
    </row>
    <row r="11" spans="1:13" x14ac:dyDescent="0.3">
      <c r="D11" s="402"/>
      <c r="E11" s="533"/>
      <c r="F11" s="534"/>
      <c r="G11" s="534"/>
      <c r="H11" s="535"/>
    </row>
    <row r="12" spans="1:13" x14ac:dyDescent="0.3">
      <c r="D12" s="538" t="s">
        <v>253</v>
      </c>
      <c r="E12" s="445"/>
      <c r="F12" s="536">
        <f>Amortizaciones!O5</f>
        <v>31081</v>
      </c>
      <c r="G12" s="536">
        <f>Amortizaciones!P5</f>
        <v>38178.600000000006</v>
      </c>
      <c r="H12" s="537">
        <f>Amortizaciones!Q5</f>
        <v>58580</v>
      </c>
    </row>
    <row r="16" spans="1:13" x14ac:dyDescent="0.3">
      <c r="A16" s="539" t="s">
        <v>121</v>
      </c>
      <c r="B16" s="504"/>
      <c r="C16" s="504" t="s">
        <v>221</v>
      </c>
      <c r="D16" s="369" t="s">
        <v>47</v>
      </c>
      <c r="E16" s="582" t="s">
        <v>48</v>
      </c>
      <c r="F16" s="374" t="s">
        <v>49</v>
      </c>
      <c r="H16" s="435" t="s">
        <v>322</v>
      </c>
      <c r="I16" s="564">
        <v>0.6</v>
      </c>
    </row>
    <row r="17" spans="1:9" x14ac:dyDescent="0.3">
      <c r="A17" s="459" t="s">
        <v>314</v>
      </c>
      <c r="B17" s="44"/>
      <c r="C17" s="47"/>
      <c r="D17" s="540">
        <f>F5</f>
        <v>6608038.7999999998</v>
      </c>
      <c r="E17" s="540">
        <f t="shared" ref="E17:F17" si="0">G5</f>
        <v>11013398</v>
      </c>
      <c r="F17" s="541">
        <f t="shared" si="0"/>
        <v>15418757.200000003</v>
      </c>
      <c r="H17" s="441" t="s">
        <v>323</v>
      </c>
      <c r="I17" s="565">
        <f>NPV(I16,D27:F27)-C26</f>
        <v>210046.25783293229</v>
      </c>
    </row>
    <row r="18" spans="1:9" x14ac:dyDescent="0.3">
      <c r="A18" s="548" t="s">
        <v>315</v>
      </c>
      <c r="B18" s="549" t="str">
        <f>E7</f>
        <v>Fijo</v>
      </c>
      <c r="C18" s="354"/>
      <c r="D18" s="550">
        <f>F7</f>
        <v>1413260</v>
      </c>
      <c r="E18" s="550">
        <f t="shared" ref="E18:F18" si="1">G7</f>
        <v>1532135</v>
      </c>
      <c r="F18" s="551">
        <f t="shared" si="1"/>
        <v>1707410</v>
      </c>
      <c r="H18" s="443" t="s">
        <v>324</v>
      </c>
      <c r="I18" s="566">
        <f>IRR(C27:F27)</f>
        <v>0.70507758608964011</v>
      </c>
    </row>
    <row r="19" spans="1:9" x14ac:dyDescent="0.3">
      <c r="A19" s="457"/>
      <c r="B19" s="542" t="str">
        <f>E8</f>
        <v>Variable</v>
      </c>
      <c r="C19" s="356"/>
      <c r="D19" s="543">
        <f t="shared" ref="D19:D20" si="2">F8</f>
        <v>642214.44171428576</v>
      </c>
      <c r="E19" s="543">
        <f t="shared" ref="E19:F21" si="3">G8</f>
        <v>1091335.3038095238</v>
      </c>
      <c r="F19" s="544">
        <f t="shared" si="3"/>
        <v>1637325.1693333336</v>
      </c>
    </row>
    <row r="20" spans="1:9" x14ac:dyDescent="0.3">
      <c r="A20" s="457"/>
      <c r="B20" s="542" t="str">
        <f>E9</f>
        <v>RRHH</v>
      </c>
      <c r="C20" s="356"/>
      <c r="D20" s="543">
        <f t="shared" si="2"/>
        <v>4258021.7550000008</v>
      </c>
      <c r="E20" s="543">
        <f t="shared" si="3"/>
        <v>6227009.5724999998</v>
      </c>
      <c r="F20" s="544">
        <f t="shared" si="3"/>
        <v>8166120.9708333323</v>
      </c>
    </row>
    <row r="21" spans="1:9" x14ac:dyDescent="0.3">
      <c r="A21" s="547"/>
      <c r="B21" s="346"/>
      <c r="C21" s="552"/>
      <c r="D21" s="553">
        <f>F10</f>
        <v>6313496.1967142867</v>
      </c>
      <c r="E21" s="553">
        <f t="shared" si="3"/>
        <v>8850479.8763095234</v>
      </c>
      <c r="F21" s="554">
        <f t="shared" si="3"/>
        <v>11510856.140166666</v>
      </c>
    </row>
    <row r="22" spans="1:9" x14ac:dyDescent="0.3">
      <c r="A22" s="459" t="s">
        <v>450</v>
      </c>
      <c r="B22" s="44"/>
      <c r="C22" s="47"/>
      <c r="D22" s="545">
        <f>D17-D21</f>
        <v>294542.60328571312</v>
      </c>
      <c r="E22" s="545">
        <f t="shared" ref="E22:F22" si="4">E17-E21</f>
        <v>2162918.1236904766</v>
      </c>
      <c r="F22" s="546">
        <f t="shared" si="4"/>
        <v>3907901.0598333366</v>
      </c>
    </row>
    <row r="23" spans="1:9" x14ac:dyDescent="0.3">
      <c r="A23" s="555" t="s">
        <v>319</v>
      </c>
      <c r="B23" s="556"/>
      <c r="C23" s="557"/>
      <c r="D23" s="558"/>
      <c r="E23" s="558">
        <f t="shared" ref="E23:F23" si="5">E17*0.03</f>
        <v>330401.94</v>
      </c>
      <c r="F23" s="559">
        <f t="shared" si="5"/>
        <v>462562.71600000007</v>
      </c>
      <c r="H23" s="7" t="s">
        <v>326</v>
      </c>
    </row>
    <row r="24" spans="1:9" x14ac:dyDescent="0.3">
      <c r="A24" s="459" t="s">
        <v>318</v>
      </c>
      <c r="B24" s="44"/>
      <c r="C24" s="47"/>
      <c r="D24" s="47"/>
      <c r="E24" s="540">
        <f>(D22-D23-F12)*0.35/2</f>
        <v>46105.780574999793</v>
      </c>
      <c r="F24" s="541">
        <f>(E22-E23-G12)*0.35/2</f>
        <v>314009.07714583341</v>
      </c>
      <c r="H24" t="s">
        <v>332</v>
      </c>
    </row>
    <row r="25" spans="1:9" x14ac:dyDescent="0.3">
      <c r="A25" s="555" t="s">
        <v>320</v>
      </c>
      <c r="B25" s="556"/>
      <c r="C25" s="557"/>
      <c r="D25" s="560">
        <f>D22-D23</f>
        <v>294542.60328571312</v>
      </c>
      <c r="E25" s="560">
        <f>E22-E23-E24</f>
        <v>1786410.4031154769</v>
      </c>
      <c r="F25" s="561">
        <f>F22-F23-F24</f>
        <v>3131329.2666875031</v>
      </c>
    </row>
    <row r="26" spans="1:9" x14ac:dyDescent="0.3">
      <c r="A26" s="459" t="s">
        <v>250</v>
      </c>
      <c r="B26" s="44"/>
      <c r="C26" s="205">
        <f>'Modelo de inversión'!H5</f>
        <v>1285744</v>
      </c>
      <c r="D26" s="205">
        <f>'Modelo de inversión'!I5</f>
        <v>72198</v>
      </c>
      <c r="E26" s="205">
        <f>'Modelo de inversión'!J5</f>
        <v>171827</v>
      </c>
      <c r="F26" s="563">
        <f>'Modelo de inversión'!K5</f>
        <v>157108</v>
      </c>
      <c r="H26" s="2" t="s">
        <v>330</v>
      </c>
      <c r="I26" s="21">
        <v>0.53</v>
      </c>
    </row>
    <row r="27" spans="1:9" x14ac:dyDescent="0.3">
      <c r="A27" s="555" t="s">
        <v>321</v>
      </c>
      <c r="B27" s="556"/>
      <c r="C27" s="560">
        <f>C25-C26</f>
        <v>-1285744</v>
      </c>
      <c r="D27" s="560">
        <f t="shared" ref="D27:F27" si="6">D25-D26</f>
        <v>222344.60328571312</v>
      </c>
      <c r="E27" s="560">
        <f t="shared" si="6"/>
        <v>1614583.4031154769</v>
      </c>
      <c r="F27" s="561">
        <f t="shared" si="6"/>
        <v>2974221.2666875031</v>
      </c>
      <c r="H27" s="2" t="s">
        <v>333</v>
      </c>
      <c r="I27" s="21">
        <v>0.49</v>
      </c>
    </row>
    <row r="28" spans="1:9" x14ac:dyDescent="0.3">
      <c r="H28" s="2" t="s">
        <v>331</v>
      </c>
      <c r="I28" s="21">
        <v>0.48</v>
      </c>
    </row>
    <row r="29" spans="1:9" x14ac:dyDescent="0.3">
      <c r="A29" s="2" t="s">
        <v>327</v>
      </c>
      <c r="H29" s="2" t="s">
        <v>334</v>
      </c>
      <c r="I29" s="21">
        <v>0.49</v>
      </c>
    </row>
    <row r="30" spans="1:9" x14ac:dyDescent="0.3">
      <c r="A30" s="7" t="s">
        <v>371</v>
      </c>
    </row>
    <row r="31" spans="1:9" x14ac:dyDescent="0.3">
      <c r="A31" t="s">
        <v>328</v>
      </c>
      <c r="H31" s="7" t="s">
        <v>335</v>
      </c>
    </row>
    <row r="32" spans="1:9" x14ac:dyDescent="0.3">
      <c r="H32" t="s">
        <v>336</v>
      </c>
    </row>
    <row r="33" spans="1:9" x14ac:dyDescent="0.3">
      <c r="A33" s="7" t="s">
        <v>423</v>
      </c>
    </row>
    <row r="34" spans="1:9" x14ac:dyDescent="0.3">
      <c r="A34" t="s">
        <v>329</v>
      </c>
      <c r="H34" s="2" t="s">
        <v>337</v>
      </c>
      <c r="I34" s="21">
        <v>0.3095</v>
      </c>
    </row>
    <row r="35" spans="1:9" x14ac:dyDescent="0.3">
      <c r="H35" s="2" t="s">
        <v>338</v>
      </c>
      <c r="I35" s="21">
        <v>0.27</v>
      </c>
    </row>
  </sheetData>
  <mergeCells count="2">
    <mergeCell ref="A1:M1"/>
    <mergeCell ref="F2:G2"/>
  </mergeCells>
  <hyperlinks>
    <hyperlink ref="F2" location="Índice!A1" display="Regresar al índice" xr:uid="{989798F4-B1B8-4F4F-BBA6-649E270CCE6E}"/>
    <hyperlink ref="A2" location="Amortizaciones!A1" display="[Amortizaciones]" xr:uid="{C9D67971-9DC7-4F8B-90E8-439900E5CFF9}"/>
    <hyperlink ref="M2" location="'Matriz de riesgos'!A1" display="[Matriz de riesgos]" xr:uid="{3C41E60C-6828-44EA-A9A9-4311DBCAE5D4}"/>
  </hyperlinks>
  <pageMargins left="0.7" right="0.7" top="0.75" bottom="0.75" header="0.3" footer="0.3"/>
  <pageSetup paperSize="9"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EE30A-6C34-4EBE-B874-955FBC29F09D}">
  <dimension ref="A1:M14"/>
  <sheetViews>
    <sheetView showGridLines="0" zoomScaleNormal="100" workbookViewId="0">
      <pane ySplit="2" topLeftCell="A9" activePane="bottomLeft" state="frozen"/>
      <selection pane="bottomLeft" activeCell="G14" sqref="G14"/>
    </sheetView>
  </sheetViews>
  <sheetFormatPr baseColWidth="10" defaultRowHeight="14.4" x14ac:dyDescent="0.3"/>
  <cols>
    <col min="3" max="3" width="11.5546875" customWidth="1"/>
    <col min="7" max="7" width="36.109375" customWidth="1"/>
  </cols>
  <sheetData>
    <row r="1" spans="1:13" ht="21" x14ac:dyDescent="0.4">
      <c r="A1" s="686" t="s">
        <v>339</v>
      </c>
      <c r="B1" s="686"/>
      <c r="C1" s="686"/>
      <c r="D1" s="686"/>
      <c r="E1" s="686"/>
      <c r="F1" s="686"/>
      <c r="G1" s="686"/>
      <c r="H1" s="686"/>
      <c r="I1" s="686"/>
      <c r="J1" s="686"/>
      <c r="K1" s="686"/>
      <c r="L1" s="686"/>
      <c r="M1" s="686"/>
    </row>
    <row r="2" spans="1:13" ht="19.8" customHeight="1" x14ac:dyDescent="0.65">
      <c r="A2" s="502" t="s">
        <v>366</v>
      </c>
      <c r="C2" s="12"/>
      <c r="D2" s="12"/>
      <c r="E2" s="12"/>
      <c r="F2" s="740" t="s">
        <v>35</v>
      </c>
      <c r="G2" s="740"/>
      <c r="M2" s="502" t="s">
        <v>367</v>
      </c>
    </row>
    <row r="4" spans="1:13" x14ac:dyDescent="0.3">
      <c r="A4" s="848" t="s">
        <v>341</v>
      </c>
      <c r="B4" s="849"/>
      <c r="C4" s="849"/>
      <c r="D4" s="849" t="s">
        <v>342</v>
      </c>
      <c r="E4" s="849"/>
      <c r="F4" s="849"/>
      <c r="G4" s="573" t="s">
        <v>343</v>
      </c>
      <c r="H4" s="580" t="s">
        <v>344</v>
      </c>
      <c r="I4" s="580" t="s">
        <v>345</v>
      </c>
      <c r="J4" s="581" t="s">
        <v>364</v>
      </c>
    </row>
    <row r="5" spans="1:13" ht="43.2" x14ac:dyDescent="0.3">
      <c r="A5" s="845" t="s">
        <v>351</v>
      </c>
      <c r="B5" s="832"/>
      <c r="C5" s="832"/>
      <c r="D5" s="718" t="s">
        <v>349</v>
      </c>
      <c r="E5" s="718"/>
      <c r="F5" s="718"/>
      <c r="G5" s="567" t="s">
        <v>347</v>
      </c>
      <c r="H5" s="568">
        <v>0.5</v>
      </c>
      <c r="I5" s="568">
        <v>0.5</v>
      </c>
      <c r="J5" s="569">
        <f>H5*I5</f>
        <v>0.25</v>
      </c>
    </row>
    <row r="6" spans="1:13" ht="59.4" customHeight="1" x14ac:dyDescent="0.3">
      <c r="A6" s="846" t="s">
        <v>350</v>
      </c>
      <c r="B6" s="847"/>
      <c r="C6" s="847"/>
      <c r="D6" s="835" t="s">
        <v>352</v>
      </c>
      <c r="E6" s="835"/>
      <c r="F6" s="835"/>
      <c r="G6" s="577" t="s">
        <v>368</v>
      </c>
      <c r="H6" s="575">
        <v>0.25</v>
      </c>
      <c r="I6" s="575">
        <v>0.75</v>
      </c>
      <c r="J6" s="576">
        <f t="shared" ref="J6:J14" si="0">H6*I6</f>
        <v>0.1875</v>
      </c>
    </row>
    <row r="7" spans="1:13" ht="43.2" x14ac:dyDescent="0.3">
      <c r="A7" s="720" t="s">
        <v>353</v>
      </c>
      <c r="B7" s="721"/>
      <c r="C7" s="721"/>
      <c r="D7" s="718" t="s">
        <v>358</v>
      </c>
      <c r="E7" s="718"/>
      <c r="F7" s="718"/>
      <c r="G7" s="570" t="s">
        <v>348</v>
      </c>
      <c r="H7" s="571">
        <v>0.25</v>
      </c>
      <c r="I7" s="571">
        <v>0.5</v>
      </c>
      <c r="J7" s="569">
        <f t="shared" si="0"/>
        <v>0.125</v>
      </c>
    </row>
    <row r="8" spans="1:13" ht="30" customHeight="1" x14ac:dyDescent="0.3">
      <c r="A8" s="843" t="s">
        <v>370</v>
      </c>
      <c r="B8" s="844"/>
      <c r="C8" s="844"/>
      <c r="D8" s="842" t="s">
        <v>434</v>
      </c>
      <c r="E8" s="842"/>
      <c r="F8" s="842"/>
      <c r="G8" s="587" t="s">
        <v>410</v>
      </c>
      <c r="H8" s="588">
        <v>0.5</v>
      </c>
      <c r="I8" s="588">
        <v>0.75</v>
      </c>
      <c r="J8" s="589">
        <f t="shared" si="0"/>
        <v>0.375</v>
      </c>
    </row>
    <row r="9" spans="1:13" ht="28.8" x14ac:dyDescent="0.3">
      <c r="A9" s="845" t="s">
        <v>354</v>
      </c>
      <c r="B9" s="832"/>
      <c r="C9" s="832"/>
      <c r="D9" s="718" t="s">
        <v>435</v>
      </c>
      <c r="E9" s="718"/>
      <c r="F9" s="718"/>
      <c r="G9" s="567" t="s">
        <v>424</v>
      </c>
      <c r="H9" s="568">
        <v>0.5</v>
      </c>
      <c r="I9" s="568">
        <v>0.75</v>
      </c>
      <c r="J9" s="569">
        <f t="shared" si="0"/>
        <v>0.375</v>
      </c>
    </row>
    <row r="10" spans="1:13" ht="64.8" customHeight="1" x14ac:dyDescent="0.3">
      <c r="A10" s="836" t="s">
        <v>355</v>
      </c>
      <c r="B10" s="837"/>
      <c r="C10" s="837"/>
      <c r="D10" s="835" t="s">
        <v>357</v>
      </c>
      <c r="E10" s="835"/>
      <c r="F10" s="835"/>
      <c r="G10" s="579" t="s">
        <v>356</v>
      </c>
      <c r="H10" s="578">
        <v>0.25</v>
      </c>
      <c r="I10" s="578">
        <v>0.75</v>
      </c>
      <c r="J10" s="576">
        <f t="shared" si="0"/>
        <v>0.1875</v>
      </c>
    </row>
    <row r="11" spans="1:13" ht="28.8" x14ac:dyDescent="0.3">
      <c r="A11" s="838" t="s">
        <v>365</v>
      </c>
      <c r="B11" s="839"/>
      <c r="C11" s="839"/>
      <c r="D11" s="841" t="s">
        <v>411</v>
      </c>
      <c r="E11" s="841"/>
      <c r="F11" s="841"/>
      <c r="G11" s="585" t="s">
        <v>436</v>
      </c>
      <c r="H11" s="590">
        <v>0.75</v>
      </c>
      <c r="I11" s="590">
        <v>0.75</v>
      </c>
      <c r="J11" s="586">
        <f t="shared" si="0"/>
        <v>0.5625</v>
      </c>
    </row>
    <row r="12" spans="1:13" ht="28.2" customHeight="1" x14ac:dyDescent="0.3">
      <c r="A12" s="836" t="s">
        <v>346</v>
      </c>
      <c r="B12" s="837"/>
      <c r="C12" s="837"/>
      <c r="D12" s="840" t="s">
        <v>359</v>
      </c>
      <c r="E12" s="840"/>
      <c r="F12" s="840"/>
      <c r="G12" s="574" t="s">
        <v>360</v>
      </c>
      <c r="H12" s="578">
        <v>0.5</v>
      </c>
      <c r="I12" s="578">
        <v>0.25</v>
      </c>
      <c r="J12" s="576">
        <f t="shared" si="0"/>
        <v>0.125</v>
      </c>
    </row>
    <row r="13" spans="1:13" ht="60.6" customHeight="1" x14ac:dyDescent="0.3">
      <c r="A13" s="720" t="s">
        <v>361</v>
      </c>
      <c r="B13" s="721"/>
      <c r="C13" s="721"/>
      <c r="D13" s="832" t="s">
        <v>362</v>
      </c>
      <c r="E13" s="832"/>
      <c r="F13" s="832"/>
      <c r="G13" s="572" t="s">
        <v>448</v>
      </c>
      <c r="H13" s="568">
        <v>0.25</v>
      </c>
      <c r="I13" s="568">
        <v>0.5</v>
      </c>
      <c r="J13" s="569">
        <f t="shared" si="0"/>
        <v>0.125</v>
      </c>
    </row>
    <row r="14" spans="1:13" ht="60" customHeight="1" x14ac:dyDescent="0.3">
      <c r="A14" s="833" t="s">
        <v>363</v>
      </c>
      <c r="B14" s="834"/>
      <c r="C14" s="834"/>
      <c r="D14" s="834" t="s">
        <v>452</v>
      </c>
      <c r="E14" s="834"/>
      <c r="F14" s="834"/>
      <c r="G14" s="671" t="s">
        <v>449</v>
      </c>
      <c r="H14" s="672">
        <v>0.75</v>
      </c>
      <c r="I14" s="672">
        <v>0.75</v>
      </c>
      <c r="J14" s="673">
        <f t="shared" si="0"/>
        <v>0.5625</v>
      </c>
    </row>
  </sheetData>
  <mergeCells count="24">
    <mergeCell ref="A1:M1"/>
    <mergeCell ref="A4:C4"/>
    <mergeCell ref="D4:F4"/>
    <mergeCell ref="A5:C5"/>
    <mergeCell ref="D5:F5"/>
    <mergeCell ref="F2:G2"/>
    <mergeCell ref="D8:F8"/>
    <mergeCell ref="D9:F9"/>
    <mergeCell ref="D6:F6"/>
    <mergeCell ref="D7:F7"/>
    <mergeCell ref="A8:C8"/>
    <mergeCell ref="A9:C9"/>
    <mergeCell ref="A7:C7"/>
    <mergeCell ref="A6:C6"/>
    <mergeCell ref="A13:C13"/>
    <mergeCell ref="D13:F13"/>
    <mergeCell ref="A14:C14"/>
    <mergeCell ref="D14:F14"/>
    <mergeCell ref="D10:F10"/>
    <mergeCell ref="A10:C10"/>
    <mergeCell ref="A11:C11"/>
    <mergeCell ref="A12:C12"/>
    <mergeCell ref="D12:F12"/>
    <mergeCell ref="D11:F11"/>
  </mergeCells>
  <conditionalFormatting sqref="J5:J14">
    <cfRule type="cellIs" dxfId="2" priority="1" operator="greaterThan">
      <formula>0.5</formula>
    </cfRule>
    <cfRule type="cellIs" dxfId="1" priority="2" operator="between">
      <formula>0.25</formula>
      <formula>0.5</formula>
    </cfRule>
    <cfRule type="cellIs" dxfId="0" priority="3" operator="lessThanOrEqual">
      <formula>0.25</formula>
    </cfRule>
  </conditionalFormatting>
  <hyperlinks>
    <hyperlink ref="F2" location="Índice!A1" display="Regresar al índice" xr:uid="{CFA304C8-A071-4B13-9AC3-AF781F59E1C4}"/>
    <hyperlink ref="A2" location="'Presupuesto financiero'!A1" display="[Presupuesto finananciero]" xr:uid="{0990471E-E145-416E-9D44-30BC9A45E7DA}"/>
    <hyperlink ref="M2" location="Escenarios!A1" display="[escenarios]" xr:uid="{42294606-0D6D-427E-9266-362CCB067B06}"/>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0F88CF-BDB3-4227-8A4E-C0069949F374}">
  <dimension ref="A1:M45"/>
  <sheetViews>
    <sheetView showGridLines="0" zoomScaleNormal="100" workbookViewId="0">
      <pane ySplit="2" topLeftCell="A3" activePane="bottomLeft" state="frozen"/>
      <selection pane="bottomLeft" activeCell="M2" sqref="M2"/>
    </sheetView>
  </sheetViews>
  <sheetFormatPr baseColWidth="10" defaultRowHeight="14.4" x14ac:dyDescent="0.3"/>
  <cols>
    <col min="1" max="1" width="26.88671875" bestFit="1" customWidth="1"/>
    <col min="3" max="3" width="13.77734375" bestFit="1" customWidth="1"/>
    <col min="4" max="4" width="14.88671875" customWidth="1"/>
    <col min="5" max="5" width="14" bestFit="1" customWidth="1"/>
    <col min="6" max="6" width="14.6640625" customWidth="1"/>
    <col min="8" max="8" width="20.77734375" bestFit="1" customWidth="1"/>
    <col min="9" max="9" width="13.6640625" bestFit="1" customWidth="1"/>
  </cols>
  <sheetData>
    <row r="1" spans="1:13" ht="21" x14ac:dyDescent="0.4">
      <c r="A1" s="686" t="s">
        <v>453</v>
      </c>
      <c r="B1" s="686"/>
      <c r="C1" s="686"/>
      <c r="D1" s="686"/>
      <c r="E1" s="686"/>
      <c r="F1" s="686"/>
      <c r="G1" s="686"/>
      <c r="H1" s="686"/>
      <c r="I1" s="686"/>
      <c r="J1" s="686"/>
      <c r="K1" s="686"/>
      <c r="L1" s="686"/>
      <c r="M1" s="686"/>
    </row>
    <row r="2" spans="1:13" ht="19.8" customHeight="1" x14ac:dyDescent="0.65">
      <c r="A2" s="502" t="s">
        <v>340</v>
      </c>
      <c r="C2" s="12"/>
      <c r="D2" s="12"/>
      <c r="E2" s="12"/>
      <c r="F2" s="740" t="s">
        <v>35</v>
      </c>
      <c r="G2" s="740"/>
      <c r="M2" s="502" t="s">
        <v>454</v>
      </c>
    </row>
    <row r="4" spans="1:13" x14ac:dyDescent="0.3">
      <c r="A4" s="591" t="s">
        <v>369</v>
      </c>
      <c r="B4" s="592" t="str">
        <f>'Matriz de riesgos'!A11</f>
        <v>Desvíos en las proyecciones de las ventas.</v>
      </c>
      <c r="C4" s="592"/>
      <c r="D4" s="592"/>
      <c r="E4" s="592"/>
      <c r="F4" s="593"/>
    </row>
    <row r="5" spans="1:13" x14ac:dyDescent="0.3">
      <c r="A5" s="594" t="s">
        <v>342</v>
      </c>
      <c r="B5" s="44" t="str">
        <f>'Matriz de riesgos'!D11</f>
        <v>Análisis incorrecto de los alcances para el 1er año.</v>
      </c>
      <c r="C5" s="44"/>
      <c r="D5" s="44"/>
      <c r="E5" s="44"/>
      <c r="F5" s="595"/>
    </row>
    <row r="6" spans="1:13" x14ac:dyDescent="0.3">
      <c r="A6" s="596" t="s">
        <v>343</v>
      </c>
      <c r="B6" s="60" t="str">
        <f>'Matriz de riesgos'!G11</f>
        <v>Únicamente se alcanza el 80% de los objetivos de venta.</v>
      </c>
      <c r="C6" s="60"/>
      <c r="D6" s="60"/>
      <c r="E6" s="60"/>
      <c r="F6" s="597"/>
    </row>
    <row r="7" spans="1:13" x14ac:dyDescent="0.3">
      <c r="A7" s="598" t="s">
        <v>364</v>
      </c>
      <c r="B7" s="599">
        <f>'Matriz de riesgos'!J11</f>
        <v>0.5625</v>
      </c>
      <c r="C7" s="600"/>
      <c r="D7" s="600"/>
      <c r="E7" s="600"/>
      <c r="F7" s="601"/>
    </row>
    <row r="9" spans="1:13" x14ac:dyDescent="0.3">
      <c r="A9" s="539" t="str">
        <f>'Presupuesto financiero'!A16</f>
        <v>Concepto</v>
      </c>
      <c r="B9" s="521"/>
      <c r="C9" s="521" t="str">
        <f>'Presupuesto financiero'!C16</f>
        <v>Año 0</v>
      </c>
      <c r="D9" s="521" t="str">
        <f>'Presupuesto financiero'!D16</f>
        <v>Año 1</v>
      </c>
      <c r="E9" s="521" t="str">
        <f>'Presupuesto financiero'!E16</f>
        <v>Año 2</v>
      </c>
      <c r="F9" s="522" t="str">
        <f>'Presupuesto financiero'!F16</f>
        <v>Año 3</v>
      </c>
      <c r="H9" s="435" t="str">
        <f>'Presupuesto financiero'!H16</f>
        <v>Tasa de corte</v>
      </c>
      <c r="I9" s="564">
        <f>'Presupuesto financiero'!I16</f>
        <v>0.6</v>
      </c>
    </row>
    <row r="10" spans="1:13" x14ac:dyDescent="0.3">
      <c r="A10" s="459" t="str">
        <f>'Presupuesto financiero'!A17</f>
        <v>Ingresos</v>
      </c>
      <c r="B10" s="44"/>
      <c r="C10" s="540"/>
      <c r="D10" s="649">
        <f>'Presupuesto financiero'!D17*0.8</f>
        <v>5286431.04</v>
      </c>
      <c r="E10" s="540">
        <f>'Presupuesto financiero'!E17</f>
        <v>11013398</v>
      </c>
      <c r="F10" s="541">
        <f>'Presupuesto financiero'!F17</f>
        <v>15418757.200000003</v>
      </c>
      <c r="H10" s="441" t="str">
        <f>'Presupuesto financiero'!H17</f>
        <v>Valor Actual Neto</v>
      </c>
      <c r="I10" s="565">
        <f>NPV(I9,D20:F20)-C19</f>
        <v>-597948.52162995818</v>
      </c>
    </row>
    <row r="11" spans="1:13" x14ac:dyDescent="0.3">
      <c r="A11" s="548" t="str">
        <f>'Presupuesto financiero'!A18</f>
        <v>Egresos</v>
      </c>
      <c r="B11" s="549" t="str">
        <f>'Presupuesto financiero'!B18</f>
        <v>Fijo</v>
      </c>
      <c r="C11" s="550"/>
      <c r="D11" s="550">
        <f>'Presupuesto financiero'!D18</f>
        <v>1413260</v>
      </c>
      <c r="E11" s="550">
        <f>'Presupuesto financiero'!E18</f>
        <v>1532135</v>
      </c>
      <c r="F11" s="551">
        <f>'Presupuesto financiero'!F18</f>
        <v>1707410</v>
      </c>
      <c r="H11" s="443" t="str">
        <f>'Presupuesto financiero'!H18</f>
        <v>Tasa Interna de Retorno</v>
      </c>
      <c r="I11" s="566">
        <f>IRR(C20:F20)</f>
        <v>0.35589088475491337</v>
      </c>
    </row>
    <row r="12" spans="1:13" x14ac:dyDescent="0.3">
      <c r="A12" s="457"/>
      <c r="B12" s="542" t="str">
        <f>'Presupuesto financiero'!B19</f>
        <v>Variable</v>
      </c>
      <c r="C12" s="543"/>
      <c r="D12" s="543">
        <f>'Presupuesto financiero'!D19</f>
        <v>642214.44171428576</v>
      </c>
      <c r="E12" s="543">
        <f>'Presupuesto financiero'!E19</f>
        <v>1091335.3038095238</v>
      </c>
      <c r="F12" s="544">
        <f>'Presupuesto financiero'!F19</f>
        <v>1637325.1693333336</v>
      </c>
    </row>
    <row r="13" spans="1:13" x14ac:dyDescent="0.3">
      <c r="A13" s="457"/>
      <c r="B13" s="542" t="str">
        <f>'Presupuesto financiero'!B20</f>
        <v>RRHH</v>
      </c>
      <c r="C13" s="543"/>
      <c r="D13" s="543">
        <f>'Presupuesto financiero'!D20</f>
        <v>4258021.7550000008</v>
      </c>
      <c r="E13" s="543">
        <f>'Presupuesto financiero'!E20</f>
        <v>6227009.5724999998</v>
      </c>
      <c r="F13" s="544">
        <f>'Presupuesto financiero'!F20</f>
        <v>8166120.9708333323</v>
      </c>
      <c r="H13" s="850" t="s">
        <v>422</v>
      </c>
      <c r="I13" s="850"/>
    </row>
    <row r="14" spans="1:13" x14ac:dyDescent="0.3">
      <c r="A14" s="547"/>
      <c r="B14" s="346"/>
      <c r="C14" s="553"/>
      <c r="D14" s="553">
        <f>D11+D12+D13</f>
        <v>6313496.1967142867</v>
      </c>
      <c r="E14" s="553">
        <f t="shared" ref="E14:F14" si="0">E11+E12+E13</f>
        <v>8850479.8763095234</v>
      </c>
      <c r="F14" s="554">
        <f t="shared" si="0"/>
        <v>11510856.140166666</v>
      </c>
      <c r="H14" s="850"/>
      <c r="I14" s="850"/>
    </row>
    <row r="15" spans="1:13" x14ac:dyDescent="0.3">
      <c r="A15" s="459" t="str">
        <f>'Presupuesto financiero'!A22</f>
        <v>Utilidad Antes de Impuestos</v>
      </c>
      <c r="B15" s="44"/>
      <c r="C15" s="540"/>
      <c r="D15" s="545">
        <f>D10-D14</f>
        <v>-1027065.1567142867</v>
      </c>
      <c r="E15" s="545">
        <f t="shared" ref="E15:F15" si="1">E10-E14</f>
        <v>2162918.1236904766</v>
      </c>
      <c r="F15" s="546">
        <f t="shared" si="1"/>
        <v>3907901.0598333366</v>
      </c>
      <c r="H15" s="850"/>
      <c r="I15" s="850"/>
    </row>
    <row r="16" spans="1:13" x14ac:dyDescent="0.3">
      <c r="A16" s="555" t="str">
        <f>'Presupuesto financiero'!A23</f>
        <v>Impuestos a los Ingresos brutos</v>
      </c>
      <c r="B16" s="556"/>
      <c r="C16" s="558"/>
      <c r="D16" s="558"/>
      <c r="E16" s="558">
        <f>E10*0.03</f>
        <v>330401.94</v>
      </c>
      <c r="F16" s="559">
        <f>F10*0.03</f>
        <v>462562.71600000007</v>
      </c>
    </row>
    <row r="17" spans="1:6" x14ac:dyDescent="0.3">
      <c r="A17" s="459" t="str">
        <f>'Presupuesto financiero'!A24</f>
        <v>Impuestos a las ganancias</v>
      </c>
      <c r="B17" s="44"/>
      <c r="C17" s="540"/>
      <c r="D17" s="47"/>
      <c r="E17" s="540"/>
      <c r="F17" s="541">
        <f>(E15-E16-'Presupuesto financiero'!G12)*0.35/2</f>
        <v>314009.07714583341</v>
      </c>
    </row>
    <row r="18" spans="1:6" x14ac:dyDescent="0.3">
      <c r="A18" s="555" t="str">
        <f>'Presupuesto financiero'!A25</f>
        <v>Utilidad después de impuestos</v>
      </c>
      <c r="B18" s="556"/>
      <c r="C18" s="558"/>
      <c r="D18" s="560">
        <f>D15-D16-D17</f>
        <v>-1027065.1567142867</v>
      </c>
      <c r="E18" s="560">
        <f>E15-E16-E17</f>
        <v>1832516.1836904767</v>
      </c>
      <c r="F18" s="561">
        <f>F15-F16-F17</f>
        <v>3131329.2666875031</v>
      </c>
    </row>
    <row r="19" spans="1:6" x14ac:dyDescent="0.3">
      <c r="A19" s="459" t="str">
        <f>'Presupuesto financiero'!A26</f>
        <v>Inversión</v>
      </c>
      <c r="B19" s="44"/>
      <c r="C19" s="205">
        <f>'Presupuesto financiero'!C26</f>
        <v>1285744</v>
      </c>
      <c r="D19" s="205">
        <f>'Presupuesto financiero'!D26</f>
        <v>72198</v>
      </c>
      <c r="E19" s="205">
        <f>'Presupuesto financiero'!E26</f>
        <v>171827</v>
      </c>
      <c r="F19" s="563">
        <f>'Presupuesto financiero'!F26</f>
        <v>157108</v>
      </c>
    </row>
    <row r="20" spans="1:6" x14ac:dyDescent="0.3">
      <c r="A20" s="555" t="str">
        <f>'Presupuesto financiero'!A27</f>
        <v>Flujo de fondos</v>
      </c>
      <c r="B20" s="556"/>
      <c r="C20" s="560">
        <f>'Presupuesto financiero'!C27</f>
        <v>-1285744</v>
      </c>
      <c r="D20" s="560">
        <f>D18-D19</f>
        <v>-1099263.1567142867</v>
      </c>
      <c r="E20" s="560">
        <f t="shared" ref="E20:F20" si="2">E18-E19</f>
        <v>1660689.1836904767</v>
      </c>
      <c r="F20" s="561">
        <f t="shared" si="2"/>
        <v>2974221.2666875031</v>
      </c>
    </row>
    <row r="21" spans="1:6" s="13" customFormat="1" x14ac:dyDescent="0.3"/>
    <row r="22" spans="1:6" s="13" customFormat="1" x14ac:dyDescent="0.3"/>
    <row r="45" ht="29.4" customHeight="1" x14ac:dyDescent="0.3"/>
  </sheetData>
  <mergeCells count="3">
    <mergeCell ref="A1:M1"/>
    <mergeCell ref="F2:G2"/>
    <mergeCell ref="H13:I15"/>
  </mergeCells>
  <hyperlinks>
    <hyperlink ref="F2" location="Índice!A1" display="Regresar al índice" xr:uid="{A24325FB-4381-4E2E-B49D-44564DBD4890}"/>
    <hyperlink ref="A2" location="'Matriz de riesgos'!A1" display="[Matriz de riesgos]" xr:uid="{9E995523-0B73-47D2-94EB-E7CFDC9F1777}"/>
    <hyperlink ref="M2" location="'Escenario #2'!A1" display="[Escenario #2]" xr:uid="{039CB469-B902-47CE-A705-EDA89E9734FD}"/>
    <hyperlink ref="H13" location="'Contingencia #1'!A1" display="Ir a la contingencia" xr:uid="{5502DE83-9CDC-41E5-8CE0-C5736A1095EC}"/>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C4CA3-2264-4230-9772-910B7114E208}">
  <dimension ref="A1:M20"/>
  <sheetViews>
    <sheetView showGridLines="0" zoomScaleNormal="100" workbookViewId="0">
      <pane ySplit="2" topLeftCell="A3" activePane="bottomLeft" state="frozen"/>
      <selection pane="bottomLeft" activeCell="M2" sqref="M2"/>
    </sheetView>
  </sheetViews>
  <sheetFormatPr baseColWidth="10" defaultRowHeight="14.4" x14ac:dyDescent="0.3"/>
  <cols>
    <col min="1" max="1" width="26.88671875" bestFit="1" customWidth="1"/>
    <col min="3" max="3" width="13.77734375" bestFit="1" customWidth="1"/>
    <col min="4" max="4" width="14.88671875" customWidth="1"/>
    <col min="5" max="5" width="14" bestFit="1" customWidth="1"/>
    <col min="6" max="6" width="14.6640625" customWidth="1"/>
    <col min="8" max="8" width="20.77734375" bestFit="1" customWidth="1"/>
    <col min="9" max="9" width="13.6640625" bestFit="1" customWidth="1"/>
  </cols>
  <sheetData>
    <row r="1" spans="1:13" ht="21" x14ac:dyDescent="0.4">
      <c r="A1" s="686" t="s">
        <v>455</v>
      </c>
      <c r="B1" s="686"/>
      <c r="C1" s="686"/>
      <c r="D1" s="686"/>
      <c r="E1" s="686"/>
      <c r="F1" s="686"/>
      <c r="G1" s="686"/>
      <c r="H1" s="686"/>
      <c r="I1" s="686"/>
      <c r="J1" s="686"/>
      <c r="K1" s="686"/>
      <c r="L1" s="686"/>
      <c r="M1" s="686"/>
    </row>
    <row r="2" spans="1:13" ht="19.8" customHeight="1" x14ac:dyDescent="0.65">
      <c r="A2" s="502" t="s">
        <v>456</v>
      </c>
      <c r="C2" s="12"/>
      <c r="D2" s="12"/>
      <c r="E2" s="12"/>
      <c r="F2" s="740" t="s">
        <v>35</v>
      </c>
      <c r="G2" s="740"/>
      <c r="M2" s="502" t="s">
        <v>457</v>
      </c>
    </row>
    <row r="4" spans="1:13" x14ac:dyDescent="0.3">
      <c r="A4" s="602" t="s">
        <v>369</v>
      </c>
      <c r="B4" s="603" t="str">
        <f>'Matriz de riesgos'!A8</f>
        <v>Ajuste de salario.</v>
      </c>
      <c r="C4" s="603"/>
      <c r="D4" s="603"/>
      <c r="E4" s="603"/>
      <c r="F4" s="604"/>
    </row>
    <row r="5" spans="1:13" x14ac:dyDescent="0.3">
      <c r="A5" s="605" t="s">
        <v>342</v>
      </c>
      <c r="B5" s="44" t="str">
        <f>'Matriz de riesgos'!D8</f>
        <v>Devaluación requiere que se ajusten los haberes desde el 2do año.</v>
      </c>
      <c r="C5" s="44"/>
      <c r="D5" s="44"/>
      <c r="E5" s="44"/>
      <c r="F5" s="606"/>
    </row>
    <row r="6" spans="1:13" x14ac:dyDescent="0.3">
      <c r="A6" s="607" t="s">
        <v>343</v>
      </c>
      <c r="B6" s="60" t="str">
        <f>'Matriz de riesgos'!G8</f>
        <v>Aumento en los costos asociados a RRHH en un 18%.</v>
      </c>
      <c r="C6" s="60"/>
      <c r="D6" s="60"/>
      <c r="E6" s="60"/>
      <c r="F6" s="608"/>
    </row>
    <row r="7" spans="1:13" x14ac:dyDescent="0.3">
      <c r="A7" s="609" t="s">
        <v>364</v>
      </c>
      <c r="B7" s="610">
        <f>'Matriz de riesgos'!J8</f>
        <v>0.375</v>
      </c>
      <c r="C7" s="611"/>
      <c r="D7" s="611"/>
      <c r="E7" s="611"/>
      <c r="F7" s="612"/>
    </row>
    <row r="8" spans="1:13" x14ac:dyDescent="0.3">
      <c r="H8" s="44"/>
      <c r="I8" s="44"/>
      <c r="J8" s="44"/>
    </row>
    <row r="9" spans="1:13" x14ac:dyDescent="0.3">
      <c r="A9" s="539" t="str">
        <f>'Presupuesto financiero'!A16</f>
        <v>Concepto</v>
      </c>
      <c r="B9" s="676"/>
      <c r="C9" s="676" t="str">
        <f>'Presupuesto financiero'!C16</f>
        <v>Año 0</v>
      </c>
      <c r="D9" s="676" t="str">
        <f>'Presupuesto financiero'!D16</f>
        <v>Año 1</v>
      </c>
      <c r="E9" s="676" t="str">
        <f>'Presupuesto financiero'!E16</f>
        <v>Año 2</v>
      </c>
      <c r="F9" s="677" t="str">
        <f>'Presupuesto financiero'!F16</f>
        <v>Año 3</v>
      </c>
      <c r="H9" s="435" t="str">
        <f>'Presupuesto financiero'!H16</f>
        <v>Tasa de corte</v>
      </c>
      <c r="I9" s="564">
        <f>'Presupuesto financiero'!I16</f>
        <v>0.6</v>
      </c>
      <c r="J9" s="44"/>
    </row>
    <row r="10" spans="1:13" x14ac:dyDescent="0.3">
      <c r="A10" s="459" t="str">
        <f>'Presupuesto financiero'!A17</f>
        <v>Ingresos</v>
      </c>
      <c r="B10" s="44"/>
      <c r="C10" s="540"/>
      <c r="D10" s="540">
        <f>'Presupuesto financiero'!D17</f>
        <v>6608038.7999999998</v>
      </c>
      <c r="E10" s="540">
        <f>'Presupuesto financiero'!E17</f>
        <v>11013398</v>
      </c>
      <c r="F10" s="541">
        <f>'Presupuesto financiero'!F17</f>
        <v>15418757.200000003</v>
      </c>
      <c r="H10" s="441" t="str">
        <f>'Presupuesto financiero'!H17</f>
        <v>Valor Actual Neto</v>
      </c>
      <c r="I10" s="565">
        <f>NPV(I9,D20:F20)-C19</f>
        <v>-538764.71142884693</v>
      </c>
      <c r="J10" s="44"/>
    </row>
    <row r="11" spans="1:13" x14ac:dyDescent="0.3">
      <c r="A11" s="548" t="str">
        <f>'Presupuesto financiero'!A18</f>
        <v>Egresos</v>
      </c>
      <c r="B11" s="549" t="str">
        <f>'Presupuesto financiero'!B18</f>
        <v>Fijo</v>
      </c>
      <c r="C11" s="550"/>
      <c r="D11" s="550">
        <f>'Presupuesto financiero'!D18</f>
        <v>1413260</v>
      </c>
      <c r="E11" s="550">
        <f>'Presupuesto financiero'!E18</f>
        <v>1532135</v>
      </c>
      <c r="F11" s="551">
        <f>'Presupuesto financiero'!F18</f>
        <v>1707410</v>
      </c>
      <c r="H11" s="443" t="str">
        <f>'Presupuesto financiero'!H18</f>
        <v>Tasa Interna de Retorno</v>
      </c>
      <c r="I11" s="566">
        <f>IRR(C20:F20)</f>
        <v>0.2800614109829842</v>
      </c>
      <c r="J11" s="44"/>
    </row>
    <row r="12" spans="1:13" x14ac:dyDescent="0.3">
      <c r="A12" s="457"/>
      <c r="B12" s="542" t="str">
        <f>'Presupuesto financiero'!B19</f>
        <v>Variable</v>
      </c>
      <c r="C12" s="543"/>
      <c r="D12" s="543">
        <f>'Presupuesto financiero'!D19</f>
        <v>642214.44171428576</v>
      </c>
      <c r="E12" s="543">
        <f>'Presupuesto financiero'!E19</f>
        <v>1091335.3038095238</v>
      </c>
      <c r="F12" s="544">
        <f>'Presupuesto financiero'!F19</f>
        <v>1637325.1693333336</v>
      </c>
    </row>
    <row r="13" spans="1:13" x14ac:dyDescent="0.3">
      <c r="A13" s="457"/>
      <c r="B13" s="630" t="str">
        <f>'Presupuesto financiero'!B20</f>
        <v>RRHH</v>
      </c>
      <c r="C13" s="631"/>
      <c r="D13" s="543">
        <f>'Presupuesto financiero'!D20</f>
        <v>4258021.7550000008</v>
      </c>
      <c r="E13" s="631">
        <f>'Presupuesto financiero'!E20*1.18</f>
        <v>7347871.295549999</v>
      </c>
      <c r="F13" s="632">
        <f>'Presupuesto financiero'!F20*1.18</f>
        <v>9636022.7455833312</v>
      </c>
      <c r="H13" s="850" t="s">
        <v>422</v>
      </c>
      <c r="I13" s="850"/>
    </row>
    <row r="14" spans="1:13" x14ac:dyDescent="0.3">
      <c r="A14" s="547"/>
      <c r="B14" s="346"/>
      <c r="C14" s="553"/>
      <c r="D14" s="553">
        <f>SUM(D11:D13)</f>
        <v>6313496.1967142867</v>
      </c>
      <c r="E14" s="553">
        <f t="shared" ref="E14:F14" si="0">SUM(E11:E13)</f>
        <v>9971341.5993595235</v>
      </c>
      <c r="F14" s="554">
        <f t="shared" si="0"/>
        <v>12980757.914916664</v>
      </c>
      <c r="H14" s="850"/>
      <c r="I14" s="850"/>
    </row>
    <row r="15" spans="1:13" x14ac:dyDescent="0.3">
      <c r="A15" s="459" t="str">
        <f>'Presupuesto financiero'!A22</f>
        <v>Utilidad Antes de Impuestos</v>
      </c>
      <c r="B15" s="44"/>
      <c r="C15" s="540"/>
      <c r="D15" s="545">
        <f>D10-D14</f>
        <v>294542.60328571312</v>
      </c>
      <c r="E15" s="545">
        <f t="shared" ref="E15:F15" si="1">E10-E14</f>
        <v>1042056.4006404765</v>
      </c>
      <c r="F15" s="546">
        <f t="shared" si="1"/>
        <v>2437999.2850833386</v>
      </c>
      <c r="H15" s="850"/>
      <c r="I15" s="850"/>
    </row>
    <row r="16" spans="1:13" x14ac:dyDescent="0.3">
      <c r="A16" s="555" t="str">
        <f>'Presupuesto financiero'!A23</f>
        <v>Impuestos a los Ingresos brutos</v>
      </c>
      <c r="B16" s="556"/>
      <c r="C16" s="558"/>
      <c r="D16" s="558"/>
      <c r="E16" s="558">
        <f>'Presupuesto financiero'!E23</f>
        <v>330401.94</v>
      </c>
      <c r="F16" s="559">
        <f>'Presupuesto financiero'!F23</f>
        <v>462562.71600000007</v>
      </c>
    </row>
    <row r="17" spans="1:6" x14ac:dyDescent="0.3">
      <c r="A17" s="459" t="str">
        <f>'Presupuesto financiero'!A24</f>
        <v>Impuestos a las ganancias</v>
      </c>
      <c r="B17" s="44"/>
      <c r="C17" s="540"/>
      <c r="D17" s="47"/>
      <c r="E17" s="540">
        <f>(D15-D16-'Presupuesto financiero'!F12)*0.35/2</f>
        <v>46105.780574999793</v>
      </c>
      <c r="F17" s="541">
        <f>(E15-E16-'Presupuesto financiero'!G12)*0.35/2</f>
        <v>117858.27561208339</v>
      </c>
    </row>
    <row r="18" spans="1:6" x14ac:dyDescent="0.3">
      <c r="A18" s="555" t="str">
        <f>'Presupuesto financiero'!A25</f>
        <v>Utilidad después de impuestos</v>
      </c>
      <c r="B18" s="556"/>
      <c r="C18" s="558"/>
      <c r="D18" s="560">
        <f>D15-D16-D17</f>
        <v>294542.60328571312</v>
      </c>
      <c r="E18" s="560">
        <f t="shared" ref="E18:F18" si="2">E15-E16-E17</f>
        <v>665548.6800654768</v>
      </c>
      <c r="F18" s="561">
        <f t="shared" si="2"/>
        <v>1857578.2934712551</v>
      </c>
    </row>
    <row r="19" spans="1:6" x14ac:dyDescent="0.3">
      <c r="A19" s="459" t="str">
        <f>'Presupuesto financiero'!A26</f>
        <v>Inversión</v>
      </c>
      <c r="B19" s="44"/>
      <c r="C19" s="205">
        <f>'Presupuesto financiero'!C26</f>
        <v>1285744</v>
      </c>
      <c r="D19" s="205">
        <f>'Presupuesto financiero'!D26</f>
        <v>72198</v>
      </c>
      <c r="E19" s="205">
        <f>'Presupuesto financiero'!E26</f>
        <v>171827</v>
      </c>
      <c r="F19" s="563">
        <f>'Presupuesto financiero'!F26</f>
        <v>157108</v>
      </c>
    </row>
    <row r="20" spans="1:6" x14ac:dyDescent="0.3">
      <c r="A20" s="555" t="str">
        <f>'Presupuesto financiero'!A27</f>
        <v>Flujo de fondos</v>
      </c>
      <c r="B20" s="556"/>
      <c r="C20" s="560">
        <f>C18-C19</f>
        <v>-1285744</v>
      </c>
      <c r="D20" s="560">
        <f t="shared" ref="D20:F20" si="3">D18-D19</f>
        <v>222344.60328571312</v>
      </c>
      <c r="E20" s="560">
        <f t="shared" si="3"/>
        <v>493721.6800654768</v>
      </c>
      <c r="F20" s="561">
        <f t="shared" si="3"/>
        <v>1700470.2934712551</v>
      </c>
    </row>
  </sheetData>
  <mergeCells count="3">
    <mergeCell ref="A1:M1"/>
    <mergeCell ref="F2:G2"/>
    <mergeCell ref="H13:I15"/>
  </mergeCells>
  <hyperlinks>
    <hyperlink ref="F2" location="Índice!A1" display="Regresar al índice" xr:uid="{FCC50A21-38F2-451C-8162-3C95707FB3F2}"/>
    <hyperlink ref="A2" location="'Escenario #1'!A1" display="[Escenario #1]" xr:uid="{0C22D9CA-F9F9-481D-96B8-10744298915D}"/>
    <hyperlink ref="M2" location="'Escenario #3'!A1" display="[Escenario #3]" xr:uid="{90913EF7-B99D-4ABF-BD4B-CD9F44EB3B1E}"/>
    <hyperlink ref="H13" location="'Contingencia #1'!A1" display="Ir a la contingencia" xr:uid="{67DDD177-DAE3-4957-AB1A-D77D7C62869D}"/>
    <hyperlink ref="H13:I15" location="'Contingencia #2'!A1" display="&gt;&gt; Ir a la contingencia &lt;&lt;" xr:uid="{4452E5D8-01B8-4DA8-A788-60A3B10E3DB3}"/>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FFE6D4-D270-4B0D-AF7E-15A4E7858898}">
  <dimension ref="A1:M19"/>
  <sheetViews>
    <sheetView showGridLines="0" zoomScaleNormal="100" workbookViewId="0">
      <pane ySplit="2" topLeftCell="A3" activePane="bottomLeft" state="frozen"/>
      <selection pane="bottomLeft" activeCell="M2" sqref="M2"/>
    </sheetView>
  </sheetViews>
  <sheetFormatPr baseColWidth="10" defaultRowHeight="14.4" x14ac:dyDescent="0.3"/>
  <cols>
    <col min="1" max="1" width="26.88671875" bestFit="1" customWidth="1"/>
    <col min="3" max="3" width="13.77734375" bestFit="1" customWidth="1"/>
    <col min="4" max="4" width="14.88671875" customWidth="1"/>
    <col min="5" max="5" width="14" bestFit="1" customWidth="1"/>
    <col min="6" max="6" width="14.6640625" customWidth="1"/>
    <col min="8" max="8" width="20.77734375" bestFit="1" customWidth="1"/>
    <col min="9" max="9" width="13.6640625" bestFit="1" customWidth="1"/>
  </cols>
  <sheetData>
    <row r="1" spans="1:13" ht="21" x14ac:dyDescent="0.4">
      <c r="A1" s="686" t="s">
        <v>458</v>
      </c>
      <c r="B1" s="686"/>
      <c r="C1" s="686"/>
      <c r="D1" s="686"/>
      <c r="E1" s="686"/>
      <c r="F1" s="686"/>
      <c r="G1" s="686"/>
      <c r="H1" s="686"/>
      <c r="I1" s="686"/>
      <c r="J1" s="686"/>
      <c r="K1" s="686"/>
      <c r="L1" s="686"/>
      <c r="M1" s="686"/>
    </row>
    <row r="2" spans="1:13" ht="19.8" customHeight="1" x14ac:dyDescent="0.65">
      <c r="A2" s="502" t="s">
        <v>459</v>
      </c>
      <c r="C2" s="12"/>
      <c r="D2" s="12"/>
      <c r="E2" s="12"/>
      <c r="F2" s="740" t="s">
        <v>35</v>
      </c>
      <c r="G2" s="740"/>
      <c r="M2" s="502" t="s">
        <v>421</v>
      </c>
    </row>
    <row r="3" spans="1:13" x14ac:dyDescent="0.3">
      <c r="A3" s="591" t="s">
        <v>369</v>
      </c>
      <c r="B3" s="592" t="str">
        <f>'Matriz de riesgos'!A14</f>
        <v>Personal no se ajusta al cumplimiento del presupuesto.</v>
      </c>
      <c r="C3" s="592"/>
      <c r="D3" s="592"/>
      <c r="E3" s="592"/>
      <c r="F3" s="593"/>
    </row>
    <row r="4" spans="1:13" ht="29.4" customHeight="1" x14ac:dyDescent="0.3">
      <c r="A4" s="674" t="s">
        <v>342</v>
      </c>
      <c r="B4" s="718" t="str">
        <f>'Matriz de riesgos'!D14</f>
        <v>No se involucra adecuadamente a las personas en las estrategias, generando reticencia en el cumplimiento del 1er año.</v>
      </c>
      <c r="C4" s="718"/>
      <c r="D4" s="718"/>
      <c r="E4" s="718"/>
      <c r="F4" s="851"/>
    </row>
    <row r="5" spans="1:13" x14ac:dyDescent="0.3">
      <c r="A5" s="596" t="s">
        <v>343</v>
      </c>
      <c r="B5" s="60" t="str">
        <f>'Matriz de riesgos'!G14</f>
        <v>Todos costos fijos se exceden en un 6% y se llega sólo al 90% del objetivo de ventas.</v>
      </c>
      <c r="C5" s="60"/>
      <c r="D5" s="60"/>
      <c r="E5" s="60"/>
      <c r="F5" s="597"/>
    </row>
    <row r="6" spans="1:13" x14ac:dyDescent="0.3">
      <c r="A6" s="598" t="s">
        <v>364</v>
      </c>
      <c r="B6" s="599">
        <f>'Matriz de riesgos'!J14</f>
        <v>0.5625</v>
      </c>
      <c r="C6" s="600"/>
      <c r="D6" s="600"/>
      <c r="E6" s="600"/>
      <c r="F6" s="601"/>
    </row>
    <row r="8" spans="1:13" x14ac:dyDescent="0.3">
      <c r="A8" s="539" t="str">
        <f>'Presupuesto financiero'!A16</f>
        <v>Concepto</v>
      </c>
      <c r="B8" s="676"/>
      <c r="C8" s="676" t="str">
        <f>'Presupuesto financiero'!C16</f>
        <v>Año 0</v>
      </c>
      <c r="D8" s="676" t="str">
        <f>'Presupuesto financiero'!D16</f>
        <v>Año 1</v>
      </c>
      <c r="E8" s="676" t="str">
        <f>'Presupuesto financiero'!E16</f>
        <v>Año 2</v>
      </c>
      <c r="F8" s="677" t="str">
        <f>'Presupuesto financiero'!F16</f>
        <v>Año 3</v>
      </c>
      <c r="H8" s="435" t="str">
        <f>'Presupuesto financiero'!H16</f>
        <v>Tasa de corte</v>
      </c>
      <c r="I8" s="564">
        <f>'Presupuesto financiero'!I16</f>
        <v>0.6</v>
      </c>
    </row>
    <row r="9" spans="1:13" x14ac:dyDescent="0.3">
      <c r="A9" s="459" t="str">
        <f>'Presupuesto financiero'!A17</f>
        <v>Ingresos</v>
      </c>
      <c r="B9" s="44"/>
      <c r="C9" s="540"/>
      <c r="D9" s="649">
        <f>'Presupuesto financiero'!D17*0.9</f>
        <v>5947234.9199999999</v>
      </c>
      <c r="E9" s="540">
        <f>'Presupuesto financiero'!E17</f>
        <v>11013398</v>
      </c>
      <c r="F9" s="541">
        <f>'Presupuesto financiero'!F17</f>
        <v>15418757.200000003</v>
      </c>
      <c r="H9" s="441" t="str">
        <f>'Presupuesto financiero'!H17</f>
        <v>Valor Actual Neto</v>
      </c>
      <c r="I9" s="565">
        <f>NPV(I8,D19:F19)-C18</f>
        <v>-237943.3466299586</v>
      </c>
    </row>
    <row r="10" spans="1:13" x14ac:dyDescent="0.3">
      <c r="A10" s="548" t="str">
        <f>'Presupuesto financiero'!A18</f>
        <v>Egresos</v>
      </c>
      <c r="B10" s="549" t="str">
        <f>'Presupuesto financiero'!B18</f>
        <v>Fijo</v>
      </c>
      <c r="C10" s="550"/>
      <c r="D10" s="675">
        <f>'Presupuesto financiero'!D18*1.06</f>
        <v>1498055.6</v>
      </c>
      <c r="E10" s="550">
        <f>'Presupuesto financiero'!E18</f>
        <v>1532135</v>
      </c>
      <c r="F10" s="551">
        <f>'Presupuesto financiero'!F18</f>
        <v>1707410</v>
      </c>
      <c r="H10" s="443" t="str">
        <f>'Presupuesto financiero'!H18</f>
        <v>Tasa Interna de Retorno</v>
      </c>
      <c r="I10" s="566">
        <f>IRR(C19:F19)</f>
        <v>0.49398188525238851</v>
      </c>
    </row>
    <row r="11" spans="1:13" x14ac:dyDescent="0.3">
      <c r="A11" s="457"/>
      <c r="B11" s="542" t="str">
        <f>'Presupuesto financiero'!B19</f>
        <v>Variable</v>
      </c>
      <c r="C11" s="543"/>
      <c r="D11" s="543">
        <f>'Presupuesto financiero'!D19</f>
        <v>642214.44171428576</v>
      </c>
      <c r="E11" s="543">
        <f>'Presupuesto financiero'!E19</f>
        <v>1091335.3038095238</v>
      </c>
      <c r="F11" s="544">
        <f>'Presupuesto financiero'!F19</f>
        <v>1637325.1693333336</v>
      </c>
    </row>
    <row r="12" spans="1:13" x14ac:dyDescent="0.3">
      <c r="A12" s="457"/>
      <c r="B12" s="542" t="str">
        <f>'Presupuesto financiero'!B20</f>
        <v>RRHH</v>
      </c>
      <c r="C12" s="543"/>
      <c r="D12" s="543">
        <f>'Presupuesto financiero'!D20</f>
        <v>4258021.7550000008</v>
      </c>
      <c r="E12" s="543">
        <f>'Presupuesto financiero'!E20</f>
        <v>6227009.5724999998</v>
      </c>
      <c r="F12" s="544">
        <f>'Presupuesto financiero'!F20</f>
        <v>8166120.9708333323</v>
      </c>
      <c r="H12" s="872" t="s">
        <v>422</v>
      </c>
      <c r="I12" s="872"/>
    </row>
    <row r="13" spans="1:13" x14ac:dyDescent="0.3">
      <c r="A13" s="547"/>
      <c r="B13" s="346"/>
      <c r="C13" s="553"/>
      <c r="D13" s="553">
        <f>SUM(D10:D12)</f>
        <v>6398291.7967142873</v>
      </c>
      <c r="E13" s="553">
        <f t="shared" ref="E13:F13" si="0">SUM(E10:E12)</f>
        <v>8850479.8763095234</v>
      </c>
      <c r="F13" s="554">
        <f t="shared" si="0"/>
        <v>11510856.140166666</v>
      </c>
      <c r="H13" s="872"/>
      <c r="I13" s="872"/>
    </row>
    <row r="14" spans="1:13" x14ac:dyDescent="0.3">
      <c r="A14" s="459" t="str">
        <f>'Presupuesto financiero'!A22</f>
        <v>Utilidad Antes de Impuestos</v>
      </c>
      <c r="B14" s="44"/>
      <c r="C14" s="540"/>
      <c r="D14" s="545">
        <f>D9-D13</f>
        <v>-451056.87671428733</v>
      </c>
      <c r="E14" s="545">
        <f t="shared" ref="E14:F14" si="1">E9-E13</f>
        <v>2162918.1236904766</v>
      </c>
      <c r="F14" s="546">
        <f t="shared" si="1"/>
        <v>3907901.0598333366</v>
      </c>
      <c r="H14" s="872"/>
      <c r="I14" s="872"/>
    </row>
    <row r="15" spans="1:13" x14ac:dyDescent="0.3">
      <c r="A15" s="555" t="str">
        <f>'Presupuesto financiero'!A23</f>
        <v>Impuestos a los Ingresos brutos</v>
      </c>
      <c r="B15" s="556"/>
      <c r="C15" s="558"/>
      <c r="D15" s="558"/>
      <c r="E15" s="558">
        <f t="shared" ref="E15:F15" si="2">E9*0.03</f>
        <v>330401.94</v>
      </c>
      <c r="F15" s="559">
        <f t="shared" si="2"/>
        <v>462562.71600000007</v>
      </c>
    </row>
    <row r="16" spans="1:13" x14ac:dyDescent="0.3">
      <c r="A16" s="459" t="str">
        <f>'Presupuesto financiero'!A24</f>
        <v>Impuestos a las ganancias</v>
      </c>
      <c r="B16" s="44"/>
      <c r="C16" s="540"/>
      <c r="D16" s="47"/>
      <c r="E16" s="540"/>
      <c r="F16" s="541">
        <f>(E14-E15-'Presupuesto financiero'!G12)*0.35/2</f>
        <v>314009.07714583341</v>
      </c>
    </row>
    <row r="17" spans="1:6" x14ac:dyDescent="0.3">
      <c r="A17" s="555" t="str">
        <f>'Presupuesto financiero'!A25</f>
        <v>Utilidad después de impuestos</v>
      </c>
      <c r="B17" s="556"/>
      <c r="C17" s="558"/>
      <c r="D17" s="560">
        <f>D14-D15-D16</f>
        <v>-451056.87671428733</v>
      </c>
      <c r="E17" s="560">
        <f t="shared" ref="E17:F17" si="3">E14-E15-E16</f>
        <v>1832516.1836904767</v>
      </c>
      <c r="F17" s="561">
        <f t="shared" si="3"/>
        <v>3131329.2666875031</v>
      </c>
    </row>
    <row r="18" spans="1:6" x14ac:dyDescent="0.3">
      <c r="A18" s="459" t="str">
        <f>'Presupuesto financiero'!A26</f>
        <v>Inversión</v>
      </c>
      <c r="B18" s="44"/>
      <c r="C18" s="205">
        <f>'Presupuesto financiero'!C26</f>
        <v>1285744</v>
      </c>
      <c r="D18" s="205">
        <f>'Presupuesto financiero'!D26</f>
        <v>72198</v>
      </c>
      <c r="E18" s="205">
        <f>'Presupuesto financiero'!E26</f>
        <v>171827</v>
      </c>
      <c r="F18" s="563">
        <f>'Presupuesto financiero'!F26</f>
        <v>157108</v>
      </c>
    </row>
    <row r="19" spans="1:6" x14ac:dyDescent="0.3">
      <c r="A19" s="555" t="str">
        <f>'Presupuesto financiero'!A27</f>
        <v>Flujo de fondos</v>
      </c>
      <c r="B19" s="556"/>
      <c r="C19" s="560">
        <f>C17-C18</f>
        <v>-1285744</v>
      </c>
      <c r="D19" s="560">
        <f t="shared" ref="D19:F19" si="4">D17-D18</f>
        <v>-523254.87671428733</v>
      </c>
      <c r="E19" s="560">
        <f t="shared" si="4"/>
        <v>1660689.1836904767</v>
      </c>
      <c r="F19" s="561">
        <f t="shared" si="4"/>
        <v>2974221.2666875031</v>
      </c>
    </row>
  </sheetData>
  <mergeCells count="4">
    <mergeCell ref="A1:M1"/>
    <mergeCell ref="F2:G2"/>
    <mergeCell ref="B4:F4"/>
    <mergeCell ref="H12:I14"/>
  </mergeCells>
  <hyperlinks>
    <hyperlink ref="F2" location="Índice!A1" display="Regresar al índice" xr:uid="{CF7FC3AA-5171-4CD3-A672-A93476C068F7}"/>
    <hyperlink ref="A2" location="'Escenario #2'!A1" display="[Escenario#2]" xr:uid="{E00491BC-5D78-400D-8658-BB5499CA2509}"/>
    <hyperlink ref="M2" location="'Contingencia #1'!A1" display="[Contingencia #1]" xr:uid="{F271FE67-E3F5-4483-8BB0-BA6357DD973D}"/>
    <hyperlink ref="H12" location="'Contingencia #1'!A1" display="Ir a la contingencia" xr:uid="{5A08A613-DB27-4015-AC2D-1936BCCC2F49}"/>
    <hyperlink ref="H12:I14" location="'Contingencia #3'!A1" display="&gt;&gt; Ir a la contingencia &lt;&lt;" xr:uid="{A58A86E9-53C2-4202-825D-6CEB5A0B37DA}"/>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A98A4-5F7C-43D6-9EDF-E0D107937885}">
  <dimension ref="A1:AL60"/>
  <sheetViews>
    <sheetView showGridLines="0" topLeftCell="B1" zoomScaleNormal="100" workbookViewId="0">
      <pane ySplit="2" topLeftCell="A3" activePane="bottomLeft" state="frozen"/>
      <selection pane="bottomLeft" activeCell="M2" sqref="M2"/>
    </sheetView>
  </sheetViews>
  <sheetFormatPr baseColWidth="10" defaultRowHeight="14.4" x14ac:dyDescent="0.3"/>
  <cols>
    <col min="1" max="1" width="39.5546875" customWidth="1"/>
    <col min="2" max="2" width="13.88671875" customWidth="1"/>
    <col min="3" max="4" width="13.77734375" bestFit="1" customWidth="1"/>
    <col min="5" max="6" width="14" bestFit="1" customWidth="1"/>
    <col min="7" max="7" width="12.109375" customWidth="1"/>
    <col min="8" max="8" width="26" customWidth="1"/>
    <col min="9" max="9" width="12.6640625" customWidth="1"/>
    <col min="10" max="10" width="13.5546875" customWidth="1"/>
    <col min="11" max="11" width="14.109375" bestFit="1" customWidth="1"/>
    <col min="12" max="12" width="14.44140625" bestFit="1" customWidth="1"/>
    <col min="13" max="13" width="18.5546875" customWidth="1"/>
    <col min="15" max="15" width="14.44140625" bestFit="1" customWidth="1"/>
    <col min="18" max="18" width="14.44140625" bestFit="1" customWidth="1"/>
    <col min="21" max="21" width="14.44140625" bestFit="1" customWidth="1"/>
    <col min="24" max="24" width="14.44140625" bestFit="1" customWidth="1"/>
    <col min="27" max="27" width="14.44140625" bestFit="1" customWidth="1"/>
    <col min="30" max="30" width="12.88671875" bestFit="1" customWidth="1"/>
    <col min="33" max="33" width="12.88671875" bestFit="1" customWidth="1"/>
    <col min="36" max="36" width="12.88671875" bestFit="1" customWidth="1"/>
  </cols>
  <sheetData>
    <row r="1" spans="1:13" ht="21" x14ac:dyDescent="0.4">
      <c r="A1" s="686" t="s">
        <v>418</v>
      </c>
      <c r="B1" s="686"/>
      <c r="C1" s="686"/>
      <c r="D1" s="686"/>
      <c r="E1" s="686"/>
      <c r="F1" s="686"/>
      <c r="G1" s="686"/>
      <c r="H1" s="686"/>
      <c r="I1" s="686"/>
      <c r="J1" s="686"/>
      <c r="K1" s="686"/>
      <c r="L1" s="686"/>
      <c r="M1" s="686"/>
    </row>
    <row r="2" spans="1:13" ht="19.8" customHeight="1" x14ac:dyDescent="0.65">
      <c r="A2" s="502" t="s">
        <v>457</v>
      </c>
      <c r="C2" s="12"/>
      <c r="D2" s="12"/>
      <c r="E2" s="12"/>
      <c r="F2" s="740" t="s">
        <v>35</v>
      </c>
      <c r="G2" s="740"/>
      <c r="M2" s="502" t="s">
        <v>420</v>
      </c>
    </row>
    <row r="4" spans="1:13" x14ac:dyDescent="0.3">
      <c r="A4" s="591" t="s">
        <v>369</v>
      </c>
      <c r="B4" s="592" t="str">
        <f>'Matriz de riesgos'!A11</f>
        <v>Desvíos en las proyecciones de las ventas.</v>
      </c>
      <c r="C4" s="592"/>
      <c r="D4" s="592"/>
      <c r="E4" s="592"/>
      <c r="F4" s="593"/>
      <c r="H4" s="860" t="s">
        <v>414</v>
      </c>
      <c r="I4" s="861"/>
      <c r="J4" s="861"/>
      <c r="K4" s="861"/>
      <c r="L4" s="861"/>
      <c r="M4" s="862"/>
    </row>
    <row r="5" spans="1:13" x14ac:dyDescent="0.3">
      <c r="A5" s="594" t="s">
        <v>342</v>
      </c>
      <c r="B5" s="44" t="str">
        <f>'Matriz de riesgos'!D11</f>
        <v>Análisis incorrecto de los alcances para el 1er año.</v>
      </c>
      <c r="C5" s="44"/>
      <c r="D5" s="44"/>
      <c r="E5" s="44"/>
      <c r="F5" s="595"/>
      <c r="H5" s="863"/>
      <c r="I5" s="864"/>
      <c r="J5" s="864"/>
      <c r="K5" s="864"/>
      <c r="L5" s="864"/>
      <c r="M5" s="865"/>
    </row>
    <row r="6" spans="1:13" x14ac:dyDescent="0.3">
      <c r="A6" s="596" t="s">
        <v>343</v>
      </c>
      <c r="B6" s="60" t="str">
        <f>'Matriz de riesgos'!G11</f>
        <v>Únicamente se alcanza el 80% de los objetivos de venta.</v>
      </c>
      <c r="C6" s="60"/>
      <c r="D6" s="60"/>
      <c r="E6" s="60"/>
      <c r="F6" s="597"/>
      <c r="H6" s="863"/>
      <c r="I6" s="864"/>
      <c r="J6" s="864"/>
      <c r="K6" s="864"/>
      <c r="L6" s="864"/>
      <c r="M6" s="865"/>
    </row>
    <row r="7" spans="1:13" x14ac:dyDescent="0.3">
      <c r="A7" s="598" t="s">
        <v>364</v>
      </c>
      <c r="B7" s="599">
        <v>0.5625</v>
      </c>
      <c r="C7" s="600"/>
      <c r="D7" s="600"/>
      <c r="E7" s="600"/>
      <c r="F7" s="601"/>
      <c r="H7" s="866"/>
      <c r="I7" s="867"/>
      <c r="J7" s="867"/>
      <c r="K7" s="867"/>
      <c r="L7" s="867"/>
      <c r="M7" s="868"/>
    </row>
    <row r="9" spans="1:13" x14ac:dyDescent="0.3">
      <c r="A9" s="539" t="s">
        <v>121</v>
      </c>
      <c r="B9" s="614"/>
      <c r="C9" s="614" t="s">
        <v>221</v>
      </c>
      <c r="D9" s="614" t="s">
        <v>47</v>
      </c>
      <c r="E9" s="614" t="s">
        <v>48</v>
      </c>
      <c r="F9" s="615" t="s">
        <v>49</v>
      </c>
      <c r="H9" s="539" t="s">
        <v>121</v>
      </c>
      <c r="I9" s="583"/>
      <c r="J9" s="583" t="s">
        <v>221</v>
      </c>
      <c r="K9" s="583" t="s">
        <v>47</v>
      </c>
      <c r="L9" s="583" t="s">
        <v>48</v>
      </c>
      <c r="M9" s="584" t="s">
        <v>49</v>
      </c>
    </row>
    <row r="10" spans="1:13" x14ac:dyDescent="0.3">
      <c r="A10" s="459" t="s">
        <v>314</v>
      </c>
      <c r="B10" s="44"/>
      <c r="C10" s="540"/>
      <c r="D10" s="540">
        <f>'Escenario #1'!D10</f>
        <v>5286431.04</v>
      </c>
      <c r="E10" s="540">
        <f>'Escenario #1'!E10</f>
        <v>11013398</v>
      </c>
      <c r="F10" s="541">
        <f>'Escenario #1'!F10</f>
        <v>15418757.200000003</v>
      </c>
      <c r="H10" s="459" t="s">
        <v>314</v>
      </c>
      <c r="I10" s="44"/>
      <c r="J10" s="540"/>
      <c r="K10" s="540">
        <v>5286431.04</v>
      </c>
      <c r="L10" s="657">
        <f>C44+F44+I44+L44+O44+R44+U44+X44+AA44+AD44+AG44+AJ44</f>
        <v>11886705</v>
      </c>
      <c r="M10" s="541">
        <f>15418757.2*1.05</f>
        <v>16189695.060000001</v>
      </c>
    </row>
    <row r="11" spans="1:13" x14ac:dyDescent="0.3">
      <c r="A11" s="548" t="s">
        <v>315</v>
      </c>
      <c r="B11" s="549" t="s">
        <v>217</v>
      </c>
      <c r="C11" s="550"/>
      <c r="D11" s="550">
        <f>'Escenario #1'!D11</f>
        <v>1413260</v>
      </c>
      <c r="E11" s="550">
        <f>'Escenario #1'!E11</f>
        <v>1532135</v>
      </c>
      <c r="F11" s="551">
        <f>'Escenario #1'!F11</f>
        <v>1707410</v>
      </c>
      <c r="H11" s="548" t="s">
        <v>315</v>
      </c>
      <c r="I11" s="549" t="s">
        <v>217</v>
      </c>
      <c r="J11" s="550"/>
      <c r="K11" s="550">
        <v>1413260</v>
      </c>
      <c r="L11" s="550">
        <v>1532135</v>
      </c>
      <c r="M11" s="551">
        <v>1707410</v>
      </c>
    </row>
    <row r="12" spans="1:13" x14ac:dyDescent="0.3">
      <c r="A12" s="457"/>
      <c r="B12" s="542" t="s">
        <v>218</v>
      </c>
      <c r="C12" s="543"/>
      <c r="D12" s="543">
        <f>'Escenario #1'!D12</f>
        <v>642214.44171428576</v>
      </c>
      <c r="E12" s="543">
        <f>'Escenario #1'!E12</f>
        <v>1091335.3038095238</v>
      </c>
      <c r="F12" s="544">
        <f>'Escenario #1'!F12</f>
        <v>1637325.1693333336</v>
      </c>
      <c r="H12" s="457"/>
      <c r="I12" s="542" t="s">
        <v>218</v>
      </c>
      <c r="J12" s="543"/>
      <c r="K12" s="659">
        <f>M52</f>
        <v>355178.62217142864</v>
      </c>
      <c r="L12" s="659">
        <f>M60</f>
        <v>1167428.6401904761</v>
      </c>
      <c r="M12" s="544">
        <v>1637325.1693333336</v>
      </c>
    </row>
    <row r="13" spans="1:13" x14ac:dyDescent="0.3">
      <c r="A13" s="457"/>
      <c r="B13" s="542" t="s">
        <v>65</v>
      </c>
      <c r="C13" s="543"/>
      <c r="D13" s="543">
        <f>'Escenario #1'!D13</f>
        <v>4258021.7550000008</v>
      </c>
      <c r="E13" s="543">
        <f>'Escenario #1'!E13</f>
        <v>6227009.5724999998</v>
      </c>
      <c r="F13" s="544">
        <f>'Escenario #1'!F13</f>
        <v>8166120.9708333323</v>
      </c>
      <c r="H13" s="457"/>
      <c r="I13" s="542" t="s">
        <v>65</v>
      </c>
      <c r="J13" s="543"/>
      <c r="K13" s="543">
        <v>4258021.7550000008</v>
      </c>
      <c r="L13" s="543">
        <v>6227009.5724999998</v>
      </c>
      <c r="M13" s="544">
        <v>8166120.9708333323</v>
      </c>
    </row>
    <row r="14" spans="1:13" x14ac:dyDescent="0.3">
      <c r="A14" s="547"/>
      <c r="B14" s="346"/>
      <c r="C14" s="553"/>
      <c r="D14" s="553">
        <f>'Escenario #1'!D14</f>
        <v>6313496.1967142867</v>
      </c>
      <c r="E14" s="553">
        <f>'Escenario #1'!E14</f>
        <v>8850479.8763095234</v>
      </c>
      <c r="F14" s="554">
        <f>'Escenario #1'!F14</f>
        <v>11510856.140166666</v>
      </c>
      <c r="H14" s="547"/>
      <c r="I14" s="346"/>
      <c r="J14" s="553"/>
      <c r="K14" s="553">
        <f>SUM(K11:K13)</f>
        <v>6026460.3771714289</v>
      </c>
      <c r="L14" s="553">
        <f>SUM(L11:L13)</f>
        <v>8926573.2126904763</v>
      </c>
      <c r="M14" s="554">
        <f>SUM(M11:M13)</f>
        <v>11510856.140166666</v>
      </c>
    </row>
    <row r="15" spans="1:13" x14ac:dyDescent="0.3">
      <c r="A15" s="459" t="s">
        <v>317</v>
      </c>
      <c r="B15" s="44"/>
      <c r="C15" s="540"/>
      <c r="D15" s="545">
        <f>'Escenario #1'!D15</f>
        <v>-1027065.1567142867</v>
      </c>
      <c r="E15" s="545">
        <f>'Escenario #1'!E15</f>
        <v>2162918.1236904766</v>
      </c>
      <c r="F15" s="546">
        <f>'Escenario #1'!F15</f>
        <v>3907901.0598333366</v>
      </c>
      <c r="H15" s="459" t="s">
        <v>317</v>
      </c>
      <c r="I15" s="44"/>
      <c r="J15" s="540"/>
      <c r="K15" s="545">
        <f>K10-K14</f>
        <v>-740029.33717142884</v>
      </c>
      <c r="L15" s="545">
        <f>L10-L14</f>
        <v>2960131.7873095237</v>
      </c>
      <c r="M15" s="546">
        <f>M10-M14</f>
        <v>4678838.9198333342</v>
      </c>
    </row>
    <row r="16" spans="1:13" x14ac:dyDescent="0.3">
      <c r="A16" s="555" t="s">
        <v>319</v>
      </c>
      <c r="B16" s="556"/>
      <c r="C16" s="558"/>
      <c r="D16" s="558">
        <f>'Escenario #1'!D16</f>
        <v>0</v>
      </c>
      <c r="E16" s="558">
        <f>'Escenario #1'!E16</f>
        <v>330401.94</v>
      </c>
      <c r="F16" s="559">
        <f>'Escenario #1'!F16</f>
        <v>462562.71600000007</v>
      </c>
      <c r="H16" s="555" t="s">
        <v>319</v>
      </c>
      <c r="I16" s="556"/>
      <c r="J16" s="558"/>
      <c r="K16" s="558"/>
      <c r="L16" s="558">
        <f>L10*0.03</f>
        <v>356601.14999999997</v>
      </c>
      <c r="M16" s="559">
        <f>M10*0.03</f>
        <v>485690.8518</v>
      </c>
    </row>
    <row r="17" spans="1:13" x14ac:dyDescent="0.3">
      <c r="A17" s="459" t="s">
        <v>318</v>
      </c>
      <c r="B17" s="44"/>
      <c r="C17" s="540"/>
      <c r="D17" s="47">
        <f>'Escenario #1'!D17</f>
        <v>0</v>
      </c>
      <c r="E17" s="540">
        <f>'Escenario #1'!E17</f>
        <v>0</v>
      </c>
      <c r="F17" s="541">
        <f>'Escenario #1'!F17</f>
        <v>314009.07714583341</v>
      </c>
      <c r="H17" s="459" t="s">
        <v>318</v>
      </c>
      <c r="I17" s="44"/>
      <c r="J17" s="540"/>
      <c r="K17" s="47"/>
      <c r="L17" s="540"/>
      <c r="M17" s="541">
        <f>(L15-L16-'Presupuesto financiero'!G12)*0.35/2</f>
        <v>448936.60652916663</v>
      </c>
    </row>
    <row r="18" spans="1:13" x14ac:dyDescent="0.3">
      <c r="A18" s="555" t="s">
        <v>320</v>
      </c>
      <c r="B18" s="556"/>
      <c r="C18" s="558"/>
      <c r="D18" s="560">
        <f>'Escenario #1'!D18</f>
        <v>-1027065.1567142867</v>
      </c>
      <c r="E18" s="560">
        <f>'Escenario #1'!E18</f>
        <v>1832516.1836904767</v>
      </c>
      <c r="F18" s="561">
        <f>'Escenario #1'!F18</f>
        <v>3131329.2666875031</v>
      </c>
      <c r="H18" s="555" t="s">
        <v>320</v>
      </c>
      <c r="I18" s="556"/>
      <c r="J18" s="558"/>
      <c r="K18" s="560">
        <f>K15-K16-K17</f>
        <v>-740029.33717142884</v>
      </c>
      <c r="L18" s="560">
        <f t="shared" ref="L18:M18" si="0">L15-L16-L17</f>
        <v>2603530.6373095238</v>
      </c>
      <c r="M18" s="560">
        <f t="shared" si="0"/>
        <v>3744211.4615041679</v>
      </c>
    </row>
    <row r="19" spans="1:13" x14ac:dyDescent="0.3">
      <c r="A19" s="459" t="s">
        <v>250</v>
      </c>
      <c r="B19" s="44"/>
      <c r="C19" s="205">
        <f>'Escenario #1'!C19</f>
        <v>1285744</v>
      </c>
      <c r="D19" s="205">
        <f>'Escenario #1'!D19</f>
        <v>72198</v>
      </c>
      <c r="E19" s="205">
        <f>'Escenario #1'!E19</f>
        <v>171827</v>
      </c>
      <c r="F19" s="563">
        <f>'Escenario #1'!F19</f>
        <v>157108</v>
      </c>
      <c r="H19" s="459" t="s">
        <v>250</v>
      </c>
      <c r="I19" s="44"/>
      <c r="J19" s="205">
        <v>1285744</v>
      </c>
      <c r="K19" s="205">
        <v>72198</v>
      </c>
      <c r="L19" s="205">
        <v>171827</v>
      </c>
      <c r="M19" s="563">
        <v>157108</v>
      </c>
    </row>
    <row r="20" spans="1:13" x14ac:dyDescent="0.3">
      <c r="A20" s="555" t="s">
        <v>321</v>
      </c>
      <c r="B20" s="556"/>
      <c r="C20" s="560">
        <f>'Escenario #1'!C20</f>
        <v>-1285744</v>
      </c>
      <c r="D20" s="560">
        <f>'Escenario #1'!D20</f>
        <v>-1099263.1567142867</v>
      </c>
      <c r="E20" s="560">
        <f>'Escenario #1'!E20</f>
        <v>1660689.1836904767</v>
      </c>
      <c r="F20" s="561">
        <f>'Escenario #1'!F20</f>
        <v>2974221.2666875031</v>
      </c>
      <c r="H20" s="555" t="s">
        <v>321</v>
      </c>
      <c r="I20" s="556"/>
      <c r="J20" s="560">
        <v>-1285744</v>
      </c>
      <c r="K20" s="560">
        <f>K18-K19</f>
        <v>-812227.33717142884</v>
      </c>
      <c r="L20" s="560">
        <f t="shared" ref="L20:M20" si="1">L18-L19</f>
        <v>2431703.6373095238</v>
      </c>
      <c r="M20" s="560">
        <f t="shared" si="1"/>
        <v>3587103.4615041679</v>
      </c>
    </row>
    <row r="22" spans="1:13" x14ac:dyDescent="0.3">
      <c r="A22" s="435" t="s">
        <v>322</v>
      </c>
      <c r="B22" s="564">
        <v>0.6</v>
      </c>
      <c r="H22" s="435" t="s">
        <v>322</v>
      </c>
      <c r="I22" s="564">
        <v>0.6</v>
      </c>
      <c r="K22" s="648" t="s">
        <v>416</v>
      </c>
      <c r="L22" s="646"/>
      <c r="M22" s="647"/>
    </row>
    <row r="23" spans="1:13" x14ac:dyDescent="0.3">
      <c r="A23" s="441" t="s">
        <v>323</v>
      </c>
      <c r="B23" s="565">
        <v>-597948.52162995818</v>
      </c>
      <c r="H23" s="441" t="s">
        <v>323</v>
      </c>
      <c r="I23" s="565">
        <f>NPV(I22,K20:M20)-J19</f>
        <v>32255.82862318051</v>
      </c>
      <c r="K23" s="852" t="s">
        <v>428</v>
      </c>
      <c r="L23" s="853"/>
      <c r="M23" s="854"/>
    </row>
    <row r="24" spans="1:13" x14ac:dyDescent="0.3">
      <c r="A24" s="443" t="s">
        <v>324</v>
      </c>
      <c r="B24" s="566">
        <v>0.35589088475491337</v>
      </c>
      <c r="H24" s="443" t="s">
        <v>324</v>
      </c>
      <c r="I24" s="566">
        <f>IRR(J20:M20)</f>
        <v>0.61303830004295867</v>
      </c>
      <c r="K24" s="855"/>
      <c r="L24" s="856"/>
      <c r="M24" s="857"/>
    </row>
    <row r="27" spans="1:13" x14ac:dyDescent="0.3">
      <c r="A27" s="869" t="s">
        <v>415</v>
      </c>
      <c r="B27" s="869"/>
      <c r="C27" s="869"/>
      <c r="D27" s="869"/>
      <c r="E27" s="869"/>
      <c r="F27" s="869"/>
      <c r="G27" s="869"/>
      <c r="H27" s="869"/>
      <c r="I27" s="869"/>
      <c r="J27" s="869"/>
      <c r="K27" s="869"/>
      <c r="L27" s="869"/>
      <c r="M27" s="869"/>
    </row>
    <row r="28" spans="1:13" x14ac:dyDescent="0.3">
      <c r="A28" t="s">
        <v>443</v>
      </c>
    </row>
    <row r="29" spans="1:13" x14ac:dyDescent="0.3">
      <c r="A29" t="s">
        <v>444</v>
      </c>
    </row>
    <row r="30" spans="1:13" x14ac:dyDescent="0.3">
      <c r="A30" t="s">
        <v>445</v>
      </c>
    </row>
    <row r="31" spans="1:13" x14ac:dyDescent="0.3">
      <c r="A31" t="s">
        <v>447</v>
      </c>
    </row>
    <row r="32" spans="1:13" x14ac:dyDescent="0.3">
      <c r="A32" t="s">
        <v>446</v>
      </c>
    </row>
    <row r="34" spans="1:38" x14ac:dyDescent="0.3">
      <c r="B34" s="379" t="s">
        <v>413</v>
      </c>
      <c r="C34" s="380" t="s">
        <v>42</v>
      </c>
      <c r="D34" s="638" t="s">
        <v>43</v>
      </c>
      <c r="E34" s="641" t="s">
        <v>417</v>
      </c>
    </row>
    <row r="35" spans="1:38" x14ac:dyDescent="0.3">
      <c r="A35" s="244" t="s">
        <v>20</v>
      </c>
      <c r="B35" s="858">
        <f>Hipótesis!D72</f>
        <v>40</v>
      </c>
      <c r="C35" s="639">
        <f>Hipótesis!C52+0.05</f>
        <v>0.55000000000000004</v>
      </c>
      <c r="D35" s="653">
        <f>B35*C35</f>
        <v>22</v>
      </c>
      <c r="E35" s="642">
        <f>1-0.5/0.55</f>
        <v>9.0909090909090939E-2</v>
      </c>
    </row>
    <row r="36" spans="1:38" x14ac:dyDescent="0.3">
      <c r="A36" s="345" t="s">
        <v>21</v>
      </c>
      <c r="B36" s="859"/>
      <c r="C36" s="640">
        <f>Hipótesis!C53+0.1</f>
        <v>1.6</v>
      </c>
      <c r="D36" s="654">
        <f>B35*C36</f>
        <v>64</v>
      </c>
      <c r="E36" s="643">
        <f>1-1.5/1.7</f>
        <v>0.11764705882352944</v>
      </c>
    </row>
    <row r="37" spans="1:38" x14ac:dyDescent="0.3">
      <c r="B37" s="5"/>
      <c r="C37" s="5"/>
      <c r="D37" s="5"/>
    </row>
    <row r="38" spans="1:38" x14ac:dyDescent="0.3">
      <c r="A38" s="6" t="s">
        <v>412</v>
      </c>
    </row>
    <row r="39" spans="1:38" x14ac:dyDescent="0.3">
      <c r="A39" s="81"/>
      <c r="B39" s="81"/>
      <c r="C39" s="735" t="str">
        <f>'Proyección de ventas'!C42</f>
        <v>Enero</v>
      </c>
      <c r="D39" s="736">
        <f>'Proyección de ventas'!D42</f>
        <v>0</v>
      </c>
      <c r="E39" s="736">
        <f>'Proyección de ventas'!E42</f>
        <v>0</v>
      </c>
      <c r="F39" s="734" t="str">
        <f>'Proyección de ventas'!F42</f>
        <v>Febrero</v>
      </c>
      <c r="G39" s="734">
        <f>'Proyección de ventas'!G42</f>
        <v>0</v>
      </c>
      <c r="H39" s="734">
        <f>'Proyección de ventas'!H42</f>
        <v>0</v>
      </c>
      <c r="I39" s="726" t="str">
        <f>'Proyección de ventas'!I42</f>
        <v>Marzo</v>
      </c>
      <c r="J39" s="726">
        <f>'Proyección de ventas'!J42</f>
        <v>0</v>
      </c>
      <c r="K39" s="726">
        <f>'Proyección de ventas'!K42</f>
        <v>0</v>
      </c>
      <c r="L39" s="734" t="str">
        <f>'Proyección de ventas'!L42</f>
        <v>Abril</v>
      </c>
      <c r="M39" s="734">
        <f>'Proyección de ventas'!M42</f>
        <v>0</v>
      </c>
      <c r="N39" s="734">
        <f>'Proyección de ventas'!N42</f>
        <v>0</v>
      </c>
      <c r="O39" s="726" t="str">
        <f>'Proyección de ventas'!O42</f>
        <v>Mayo</v>
      </c>
      <c r="P39" s="726">
        <f>'Proyección de ventas'!P42</f>
        <v>0</v>
      </c>
      <c r="Q39" s="726">
        <f>'Proyección de ventas'!Q42</f>
        <v>0</v>
      </c>
      <c r="R39" s="734" t="str">
        <f>'Proyección de ventas'!R42</f>
        <v>Junio</v>
      </c>
      <c r="S39" s="734">
        <f>'Proyección de ventas'!S42</f>
        <v>0</v>
      </c>
      <c r="T39" s="734">
        <f>'Proyección de ventas'!T42</f>
        <v>0</v>
      </c>
      <c r="U39" s="726" t="str">
        <f>'Proyección de ventas'!U42</f>
        <v>Julio</v>
      </c>
      <c r="V39" s="726">
        <f>'Proyección de ventas'!V42</f>
        <v>0</v>
      </c>
      <c r="W39" s="726">
        <f>'Proyección de ventas'!W42</f>
        <v>0</v>
      </c>
      <c r="X39" s="734" t="str">
        <f>'Proyección de ventas'!X42</f>
        <v>Agosto</v>
      </c>
      <c r="Y39" s="734">
        <f>'Proyección de ventas'!Y42</f>
        <v>0</v>
      </c>
      <c r="Z39" s="734">
        <f>'Proyección de ventas'!Z42</f>
        <v>0</v>
      </c>
      <c r="AA39" s="726" t="str">
        <f>'Proyección de ventas'!AA42</f>
        <v>Septiembre</v>
      </c>
      <c r="AB39" s="726">
        <f>'Proyección de ventas'!AB42</f>
        <v>0</v>
      </c>
      <c r="AC39" s="726">
        <f>'Proyección de ventas'!AC42</f>
        <v>0</v>
      </c>
      <c r="AD39" s="734" t="str">
        <f>'Proyección de ventas'!AD42</f>
        <v>Octubre</v>
      </c>
      <c r="AE39" s="734">
        <f>'Proyección de ventas'!AE42</f>
        <v>0</v>
      </c>
      <c r="AF39" s="734">
        <f>'Proyección de ventas'!AF42</f>
        <v>0</v>
      </c>
      <c r="AG39" s="726" t="str">
        <f>'Proyección de ventas'!AG42</f>
        <v>Noviembre</v>
      </c>
      <c r="AH39" s="726">
        <f>'Proyección de ventas'!AH42</f>
        <v>0</v>
      </c>
      <c r="AI39" s="726">
        <f>'Proyección de ventas'!AI42</f>
        <v>0</v>
      </c>
      <c r="AJ39" s="727" t="str">
        <f>'Proyección de ventas'!AJ42</f>
        <v>Diciembre</v>
      </c>
      <c r="AK39" s="727">
        <f>'Proyección de ventas'!AK42</f>
        <v>0</v>
      </c>
      <c r="AL39" s="728">
        <f>'Proyección de ventas'!AL42</f>
        <v>0</v>
      </c>
    </row>
    <row r="40" spans="1:38" x14ac:dyDescent="0.3">
      <c r="A40" s="492" t="str">
        <f>'Proyección de ventas'!A43</f>
        <v>Productos</v>
      </c>
      <c r="B40" s="493" t="str">
        <f>'Proyección de ventas'!B43</f>
        <v>$AR</v>
      </c>
      <c r="C40" s="493" t="str">
        <f>'Proyección de ventas'!C43</f>
        <v>Ventas</v>
      </c>
      <c r="D40" s="494" t="str">
        <f>'Proyección de ventas'!D43</f>
        <v>Descargas</v>
      </c>
      <c r="E40" s="493" t="str">
        <f>'Proyección de ventas'!E43</f>
        <v>Porcentaje</v>
      </c>
      <c r="F40" s="495" t="str">
        <f>'Proyección de ventas'!F43</f>
        <v>Ventas</v>
      </c>
      <c r="G40" s="494" t="str">
        <f>'Proyección de ventas'!G43</f>
        <v>Descargas</v>
      </c>
      <c r="H40" s="496" t="str">
        <f>'Proyección de ventas'!H43</f>
        <v>Porcentaje</v>
      </c>
      <c r="I40" s="493" t="str">
        <f>'Proyección de ventas'!I43</f>
        <v>Ventas</v>
      </c>
      <c r="J40" s="494" t="str">
        <f>'Proyección de ventas'!J43</f>
        <v>Descargas</v>
      </c>
      <c r="K40" s="493" t="str">
        <f>'Proyección de ventas'!K43</f>
        <v>Porcentaje</v>
      </c>
      <c r="L40" s="495" t="str">
        <f>'Proyección de ventas'!L43</f>
        <v>Ventas</v>
      </c>
      <c r="M40" s="494" t="str">
        <f>'Proyección de ventas'!M43</f>
        <v>Descargas</v>
      </c>
      <c r="N40" s="496" t="str">
        <f>'Proyección de ventas'!N43</f>
        <v>Porcentaje</v>
      </c>
      <c r="O40" s="493" t="str">
        <f>'Proyección de ventas'!O43</f>
        <v>Ventas</v>
      </c>
      <c r="P40" s="494" t="str">
        <f>'Proyección de ventas'!P43</f>
        <v>Descargas</v>
      </c>
      <c r="Q40" s="493" t="str">
        <f>'Proyección de ventas'!Q43</f>
        <v>Porcentaje</v>
      </c>
      <c r="R40" s="495" t="str">
        <f>'Proyección de ventas'!R43</f>
        <v>Ventas</v>
      </c>
      <c r="S40" s="494" t="str">
        <f>'Proyección de ventas'!S43</f>
        <v>Descargas</v>
      </c>
      <c r="T40" s="496" t="str">
        <f>'Proyección de ventas'!T43</f>
        <v>Porcentaje</v>
      </c>
      <c r="U40" s="493" t="str">
        <f>'Proyección de ventas'!U43</f>
        <v>Ventas</v>
      </c>
      <c r="V40" s="494" t="str">
        <f>'Proyección de ventas'!V43</f>
        <v>Descargas</v>
      </c>
      <c r="W40" s="493" t="str">
        <f>'Proyección de ventas'!W43</f>
        <v>Porcentaje</v>
      </c>
      <c r="X40" s="495" t="str">
        <f>'Proyección de ventas'!X43</f>
        <v>Ventas</v>
      </c>
      <c r="Y40" s="494" t="str">
        <f>'Proyección de ventas'!Y43</f>
        <v>Descargas</v>
      </c>
      <c r="Z40" s="493" t="str">
        <f>'Proyección de ventas'!Z43</f>
        <v>Porcentaje</v>
      </c>
      <c r="AA40" s="495" t="str">
        <f>'Proyección de ventas'!AA43</f>
        <v>Ventas</v>
      </c>
      <c r="AB40" s="494" t="str">
        <f>'Proyección de ventas'!AB43</f>
        <v>Descargas</v>
      </c>
      <c r="AC40" s="493" t="str">
        <f>'Proyección de ventas'!AC43</f>
        <v>Porcentaje</v>
      </c>
      <c r="AD40" s="495" t="str">
        <f>'Proyección de ventas'!AD43</f>
        <v>Ventas</v>
      </c>
      <c r="AE40" s="494" t="str">
        <f>'Proyección de ventas'!AE43</f>
        <v>Descargas</v>
      </c>
      <c r="AF40" s="493" t="str">
        <f>'Proyección de ventas'!AF43</f>
        <v>Porcentaje</v>
      </c>
      <c r="AG40" s="495" t="str">
        <f>'Proyección de ventas'!AG43</f>
        <v>Ventas</v>
      </c>
      <c r="AH40" s="494" t="str">
        <f>'Proyección de ventas'!AH43</f>
        <v>Descargas</v>
      </c>
      <c r="AI40" s="493" t="str">
        <f>'Proyección de ventas'!AI43</f>
        <v>Porcentaje</v>
      </c>
      <c r="AJ40" s="495" t="str">
        <f>'Proyección de ventas'!AJ43</f>
        <v>Ventas</v>
      </c>
      <c r="AK40" s="494" t="str">
        <f>'Proyección de ventas'!AK43</f>
        <v>Descargas</v>
      </c>
      <c r="AL40" s="496" t="str">
        <f>'Proyección de ventas'!AL43</f>
        <v>Porcentaje</v>
      </c>
    </row>
    <row r="41" spans="1:38" x14ac:dyDescent="0.3">
      <c r="A41" s="455" t="s">
        <v>15</v>
      </c>
      <c r="B41" s="45">
        <f>'Proyección de ventas'!B44</f>
        <v>0</v>
      </c>
      <c r="C41" s="45">
        <f>'Proyección de ventas'!C44</f>
        <v>0</v>
      </c>
      <c r="D41" s="46">
        <f>'Proyección de ventas'!D44</f>
        <v>7069.8542857142857</v>
      </c>
      <c r="E41" s="45">
        <f>'Proyección de ventas'!E44</f>
        <v>0</v>
      </c>
      <c r="F41" s="613">
        <f>'Proyección de ventas'!F44</f>
        <v>0</v>
      </c>
      <c r="G41" s="499">
        <f>'Proyección de ventas'!G44</f>
        <v>4713.236190476191</v>
      </c>
      <c r="H41" s="644">
        <f>'Proyección de ventas'!H44</f>
        <v>0</v>
      </c>
      <c r="I41" s="613">
        <f>'Proyección de ventas'!I44</f>
        <v>0</v>
      </c>
      <c r="J41" s="499">
        <f>'Proyección de ventas'!J44</f>
        <v>4713.236190476191</v>
      </c>
      <c r="K41" s="644">
        <f>'Proyección de ventas'!K44</f>
        <v>0</v>
      </c>
      <c r="L41" s="45">
        <f>'Proyección de ventas'!L44</f>
        <v>0</v>
      </c>
      <c r="M41" s="46">
        <f>'Proyección de ventas'!M44</f>
        <v>7069.8542857142857</v>
      </c>
      <c r="N41" s="456">
        <f>'Proyección de ventas'!N44</f>
        <v>0</v>
      </c>
      <c r="O41" s="45">
        <f>'Proyección de ventas'!O44</f>
        <v>0</v>
      </c>
      <c r="P41" s="46">
        <f>'Proyección de ventas'!P44</f>
        <v>11783.090476190475</v>
      </c>
      <c r="Q41" s="45">
        <f>'Proyección de ventas'!Q44</f>
        <v>0</v>
      </c>
      <c r="R41" s="468">
        <f>'Proyección de ventas'!R44</f>
        <v>0</v>
      </c>
      <c r="S41" s="46">
        <f>'Proyección de ventas'!S44</f>
        <v>16496.326666666668</v>
      </c>
      <c r="T41" s="456">
        <f>'Proyección de ventas'!T44</f>
        <v>0</v>
      </c>
      <c r="U41" s="45">
        <f>'Proyección de ventas'!U44</f>
        <v>0</v>
      </c>
      <c r="V41" s="46">
        <f>'Proyección de ventas'!V44</f>
        <v>18852.944761904764</v>
      </c>
      <c r="W41" s="45">
        <f>'Proyección de ventas'!W44</f>
        <v>0</v>
      </c>
      <c r="X41" s="468">
        <f>'Proyección de ventas'!X44</f>
        <v>0</v>
      </c>
      <c r="Y41" s="46">
        <f>'Proyección de ventas'!Y44</f>
        <v>14139.708571428571</v>
      </c>
      <c r="Z41" s="45">
        <f>'Proyección de ventas'!Z44</f>
        <v>0</v>
      </c>
      <c r="AA41" s="468">
        <f>'Proyección de ventas'!AA44</f>
        <v>0</v>
      </c>
      <c r="AB41" s="46">
        <f>'Proyección de ventas'!AB44</f>
        <v>11783.090476190475</v>
      </c>
      <c r="AC41" s="45">
        <f>'Proyección de ventas'!AC44</f>
        <v>0</v>
      </c>
      <c r="AD41" s="468">
        <f>'Proyección de ventas'!AD44</f>
        <v>0</v>
      </c>
      <c r="AE41" s="46">
        <f>'Proyección de ventas'!AE44</f>
        <v>10604.781428571428</v>
      </c>
      <c r="AF41" s="45">
        <f>'Proyección de ventas'!AF44</f>
        <v>0</v>
      </c>
      <c r="AG41" s="468">
        <f>'Proyección de ventas'!AG44</f>
        <v>0</v>
      </c>
      <c r="AH41" s="46">
        <f>'Proyección de ventas'!AH44</f>
        <v>7069.8542857142857</v>
      </c>
      <c r="AI41" s="45">
        <f>'Proyección de ventas'!AI44</f>
        <v>0</v>
      </c>
      <c r="AJ41" s="468">
        <f>'Proyección de ventas'!AJ44</f>
        <v>0</v>
      </c>
      <c r="AK41" s="46">
        <f>'Proyección de ventas'!AK44</f>
        <v>9426.4723809523821</v>
      </c>
      <c r="AL41" s="456">
        <f>'Proyección de ventas'!AL44</f>
        <v>0</v>
      </c>
    </row>
    <row r="42" spans="1:38" x14ac:dyDescent="0.3">
      <c r="A42" s="457" t="str">
        <f>'Proyección de ventas'!A45</f>
        <v>Experiencias</v>
      </c>
      <c r="B42" s="655">
        <f>D35</f>
        <v>22</v>
      </c>
      <c r="C42" s="57">
        <f>D42*$B$42</f>
        <v>262266.02285714285</v>
      </c>
      <c r="D42" s="453">
        <f>'Proyección de ventas'!D45</f>
        <v>11921.182857142858</v>
      </c>
      <c r="E42" s="454">
        <f>'Proyección de ventas'!E45</f>
        <v>0.37884892564492817</v>
      </c>
      <c r="F42" s="469">
        <f>G42*$B$42</f>
        <v>174844.01523809525</v>
      </c>
      <c r="G42" s="453">
        <f>'Proyección de ventas'!G45</f>
        <v>7947.4552380952391</v>
      </c>
      <c r="H42" s="458">
        <f>'Proyección de ventas'!H45</f>
        <v>0.37884892564492811</v>
      </c>
      <c r="I42" s="469">
        <f>J42*$B$42</f>
        <v>174844.01523809525</v>
      </c>
      <c r="J42" s="453">
        <f>'Proyección de ventas'!J45</f>
        <v>7947.4552380952391</v>
      </c>
      <c r="K42" s="458">
        <f>'Proyección de ventas'!K45</f>
        <v>0.37884892564492811</v>
      </c>
      <c r="L42" s="57">
        <f>M42*$B$42</f>
        <v>262266.02285714285</v>
      </c>
      <c r="M42" s="453">
        <f>'Proyección de ventas'!M45</f>
        <v>11921.182857142858</v>
      </c>
      <c r="N42" s="458">
        <f>'Proyección de ventas'!N45</f>
        <v>0.37884892564492817</v>
      </c>
      <c r="O42" s="57">
        <f>P42*$B$42</f>
        <v>437110.03809523804</v>
      </c>
      <c r="P42" s="453">
        <f>'Proyección de ventas'!P45</f>
        <v>19868.638095238093</v>
      </c>
      <c r="Q42" s="454">
        <f>'Proyección de ventas'!Q45</f>
        <v>0.37884892564492811</v>
      </c>
      <c r="R42" s="57">
        <f>S42*$B$42</f>
        <v>611954.05333333334</v>
      </c>
      <c r="S42" s="453">
        <f>'Proyección de ventas'!S45</f>
        <v>27816.093333333334</v>
      </c>
      <c r="T42" s="458">
        <f>'Proyección de ventas'!T45</f>
        <v>0.37884892564492811</v>
      </c>
      <c r="U42" s="57">
        <f>V42*$B$42</f>
        <v>699376.060952381</v>
      </c>
      <c r="V42" s="453">
        <f>'Proyección de ventas'!V45</f>
        <v>31789.820952380956</v>
      </c>
      <c r="W42" s="454">
        <f>'Proyección de ventas'!W45</f>
        <v>0.37884892564492811</v>
      </c>
      <c r="X42" s="57">
        <f>Y42*$B$42</f>
        <v>524532.04571428569</v>
      </c>
      <c r="Y42" s="453">
        <f>'Proyección de ventas'!Y45</f>
        <v>23842.365714285716</v>
      </c>
      <c r="Z42" s="454">
        <f>'Proyección de ventas'!Z45</f>
        <v>0.37884892564492817</v>
      </c>
      <c r="AA42" s="57">
        <f>AB42*$B$42</f>
        <v>437110.03809523804</v>
      </c>
      <c r="AB42" s="453">
        <f>'Proyección de ventas'!AB45</f>
        <v>19868.638095238093</v>
      </c>
      <c r="AC42" s="454">
        <f>'Proyección de ventas'!AC45</f>
        <v>0.37884892564492811</v>
      </c>
      <c r="AD42" s="57">
        <f>AE42*$B$42</f>
        <v>393399.03428571427</v>
      </c>
      <c r="AE42" s="453">
        <f>'Proyección de ventas'!AE45</f>
        <v>17881.774285714284</v>
      </c>
      <c r="AF42" s="454">
        <f>'Proyección de ventas'!AF45</f>
        <v>0.37884892564492811</v>
      </c>
      <c r="AG42" s="57">
        <f>AH42*$B$42</f>
        <v>262266.02285714285</v>
      </c>
      <c r="AH42" s="453">
        <f>'Proyección de ventas'!AH45</f>
        <v>11921.182857142858</v>
      </c>
      <c r="AI42" s="454">
        <f>'Proyección de ventas'!AI45</f>
        <v>0.37884892564492817</v>
      </c>
      <c r="AJ42" s="57">
        <f>AK42*$B$42</f>
        <v>349688.0304761905</v>
      </c>
      <c r="AK42" s="453">
        <f>'Proyección de ventas'!AK45</f>
        <v>15894.910476190478</v>
      </c>
      <c r="AL42" s="458">
        <f>'Proyección de ventas'!AL45</f>
        <v>0.37884892564492811</v>
      </c>
    </row>
    <row r="43" spans="1:38" x14ac:dyDescent="0.3">
      <c r="A43" s="633" t="str">
        <f>'Proyección de ventas'!A46</f>
        <v>Servicios</v>
      </c>
      <c r="B43" s="661">
        <f>D36</f>
        <v>64</v>
      </c>
      <c r="C43" s="634">
        <f>D43*$B$43</f>
        <v>416974.26285714284</v>
      </c>
      <c r="D43" s="635">
        <f>'Proyección de ventas'!D46</f>
        <v>6515.2228571428568</v>
      </c>
      <c r="E43" s="636">
        <f>'Proyección de ventas'!E46</f>
        <v>0.62115107435507189</v>
      </c>
      <c r="F43" s="645">
        <f>G43*$B$43</f>
        <v>277982.84190476191</v>
      </c>
      <c r="G43" s="635">
        <f>'Proyección de ventas'!G46</f>
        <v>4343.4819047619048</v>
      </c>
      <c r="H43" s="637">
        <f>'Proyección de ventas'!H46</f>
        <v>0.62115107435507189</v>
      </c>
      <c r="I43" s="645">
        <f>J43*$B$43</f>
        <v>277982.84190476191</v>
      </c>
      <c r="J43" s="635">
        <f>'Proyección de ventas'!J46</f>
        <v>4343.4819047619048</v>
      </c>
      <c r="K43" s="637">
        <f>'Proyección de ventas'!K46</f>
        <v>0.62115107435507189</v>
      </c>
      <c r="L43" s="634">
        <f>M43*$B$43</f>
        <v>416974.26285714284</v>
      </c>
      <c r="M43" s="635">
        <f>'Proyección de ventas'!M46</f>
        <v>6515.2228571428568</v>
      </c>
      <c r="N43" s="637">
        <f>'Proyección de ventas'!N46</f>
        <v>0.62115107435507189</v>
      </c>
      <c r="O43" s="634">
        <f>P43*$B$43</f>
        <v>694957.10476190469</v>
      </c>
      <c r="P43" s="635">
        <f>'Proyección de ventas'!P46</f>
        <v>10858.704761904761</v>
      </c>
      <c r="Q43" s="636">
        <f>'Proyección de ventas'!Q46</f>
        <v>0.62115107435507189</v>
      </c>
      <c r="R43" s="634">
        <f>S43*$B$43</f>
        <v>972939.94666666666</v>
      </c>
      <c r="S43" s="635">
        <f>'Proyección de ventas'!S46</f>
        <v>15202.186666666666</v>
      </c>
      <c r="T43" s="637">
        <f>'Proyección de ventas'!T46</f>
        <v>0.62115107435507189</v>
      </c>
      <c r="U43" s="634">
        <f>V43*$B$43</f>
        <v>1111931.3676190476</v>
      </c>
      <c r="V43" s="635">
        <f>'Proyección de ventas'!V46</f>
        <v>17373.927619047619</v>
      </c>
      <c r="W43" s="636">
        <f>'Proyección de ventas'!W46</f>
        <v>0.62115107435507189</v>
      </c>
      <c r="X43" s="634">
        <f>Y43*$B$43</f>
        <v>833948.52571428567</v>
      </c>
      <c r="Y43" s="635">
        <f>'Proyección de ventas'!Y46</f>
        <v>13030.445714285714</v>
      </c>
      <c r="Z43" s="636">
        <f>'Proyección de ventas'!Z46</f>
        <v>0.62115107435507189</v>
      </c>
      <c r="AA43" s="634">
        <f>AB43*$B$43</f>
        <v>694957.10476190469</v>
      </c>
      <c r="AB43" s="635">
        <f>'Proyección de ventas'!AB46</f>
        <v>10858.704761904761</v>
      </c>
      <c r="AC43" s="636">
        <f>'Proyección de ventas'!AC46</f>
        <v>0.62115107435507189</v>
      </c>
      <c r="AD43" s="634">
        <f>AE43*$B$43</f>
        <v>625461.39428571425</v>
      </c>
      <c r="AE43" s="635">
        <f>'Proyección de ventas'!AE46</f>
        <v>9772.8342857142852</v>
      </c>
      <c r="AF43" s="636">
        <f>'Proyección de ventas'!AF46</f>
        <v>0.62115107435507189</v>
      </c>
      <c r="AG43" s="634">
        <f>AH43*$B$43</f>
        <v>416974.26285714284</v>
      </c>
      <c r="AH43" s="635">
        <f>'Proyección de ventas'!AH46</f>
        <v>6515.2228571428568</v>
      </c>
      <c r="AI43" s="636">
        <f>'Proyección de ventas'!AI46</f>
        <v>0.62115107435507189</v>
      </c>
      <c r="AJ43" s="634">
        <f>AK43*$B$43</f>
        <v>555965.68380952382</v>
      </c>
      <c r="AK43" s="635">
        <f>'Proyección de ventas'!AK46</f>
        <v>8686.9638095238097</v>
      </c>
      <c r="AL43" s="637">
        <f>'Proyección de ventas'!AL46</f>
        <v>0.62115107435507189</v>
      </c>
    </row>
    <row r="44" spans="1:38" x14ac:dyDescent="0.3">
      <c r="A44" s="422" t="str">
        <f>'Proyección de ventas'!A47</f>
        <v>Totales</v>
      </c>
      <c r="B44" s="461"/>
      <c r="C44" s="462">
        <f>SUM(C41:C43)</f>
        <v>679240.28571428568</v>
      </c>
      <c r="D44" s="463">
        <f>'Proyección de ventas'!D47</f>
        <v>25506.260000000002</v>
      </c>
      <c r="E44" s="464">
        <f>'Proyección de ventas'!E47</f>
        <v>1</v>
      </c>
      <c r="F44" s="471">
        <f>SUM(F41:F43)</f>
        <v>452826.85714285716</v>
      </c>
      <c r="G44" s="463">
        <f>'Proyección de ventas'!G47</f>
        <v>17004.173333333336</v>
      </c>
      <c r="H44" s="472">
        <f>'Proyección de ventas'!H47</f>
        <v>1</v>
      </c>
      <c r="I44" s="471">
        <f>SUM(I41:I43)</f>
        <v>452826.85714285716</v>
      </c>
      <c r="J44" s="463">
        <f>'Proyección de ventas'!J47</f>
        <v>17004.173333333336</v>
      </c>
      <c r="K44" s="472">
        <f>'Proyección de ventas'!K47</f>
        <v>1</v>
      </c>
      <c r="L44" s="462">
        <f>SUM(L41:L43)</f>
        <v>679240.28571428568</v>
      </c>
      <c r="M44" s="463">
        <f>'Proyección de ventas'!M47</f>
        <v>25506.260000000002</v>
      </c>
      <c r="N44" s="472">
        <f>'Proyección de ventas'!N47</f>
        <v>1</v>
      </c>
      <c r="O44" s="462">
        <f>SUM(O41:O43)</f>
        <v>1132067.1428571427</v>
      </c>
      <c r="P44" s="463">
        <f>'Proyección de ventas'!P47</f>
        <v>42510.433333333327</v>
      </c>
      <c r="Q44" s="464">
        <f>'Proyección de ventas'!Q47</f>
        <v>1</v>
      </c>
      <c r="R44" s="471">
        <f>SUM(R41:R43)</f>
        <v>1584894</v>
      </c>
      <c r="S44" s="463">
        <f>'Proyección de ventas'!S47</f>
        <v>59514.606666666667</v>
      </c>
      <c r="T44" s="472">
        <f>'Proyección de ventas'!T47</f>
        <v>1</v>
      </c>
      <c r="U44" s="462">
        <f>SUM(U41:U43)</f>
        <v>1811307.4285714286</v>
      </c>
      <c r="V44" s="463">
        <f>'Proyección de ventas'!V47</f>
        <v>68016.693333333344</v>
      </c>
      <c r="W44" s="464">
        <f>'Proyección de ventas'!W47</f>
        <v>1</v>
      </c>
      <c r="X44" s="471">
        <f>SUM(X41:X43)</f>
        <v>1358480.5714285714</v>
      </c>
      <c r="Y44" s="463">
        <f>'Proyección de ventas'!Y47</f>
        <v>51012.520000000004</v>
      </c>
      <c r="Z44" s="464">
        <f>'Proyección de ventas'!Z47</f>
        <v>1</v>
      </c>
      <c r="AA44" s="471">
        <f>SUM(AA41:AA43)</f>
        <v>1132067.1428571427</v>
      </c>
      <c r="AB44" s="463">
        <f>'Proyección de ventas'!AB47</f>
        <v>42510.433333333327</v>
      </c>
      <c r="AC44" s="464">
        <f>'Proyección de ventas'!AC47</f>
        <v>1</v>
      </c>
      <c r="AD44" s="471">
        <f>SUM(AD41:AD43)</f>
        <v>1018860.4285714285</v>
      </c>
      <c r="AE44" s="463">
        <f>'Proyección de ventas'!AE47</f>
        <v>38259.39</v>
      </c>
      <c r="AF44" s="464">
        <f>'Proyección de ventas'!AF47</f>
        <v>1</v>
      </c>
      <c r="AG44" s="471">
        <f>SUM(AG41:AG43)</f>
        <v>679240.28571428568</v>
      </c>
      <c r="AH44" s="463">
        <f>'Proyección de ventas'!AH47</f>
        <v>25506.260000000002</v>
      </c>
      <c r="AI44" s="465">
        <f>'Proyección de ventas'!AI47</f>
        <v>1</v>
      </c>
      <c r="AJ44" s="471">
        <f>SUM(AJ41:AJ43)</f>
        <v>905653.71428571432</v>
      </c>
      <c r="AK44" s="463">
        <f>'Proyección de ventas'!AK47</f>
        <v>34008.346666666672</v>
      </c>
      <c r="AL44" s="466">
        <f>'Proyección de ventas'!AL47</f>
        <v>1</v>
      </c>
    </row>
    <row r="46" spans="1:38" x14ac:dyDescent="0.3">
      <c r="A46" s="6" t="s">
        <v>439</v>
      </c>
    </row>
    <row r="47" spans="1:38" x14ac:dyDescent="0.3">
      <c r="A47" s="746" t="str">
        <f>'Estructura de costos variables'!A13:M13</f>
        <v>Año 1</v>
      </c>
      <c r="B47" s="747">
        <f>'Estructura de costos variables'!B13:N13</f>
        <v>0</v>
      </c>
      <c r="C47" s="747">
        <f>'Estructura de costos variables'!C13:O13</f>
        <v>0</v>
      </c>
      <c r="D47" s="747">
        <f>'Estructura de costos variables'!D13:P13</f>
        <v>0</v>
      </c>
      <c r="E47" s="747">
        <f>'Estructura de costos variables'!E13:Q13</f>
        <v>0</v>
      </c>
      <c r="F47" s="747">
        <f>'Estructura de costos variables'!F13:R13</f>
        <v>0</v>
      </c>
      <c r="G47" s="747">
        <f>'Estructura de costos variables'!G13:S13</f>
        <v>0</v>
      </c>
      <c r="H47" s="747">
        <f>'Estructura de costos variables'!H13:T13</f>
        <v>0</v>
      </c>
      <c r="I47" s="747">
        <f>'Estructura de costos variables'!I13:U13</f>
        <v>0</v>
      </c>
      <c r="J47" s="747">
        <f>'Estructura de costos variables'!J13:V13</f>
        <v>0</v>
      </c>
      <c r="K47" s="747">
        <f>'Estructura de costos variables'!K13:W13</f>
        <v>0</v>
      </c>
      <c r="L47" s="747">
        <f>'Estructura de costos variables'!L13:X13</f>
        <v>0</v>
      </c>
      <c r="M47" s="748">
        <f>'Estructura de costos variables'!M13:Y13</f>
        <v>0</v>
      </c>
    </row>
    <row r="48" spans="1:38" x14ac:dyDescent="0.3">
      <c r="A48" s="135" t="str">
        <f>'Estructura de costos variables'!A14:M14</f>
        <v>Concepto</v>
      </c>
      <c r="B48" s="136" t="str">
        <f>'Estructura de costos variables'!B14:N14</f>
        <v>Enero</v>
      </c>
      <c r="C48" s="136" t="str">
        <f>'Estructura de costos variables'!C14:O14</f>
        <v>Febrero</v>
      </c>
      <c r="D48" s="136" t="str">
        <f>'Estructura de costos variables'!D14:P14</f>
        <v>Marzo</v>
      </c>
      <c r="E48" s="136" t="str">
        <f>'Estructura de costos variables'!E14:Q14</f>
        <v>Abril</v>
      </c>
      <c r="F48" s="136" t="str">
        <f>'Estructura de costos variables'!F14:R14</f>
        <v>Mayo</v>
      </c>
      <c r="G48" s="136" t="str">
        <f>'Estructura de costos variables'!G14:S14</f>
        <v>Junio</v>
      </c>
      <c r="H48" s="136" t="str">
        <f>'Estructura de costos variables'!H14:T14</f>
        <v>Julio</v>
      </c>
      <c r="I48" s="136" t="str">
        <f>'Estructura de costos variables'!I14:U14</f>
        <v>Agosto</v>
      </c>
      <c r="J48" s="136" t="str">
        <f>'Estructura de costos variables'!J14:V14</f>
        <v>Septiembre</v>
      </c>
      <c r="K48" s="136" t="str">
        <f>'Estructura de costos variables'!K14:W14</f>
        <v>Octubre</v>
      </c>
      <c r="L48" s="136" t="str">
        <f>'Estructura de costos variables'!L14:X14</f>
        <v>Noviembre</v>
      </c>
      <c r="M48" s="137" t="str">
        <f>'Estructura de costos variables'!M14:Y14</f>
        <v>Diciembre</v>
      </c>
    </row>
    <row r="49" spans="1:13" x14ac:dyDescent="0.3">
      <c r="A49" s="150" t="str">
        <f>'Estructura de costos variables'!A15:M15</f>
        <v>Bono 3% objetivo cuatrimestral ventas</v>
      </c>
      <c r="B49" s="109">
        <f>'Estructura de costos variables'!B15:N15</f>
        <v>0</v>
      </c>
      <c r="C49" s="164">
        <f>'Estructura de costos variables'!C15:O15</f>
        <v>0</v>
      </c>
      <c r="D49" s="164">
        <f>'Estructura de costos variables'!D15:P15</f>
        <v>0</v>
      </c>
      <c r="E49" s="665">
        <v>0</v>
      </c>
      <c r="F49" s="164">
        <f>'Estructura de costos variables'!F15:R15</f>
        <v>0</v>
      </c>
      <c r="G49" s="164">
        <f>'Estructura de costos variables'!G15:S15</f>
        <v>0</v>
      </c>
      <c r="H49" s="164">
        <f>'Estructura de costos variables'!H15:T15</f>
        <v>0</v>
      </c>
      <c r="I49" s="665">
        <v>0</v>
      </c>
      <c r="J49" s="164">
        <f>'Estructura de costos variables'!J15:V15</f>
        <v>0</v>
      </c>
      <c r="K49" s="164">
        <f>'Estructura de costos variables'!K15:W15</f>
        <v>0</v>
      </c>
      <c r="L49" s="164">
        <f>'Estructura de costos variables'!L15:X15</f>
        <v>0</v>
      </c>
      <c r="M49" s="668">
        <v>0</v>
      </c>
    </row>
    <row r="50" spans="1:13" x14ac:dyDescent="0.3">
      <c r="A50" s="151" t="str">
        <f>'Estructura de costos variables'!A16:M16</f>
        <v>Promo venta 10% off verano (todo)</v>
      </c>
      <c r="B50" s="110">
        <f>'Estructura de costos variables'!B16:N16</f>
        <v>0</v>
      </c>
      <c r="C50" s="166">
        <f>'Estructura de costos variables'!C16:O16</f>
        <v>0</v>
      </c>
      <c r="D50" s="166">
        <f>'Estructura de costos variables'!D16:P16</f>
        <v>0</v>
      </c>
      <c r="E50" s="666">
        <f>'Estructura de costos variables'!E16:Q16*0.8</f>
        <v>20138.784914285719</v>
      </c>
      <c r="F50" s="666">
        <f>'Estructura de costos variables'!F16:R16*0.8</f>
        <v>50346.962285714282</v>
      </c>
      <c r="G50" s="666">
        <f>'Estructura de costos variables'!G16:S16*0.8</f>
        <v>70485.747200000013</v>
      </c>
      <c r="H50" s="666">
        <f>'Estructura de costos variables'!H16:T16*0.8</f>
        <v>80555.139657142878</v>
      </c>
      <c r="I50" s="666">
        <f>'Estructura de costos variables'!I16:U16*0.8</f>
        <v>60416.354742857155</v>
      </c>
      <c r="J50" s="666">
        <f>'Estructura de costos variables'!J16:V16*0.8</f>
        <v>50346.962285714282</v>
      </c>
      <c r="K50" s="166">
        <f>'Estructura de costos variables'!K16:W16</f>
        <v>0</v>
      </c>
      <c r="L50" s="166">
        <f>'Estructura de costos variables'!L16:X16</f>
        <v>0</v>
      </c>
      <c r="M50" s="167">
        <f>'Estructura de costos variables'!M16:Y16</f>
        <v>0</v>
      </c>
    </row>
    <row r="51" spans="1:13" x14ac:dyDescent="0.3">
      <c r="A51" s="152" t="str">
        <f>'Estructura de costos variables'!A17:M17</f>
        <v>Promo venta 15% off navidad (experiencias RA)</v>
      </c>
      <c r="B51" s="79">
        <f>'Estructura de costos variables'!B17:N17</f>
        <v>0</v>
      </c>
      <c r="C51" s="168">
        <f>'Estructura de costos variables'!C17:O17</f>
        <v>0</v>
      </c>
      <c r="D51" s="168">
        <f>'Estructura de costos variables'!D17:P17</f>
        <v>0</v>
      </c>
      <c r="E51" s="168">
        <f>'Estructura de costos variables'!E17:Q17</f>
        <v>0</v>
      </c>
      <c r="F51" s="168">
        <f>'Estructura de costos variables'!F17:R17</f>
        <v>0</v>
      </c>
      <c r="G51" s="168">
        <f>'Estructura de costos variables'!G17:S17</f>
        <v>0</v>
      </c>
      <c r="H51" s="168">
        <f>'Estructura de costos variables'!H17:T17</f>
        <v>0</v>
      </c>
      <c r="I51" s="168">
        <f>'Estructura de costos variables'!I17:U17</f>
        <v>0</v>
      </c>
      <c r="J51" s="168">
        <f>'Estructura de costos variables'!J17:V17</f>
        <v>0</v>
      </c>
      <c r="K51" s="168">
        <f>'Estructura de costos variables'!K17:W17</f>
        <v>0</v>
      </c>
      <c r="L51" s="168">
        <f>'Estructura de costos variables'!L17:X17</f>
        <v>0</v>
      </c>
      <c r="M51" s="667">
        <f>'Estructura de costos variables'!M17:Y17*0.8</f>
        <v>22888.67108571429</v>
      </c>
    </row>
    <row r="52" spans="1:13" x14ac:dyDescent="0.3">
      <c r="A52" s="765" t="str">
        <f>'Estructura de costos variables'!A18:M18</f>
        <v>Total</v>
      </c>
      <c r="B52" s="766">
        <f>'Estructura de costos variables'!B18:N18</f>
        <v>0</v>
      </c>
      <c r="C52" s="766">
        <f>'Estructura de costos variables'!C18:O18</f>
        <v>0</v>
      </c>
      <c r="D52" s="766">
        <f>'Estructura de costos variables'!D18:P18</f>
        <v>0</v>
      </c>
      <c r="E52" s="766">
        <f>'Estructura de costos variables'!E18:Q18</f>
        <v>0</v>
      </c>
      <c r="F52" s="766">
        <f>'Estructura de costos variables'!F18:R18</f>
        <v>0</v>
      </c>
      <c r="G52" s="766">
        <f>'Estructura de costos variables'!G18:S18</f>
        <v>0</v>
      </c>
      <c r="H52" s="766">
        <f>'Estructura de costos variables'!H18:T18</f>
        <v>0</v>
      </c>
      <c r="I52" s="766">
        <f>'Estructura de costos variables'!I18:U18</f>
        <v>0</v>
      </c>
      <c r="J52" s="766">
        <f>'Estructura de costos variables'!J18:V18</f>
        <v>0</v>
      </c>
      <c r="K52" s="766">
        <f>'Estructura de costos variables'!K18:W18</f>
        <v>0</v>
      </c>
      <c r="L52" s="766">
        <f>'Estructura de costos variables'!L18:X18</f>
        <v>0</v>
      </c>
      <c r="M52" s="251">
        <f>SUM(B49:M51)</f>
        <v>355178.62217142864</v>
      </c>
    </row>
    <row r="54" spans="1:13" x14ac:dyDescent="0.3">
      <c r="A54" s="6" t="s">
        <v>429</v>
      </c>
    </row>
    <row r="55" spans="1:13" x14ac:dyDescent="0.3">
      <c r="A55" s="758" t="str">
        <f>'Estructura de costos variables'!A23:M23</f>
        <v>Año 2</v>
      </c>
      <c r="B55" s="759">
        <f>'Estructura de costos variables'!B23:N23</f>
        <v>0</v>
      </c>
      <c r="C55" s="759">
        <f>'Estructura de costos variables'!C23:O23</f>
        <v>0</v>
      </c>
      <c r="D55" s="759">
        <f>'Estructura de costos variables'!D23:P23</f>
        <v>0</v>
      </c>
      <c r="E55" s="759">
        <f>'Estructura de costos variables'!E23:Q23</f>
        <v>0</v>
      </c>
      <c r="F55" s="759">
        <f>'Estructura de costos variables'!F23:R23</f>
        <v>0</v>
      </c>
      <c r="G55" s="759">
        <f>'Estructura de costos variables'!G23:S23</f>
        <v>0</v>
      </c>
      <c r="H55" s="759">
        <f>'Estructura de costos variables'!H23:T23</f>
        <v>0</v>
      </c>
      <c r="I55" s="759">
        <f>'Estructura de costos variables'!I23:U23</f>
        <v>0</v>
      </c>
      <c r="J55" s="759">
        <f>'Estructura de costos variables'!J23:V23</f>
        <v>0</v>
      </c>
      <c r="K55" s="759">
        <f>'Estructura de costos variables'!K23:W23</f>
        <v>0</v>
      </c>
      <c r="L55" s="759">
        <f>'Estructura de costos variables'!L23:X23</f>
        <v>0</v>
      </c>
      <c r="M55" s="760">
        <f>'Estructura de costos variables'!M23:Y23</f>
        <v>0</v>
      </c>
    </row>
    <row r="56" spans="1:13" x14ac:dyDescent="0.3">
      <c r="A56" s="138" t="str">
        <f>'Estructura de costos variables'!A24:M24</f>
        <v>Concepto</v>
      </c>
      <c r="B56" s="139" t="str">
        <f>'Estructura de costos variables'!B24:N24</f>
        <v>Enero</v>
      </c>
      <c r="C56" s="139" t="str">
        <f>'Estructura de costos variables'!C24:O24</f>
        <v>Febrero</v>
      </c>
      <c r="D56" s="139" t="str">
        <f>'Estructura de costos variables'!D24:P24</f>
        <v>Marzo</v>
      </c>
      <c r="E56" s="139" t="str">
        <f>'Estructura de costos variables'!E24:Q24</f>
        <v>Abril</v>
      </c>
      <c r="F56" s="139" t="str">
        <f>'Estructura de costos variables'!F24:R24</f>
        <v>Mayo</v>
      </c>
      <c r="G56" s="139" t="str">
        <f>'Estructura de costos variables'!G24:S24</f>
        <v>Junio</v>
      </c>
      <c r="H56" s="139" t="str">
        <f>'Estructura de costos variables'!H24:T24</f>
        <v>Julio</v>
      </c>
      <c r="I56" s="139" t="str">
        <f>'Estructura de costos variables'!I24:U24</f>
        <v>Agosto</v>
      </c>
      <c r="J56" s="139" t="str">
        <f>'Estructura de costos variables'!J24:V24</f>
        <v>Septiembre</v>
      </c>
      <c r="K56" s="139" t="str">
        <f>'Estructura de costos variables'!K24:W24</f>
        <v>Octubre</v>
      </c>
      <c r="L56" s="139" t="str">
        <f>'Estructura de costos variables'!L24:X24</f>
        <v>Noviembre</v>
      </c>
      <c r="M56" s="140" t="str">
        <f>'Estructura de costos variables'!M24:Y24</f>
        <v>Diciembre</v>
      </c>
    </row>
    <row r="57" spans="1:13" x14ac:dyDescent="0.3">
      <c r="A57" s="150" t="str">
        <f>'Estructura de costos variables'!A25:M25</f>
        <v>Bono 3% objetivo cuatrimestral ventas</v>
      </c>
      <c r="B57" s="109">
        <f>'Estructura de costos variables'!B25:N25</f>
        <v>0</v>
      </c>
      <c r="C57" s="95">
        <f>'Estructura de costos variables'!C25:O25</f>
        <v>0</v>
      </c>
      <c r="D57" s="95">
        <f>'Estructura de costos variables'!D25:P25</f>
        <v>0</v>
      </c>
      <c r="E57" s="669">
        <f>'Estructura de costos variables'!E25:Q25</f>
        <v>62933.702857142853</v>
      </c>
      <c r="F57" s="95">
        <f>'Estructura de costos variables'!F25:R25*0.5</f>
        <v>0</v>
      </c>
      <c r="G57" s="95">
        <f>'Estructura de costos variables'!G25:S25*0.5</f>
        <v>0</v>
      </c>
      <c r="H57" s="95">
        <f>'Estructura de costos variables'!H25:T25*0.5</f>
        <v>0</v>
      </c>
      <c r="I57" s="669">
        <f>'Estructura de costos variables'!I25:U25</f>
        <v>163627.62742857143</v>
      </c>
      <c r="J57" s="95">
        <f>'Estructura de costos variables'!J25:V25*0.5</f>
        <v>0</v>
      </c>
      <c r="K57" s="95">
        <f>'Estructura de costos variables'!K25:W25*0.5</f>
        <v>0</v>
      </c>
      <c r="L57" s="95">
        <f>'Estructura de costos variables'!L25:X25*0.5</f>
        <v>0</v>
      </c>
      <c r="M57" s="670">
        <f>'Estructura de costos variables'!M25:Y25</f>
        <v>103840.6097142857</v>
      </c>
    </row>
    <row r="58" spans="1:13" x14ac:dyDescent="0.3">
      <c r="A58" s="151" t="str">
        <f>'Estructura de costos variables'!A26:M26</f>
        <v>Promo venta 10% off verano (todo)</v>
      </c>
      <c r="B58" s="110">
        <f>'Estructura de costos variables'!B26:N26</f>
        <v>0</v>
      </c>
      <c r="C58" s="83">
        <f>'Estructura de costos variables'!C26:O26</f>
        <v>0</v>
      </c>
      <c r="D58" s="83">
        <f>'Estructura de costos variables'!D26:P26</f>
        <v>0</v>
      </c>
      <c r="E58" s="659">
        <f>'Estructura de costos variables'!E26:Q26*1.1</f>
        <v>69227.073142857145</v>
      </c>
      <c r="F58" s="659">
        <f>'Estructura de costos variables'!F26:R26*1.1</f>
        <v>115378.45523809525</v>
      </c>
      <c r="G58" s="659">
        <f>'Estructura de costos variables'!G26:S26*1.1</f>
        <v>161529.83733333336</v>
      </c>
      <c r="H58" s="659">
        <f>'Estructura de costos variables'!H26:T26*1.1</f>
        <v>184605.52838095243</v>
      </c>
      <c r="I58" s="659">
        <f>'Estructura de costos variables'!I26:U26*1.1</f>
        <v>138454.14628571429</v>
      </c>
      <c r="J58" s="659">
        <f>'Estructura de costos variables'!J26:V26*1.1</f>
        <v>115378.45523809525</v>
      </c>
      <c r="K58" s="83">
        <f>'Estructura de costos variables'!K26:W26*1.1</f>
        <v>0</v>
      </c>
      <c r="L58" s="83">
        <f>'Estructura de costos variables'!L26:X26*1.1</f>
        <v>0</v>
      </c>
      <c r="M58" s="101">
        <f>'Estructura de costos variables'!M26:Y26*1.1</f>
        <v>0</v>
      </c>
    </row>
    <row r="59" spans="1:13" x14ac:dyDescent="0.3">
      <c r="A59" s="152" t="str">
        <f>'Estructura de costos variables'!A27:M27</f>
        <v>Promo venta 15% off navidad (experiencias RA)</v>
      </c>
      <c r="B59" s="112">
        <f>'Estructura de costos variables'!B27:N27</f>
        <v>0</v>
      </c>
      <c r="C59" s="89">
        <f>'Estructura de costos variables'!C27:O27</f>
        <v>0</v>
      </c>
      <c r="D59" s="89">
        <f>'Estructura de costos variables'!D27:P27</f>
        <v>0</v>
      </c>
      <c r="E59" s="89">
        <f>'Estructura de costos variables'!E27:Q27</f>
        <v>0</v>
      </c>
      <c r="F59" s="89">
        <f>'Estructura de costos variables'!F27:R27</f>
        <v>0</v>
      </c>
      <c r="G59" s="89">
        <f>'Estructura de costos variables'!G27:S27</f>
        <v>0</v>
      </c>
      <c r="H59" s="89">
        <f>'Estructura de costos variables'!H27:T27</f>
        <v>0</v>
      </c>
      <c r="I59" s="89">
        <f>'Estructura de costos variables'!I27:U27</f>
        <v>0</v>
      </c>
      <c r="J59" s="89">
        <f>'Estructura de costos variables'!J27:V27</f>
        <v>0</v>
      </c>
      <c r="K59" s="89">
        <f>'Estructura de costos variables'!K27:W27</f>
        <v>0</v>
      </c>
      <c r="L59" s="89">
        <f>'Estructura de costos variables'!L27:X27</f>
        <v>0</v>
      </c>
      <c r="M59" s="664">
        <f>'Estructura de costos variables'!M27:Y27*1.1</f>
        <v>52453.204571428578</v>
      </c>
    </row>
    <row r="60" spans="1:13" x14ac:dyDescent="0.3">
      <c r="A60" s="767" t="str">
        <f>'Estructura de costos variables'!A28:M28</f>
        <v>Total</v>
      </c>
      <c r="B60" s="768">
        <f>'Estructura de costos variables'!B28:N28</f>
        <v>0</v>
      </c>
      <c r="C60" s="768">
        <f>'Estructura de costos variables'!C28:O28</f>
        <v>0</v>
      </c>
      <c r="D60" s="768">
        <f>'Estructura de costos variables'!D28:P28</f>
        <v>0</v>
      </c>
      <c r="E60" s="768">
        <f>'Estructura de costos variables'!E28:Q28</f>
        <v>0</v>
      </c>
      <c r="F60" s="768">
        <f>'Estructura de costos variables'!F28:R28</f>
        <v>0</v>
      </c>
      <c r="G60" s="768">
        <f>'Estructura de costos variables'!G28:S28</f>
        <v>0</v>
      </c>
      <c r="H60" s="768">
        <f>'Estructura de costos variables'!H28:T28</f>
        <v>0</v>
      </c>
      <c r="I60" s="768">
        <f>'Estructura de costos variables'!I28:U28</f>
        <v>0</v>
      </c>
      <c r="J60" s="768">
        <f>'Estructura de costos variables'!J28:V28</f>
        <v>0</v>
      </c>
      <c r="K60" s="768">
        <f>'Estructura de costos variables'!K28:W28</f>
        <v>0</v>
      </c>
      <c r="L60" s="768">
        <f>'Estructura de costos variables'!L28:X28</f>
        <v>0</v>
      </c>
      <c r="M60" s="252">
        <f>SUM(B57:M59)</f>
        <v>1167428.6401904761</v>
      </c>
    </row>
  </sheetData>
  <mergeCells count="22">
    <mergeCell ref="A55:M55"/>
    <mergeCell ref="A60:L60"/>
    <mergeCell ref="K23:M24"/>
    <mergeCell ref="B35:B36"/>
    <mergeCell ref="A1:M1"/>
    <mergeCell ref="F2:G2"/>
    <mergeCell ref="C39:E39"/>
    <mergeCell ref="F39:H39"/>
    <mergeCell ref="I39:K39"/>
    <mergeCell ref="L39:N39"/>
    <mergeCell ref="H4:M7"/>
    <mergeCell ref="A27:M27"/>
    <mergeCell ref="A47:M47"/>
    <mergeCell ref="A52:L52"/>
    <mergeCell ref="AG39:AI39"/>
    <mergeCell ref="AJ39:AL39"/>
    <mergeCell ref="O39:Q39"/>
    <mergeCell ref="R39:T39"/>
    <mergeCell ref="U39:W39"/>
    <mergeCell ref="X39:Z39"/>
    <mergeCell ref="AA39:AC39"/>
    <mergeCell ref="AD39:AF39"/>
  </mergeCells>
  <hyperlinks>
    <hyperlink ref="F2" location="Índice!A1" display="Regresar al índice" xr:uid="{AF23380E-27C3-40C7-ADE4-90FEAC2BF454}"/>
    <hyperlink ref="A2" location="'Escenario #3'!A1" display="[Escenario #3]" xr:uid="{1C07582D-CF5E-4CBE-85DB-27474A87C018}"/>
    <hyperlink ref="M2" location="'Contingencia #2'!A1" display="[Contingencia #2]" xr:uid="{39E9F73E-777F-4D43-9AC8-0DFFCF0B3A49}"/>
  </hyperlinks>
  <pageMargins left="0.7" right="0.7" top="0.75" bottom="0.75" header="0.3" footer="0.3"/>
  <pageSetup paperSize="9" orientation="portrait" horizontalDpi="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061BB-0758-45A2-9BF1-E4BD5A1CB282}">
  <dimension ref="A1:AM66"/>
  <sheetViews>
    <sheetView showGridLines="0" zoomScaleNormal="100" workbookViewId="0">
      <pane ySplit="2" topLeftCell="A3" activePane="bottomLeft" state="frozen"/>
      <selection pane="bottomLeft" activeCell="M2" sqref="M2"/>
    </sheetView>
  </sheetViews>
  <sheetFormatPr baseColWidth="10" defaultRowHeight="14.4" x14ac:dyDescent="0.3"/>
  <cols>
    <col min="1" max="1" width="26.88671875" bestFit="1" customWidth="1"/>
    <col min="2" max="2" width="17.6640625" customWidth="1"/>
    <col min="3" max="3" width="13.77734375" bestFit="1" customWidth="1"/>
    <col min="4" max="4" width="13" bestFit="1" customWidth="1"/>
    <col min="5" max="6" width="14" bestFit="1" customWidth="1"/>
    <col min="8" max="8" width="27.44140625" customWidth="1"/>
    <col min="9" max="9" width="12.88671875" bestFit="1" customWidth="1"/>
    <col min="10" max="10" width="13.88671875" customWidth="1"/>
    <col min="11" max="11" width="13.44140625" customWidth="1"/>
    <col min="12" max="12" width="15.109375" customWidth="1"/>
    <col min="13" max="13" width="19.6640625" customWidth="1"/>
    <col min="15" max="15" width="14.44140625" bestFit="1" customWidth="1"/>
    <col min="16" max="16" width="13.109375" bestFit="1" customWidth="1"/>
    <col min="18" max="18" width="14.44140625" bestFit="1" customWidth="1"/>
    <col min="21" max="21" width="14.44140625" bestFit="1" customWidth="1"/>
    <col min="24" max="24" width="14.44140625" bestFit="1" customWidth="1"/>
    <col min="27" max="27" width="14.44140625" bestFit="1" customWidth="1"/>
    <col min="30" max="30" width="14.44140625" bestFit="1" customWidth="1"/>
    <col min="33" max="33" width="12.88671875" bestFit="1" customWidth="1"/>
    <col min="36" max="36" width="13.5546875" customWidth="1"/>
    <col min="39" max="39" width="15.33203125" bestFit="1" customWidth="1"/>
  </cols>
  <sheetData>
    <row r="1" spans="1:13" ht="21" x14ac:dyDescent="0.4">
      <c r="A1" s="686" t="s">
        <v>419</v>
      </c>
      <c r="B1" s="686"/>
      <c r="C1" s="686"/>
      <c r="D1" s="686"/>
      <c r="E1" s="686"/>
      <c r="F1" s="686"/>
      <c r="G1" s="686"/>
      <c r="H1" s="686"/>
      <c r="I1" s="686"/>
      <c r="J1" s="686"/>
      <c r="K1" s="686"/>
      <c r="L1" s="686"/>
      <c r="M1" s="686"/>
    </row>
    <row r="2" spans="1:13" ht="19.8" customHeight="1" x14ac:dyDescent="0.65">
      <c r="A2" s="502" t="s">
        <v>421</v>
      </c>
      <c r="C2" s="12"/>
      <c r="D2" s="12"/>
      <c r="E2" s="12"/>
      <c r="F2" s="740" t="s">
        <v>35</v>
      </c>
      <c r="G2" s="740"/>
      <c r="M2" s="502" t="s">
        <v>437</v>
      </c>
    </row>
    <row r="4" spans="1:13" x14ac:dyDescent="0.3">
      <c r="A4" s="602" t="s">
        <v>369</v>
      </c>
      <c r="B4" s="603" t="str">
        <f>'Matriz de riesgos'!A8</f>
        <v>Ajuste de salario.</v>
      </c>
      <c r="C4" s="603"/>
      <c r="D4" s="603"/>
      <c r="E4" s="603"/>
      <c r="F4" s="604"/>
      <c r="H4" s="860" t="s">
        <v>414</v>
      </c>
      <c r="I4" s="861"/>
      <c r="J4" s="861"/>
      <c r="K4" s="861"/>
      <c r="L4" s="861"/>
      <c r="M4" s="862"/>
    </row>
    <row r="5" spans="1:13" x14ac:dyDescent="0.3">
      <c r="A5" s="605" t="s">
        <v>342</v>
      </c>
      <c r="B5" s="44" t="str">
        <f>'Matriz de riesgos'!D8</f>
        <v>Devaluación requiere que se ajusten los haberes desde el 2do año.</v>
      </c>
      <c r="C5" s="44"/>
      <c r="D5" s="44"/>
      <c r="E5" s="44"/>
      <c r="F5" s="606"/>
      <c r="H5" s="863"/>
      <c r="I5" s="864"/>
      <c r="J5" s="864"/>
      <c r="K5" s="864"/>
      <c r="L5" s="864"/>
      <c r="M5" s="865"/>
    </row>
    <row r="6" spans="1:13" x14ac:dyDescent="0.3">
      <c r="A6" s="607" t="s">
        <v>343</v>
      </c>
      <c r="B6" s="60" t="str">
        <f>'Matriz de riesgos'!G8</f>
        <v>Aumento en los costos asociados a RRHH en un 18%.</v>
      </c>
      <c r="C6" s="60"/>
      <c r="D6" s="60"/>
      <c r="E6" s="60"/>
      <c r="F6" s="608"/>
      <c r="H6" s="863"/>
      <c r="I6" s="864"/>
      <c r="J6" s="864"/>
      <c r="K6" s="864"/>
      <c r="L6" s="864"/>
      <c r="M6" s="865"/>
    </row>
    <row r="7" spans="1:13" x14ac:dyDescent="0.3">
      <c r="A7" s="609" t="s">
        <v>364</v>
      </c>
      <c r="B7" s="610">
        <f>'Matriz de riesgos'!J8</f>
        <v>0.375</v>
      </c>
      <c r="C7" s="611"/>
      <c r="D7" s="611"/>
      <c r="E7" s="611"/>
      <c r="F7" s="612"/>
      <c r="H7" s="866"/>
      <c r="I7" s="867"/>
      <c r="J7" s="867"/>
      <c r="K7" s="867"/>
      <c r="L7" s="867"/>
      <c r="M7" s="868"/>
    </row>
    <row r="9" spans="1:13" x14ac:dyDescent="0.3">
      <c r="A9" s="539" t="str">
        <f>'Escenario #2'!A9</f>
        <v>Concepto</v>
      </c>
      <c r="B9" s="678"/>
      <c r="C9" s="678" t="str">
        <f>'Escenario #2'!C9</f>
        <v>Año 0</v>
      </c>
      <c r="D9" s="678" t="str">
        <f>'Escenario #2'!D9</f>
        <v>Año 1</v>
      </c>
      <c r="E9" s="678" t="str">
        <f>'Escenario #2'!E9</f>
        <v>Año 2</v>
      </c>
      <c r="F9" s="679" t="str">
        <f>'Escenario #2'!F9</f>
        <v>Año 3</v>
      </c>
      <c r="H9" s="539" t="str">
        <f>A9</f>
        <v>Concepto</v>
      </c>
      <c r="I9" s="678"/>
      <c r="J9" s="678" t="str">
        <f t="shared" ref="I9:M13" si="0">C9</f>
        <v>Año 0</v>
      </c>
      <c r="K9" s="678" t="str">
        <f t="shared" si="0"/>
        <v>Año 1</v>
      </c>
      <c r="L9" s="678" t="str">
        <f t="shared" si="0"/>
        <v>Año 2</v>
      </c>
      <c r="M9" s="679" t="str">
        <f t="shared" si="0"/>
        <v>Año 3</v>
      </c>
    </row>
    <row r="10" spans="1:13" x14ac:dyDescent="0.3">
      <c r="A10" s="459" t="str">
        <f>'Escenario #2'!A10</f>
        <v>Ingresos</v>
      </c>
      <c r="B10" s="44"/>
      <c r="C10" s="540"/>
      <c r="D10" s="540">
        <f>'Escenario #2'!D10</f>
        <v>6608038.7999999998</v>
      </c>
      <c r="E10" s="540">
        <f>'Escenario #2'!E10</f>
        <v>11013398</v>
      </c>
      <c r="F10" s="541">
        <f>'Escenario #2'!F10</f>
        <v>15418757.200000003</v>
      </c>
      <c r="H10" s="459" t="str">
        <f>A10</f>
        <v>Ingresos</v>
      </c>
      <c r="I10" s="44"/>
      <c r="J10" s="540">
        <f t="shared" si="0"/>
        <v>0</v>
      </c>
      <c r="K10" s="540">
        <f t="shared" si="0"/>
        <v>6608038.7999999998</v>
      </c>
      <c r="L10" s="657">
        <f>AM42</f>
        <v>11886705</v>
      </c>
      <c r="M10" s="658">
        <f>AM50</f>
        <v>16641387.000000004</v>
      </c>
    </row>
    <row r="11" spans="1:13" x14ac:dyDescent="0.3">
      <c r="A11" s="548" t="str">
        <f>'Escenario #2'!A11</f>
        <v>Egresos</v>
      </c>
      <c r="B11" s="549" t="str">
        <f>'Escenario #2'!B11</f>
        <v>Fijo</v>
      </c>
      <c r="C11" s="550"/>
      <c r="D11" s="550">
        <f>'Escenario #2'!D11</f>
        <v>1413260</v>
      </c>
      <c r="E11" s="550">
        <f>'Escenario #2'!E11</f>
        <v>1532135</v>
      </c>
      <c r="F11" s="551">
        <f>'Escenario #2'!F11</f>
        <v>1707410</v>
      </c>
      <c r="H11" s="548" t="str">
        <f t="shared" ref="H11:M20" si="1">A11</f>
        <v>Egresos</v>
      </c>
      <c r="I11" s="549" t="str">
        <f t="shared" si="1"/>
        <v>Fijo</v>
      </c>
      <c r="J11" s="550"/>
      <c r="K11" s="550">
        <f t="shared" si="0"/>
        <v>1413260</v>
      </c>
      <c r="L11" s="550">
        <f>E11</f>
        <v>1532135</v>
      </c>
      <c r="M11" s="551">
        <f>F11</f>
        <v>1707410</v>
      </c>
    </row>
    <row r="12" spans="1:13" x14ac:dyDescent="0.3">
      <c r="A12" s="457"/>
      <c r="B12" s="542" t="str">
        <f>'Escenario #2'!B12</f>
        <v>Variable</v>
      </c>
      <c r="C12" s="543"/>
      <c r="D12" s="543">
        <f>'Escenario #2'!D12</f>
        <v>642214.44171428576</v>
      </c>
      <c r="E12" s="543">
        <f>'Escenario #2'!E12</f>
        <v>1091335.3038095238</v>
      </c>
      <c r="F12" s="544">
        <f>'Escenario #2'!F12</f>
        <v>1637325.1693333336</v>
      </c>
      <c r="H12" s="457"/>
      <c r="I12" s="542" t="str">
        <f t="shared" si="1"/>
        <v>Variable</v>
      </c>
      <c r="J12" s="543"/>
      <c r="K12" s="543">
        <f t="shared" si="0"/>
        <v>642214.44171428576</v>
      </c>
      <c r="L12" s="659">
        <f>M58</f>
        <v>1084828.1551904762</v>
      </c>
      <c r="M12" s="660">
        <f>M66</f>
        <v>1639160.7356666671</v>
      </c>
    </row>
    <row r="13" spans="1:13" x14ac:dyDescent="0.3">
      <c r="A13" s="457"/>
      <c r="B13" s="630" t="str">
        <f>'Escenario #2'!B13</f>
        <v>RRHH</v>
      </c>
      <c r="C13" s="631"/>
      <c r="D13" s="543">
        <f>'Escenario #2'!D13</f>
        <v>4258021.7550000008</v>
      </c>
      <c r="E13" s="631">
        <f>'Escenario #2'!E13</f>
        <v>7347871.295549999</v>
      </c>
      <c r="F13" s="632">
        <f>'Escenario #2'!F13</f>
        <v>9636022.7455833312</v>
      </c>
      <c r="H13" s="457"/>
      <c r="I13" s="630" t="str">
        <f t="shared" si="1"/>
        <v>RRHH</v>
      </c>
      <c r="J13" s="631"/>
      <c r="K13" s="543">
        <f t="shared" si="0"/>
        <v>4258021.7550000008</v>
      </c>
      <c r="L13" s="631">
        <f>E13</f>
        <v>7347871.295549999</v>
      </c>
      <c r="M13" s="632">
        <f>F13</f>
        <v>9636022.7455833312</v>
      </c>
    </row>
    <row r="14" spans="1:13" x14ac:dyDescent="0.3">
      <c r="A14" s="547"/>
      <c r="B14" s="346"/>
      <c r="C14" s="553"/>
      <c r="D14" s="553">
        <f>'Escenario #2'!D14</f>
        <v>6313496.1967142867</v>
      </c>
      <c r="E14" s="553">
        <f>'Escenario #2'!E14</f>
        <v>9971341.5993595235</v>
      </c>
      <c r="F14" s="554">
        <f>'Escenario #2'!F14</f>
        <v>12980757.914916664</v>
      </c>
      <c r="H14" s="547"/>
      <c r="I14" s="346"/>
      <c r="J14" s="553"/>
      <c r="K14" s="553">
        <f>SUM(K11:K13)</f>
        <v>6313496.1967142867</v>
      </c>
      <c r="L14" s="553">
        <f>SUM(L11:L13)</f>
        <v>9964834.4507404752</v>
      </c>
      <c r="M14" s="554">
        <f>SUM(M11:M13)</f>
        <v>12982593.481249999</v>
      </c>
    </row>
    <row r="15" spans="1:13" x14ac:dyDescent="0.3">
      <c r="A15" s="459" t="str">
        <f>'Escenario #2'!A15</f>
        <v>Utilidad Antes de Impuestos</v>
      </c>
      <c r="B15" s="44"/>
      <c r="C15" s="540"/>
      <c r="D15" s="545">
        <f>'Escenario #2'!D15</f>
        <v>294542.60328571312</v>
      </c>
      <c r="E15" s="545">
        <f>'Escenario #2'!E15</f>
        <v>1042056.4006404765</v>
      </c>
      <c r="F15" s="546">
        <f>'Escenario #2'!F15</f>
        <v>2437999.2850833386</v>
      </c>
      <c r="H15" s="459" t="str">
        <f t="shared" si="1"/>
        <v>Utilidad Antes de Impuestos</v>
      </c>
      <c r="I15" s="44"/>
      <c r="J15" s="540"/>
      <c r="K15" s="545">
        <f>K10-K14</f>
        <v>294542.60328571312</v>
      </c>
      <c r="L15" s="545">
        <f t="shared" ref="L15:M15" si="2">L10-L14</f>
        <v>1921870.5492595248</v>
      </c>
      <c r="M15" s="546">
        <f t="shared" si="2"/>
        <v>3658793.5187500045</v>
      </c>
    </row>
    <row r="16" spans="1:13" x14ac:dyDescent="0.3">
      <c r="A16" s="555" t="str">
        <f>'Escenario #2'!A16</f>
        <v>Impuestos a los Ingresos brutos</v>
      </c>
      <c r="B16" s="556"/>
      <c r="C16" s="558"/>
      <c r="D16" s="558">
        <f>'Escenario #2'!D16</f>
        <v>0</v>
      </c>
      <c r="E16" s="558">
        <f>'Escenario #2'!E16</f>
        <v>330401.94</v>
      </c>
      <c r="F16" s="559">
        <f>'Escenario #2'!F16</f>
        <v>462562.71600000007</v>
      </c>
      <c r="H16" s="555" t="str">
        <f t="shared" si="1"/>
        <v>Impuestos a los Ingresos brutos</v>
      </c>
      <c r="I16" s="556"/>
      <c r="J16" s="558"/>
      <c r="K16" s="558"/>
      <c r="L16" s="558">
        <f>L10*0.03</f>
        <v>356601.14999999997</v>
      </c>
      <c r="M16" s="559">
        <f>M10*0.03</f>
        <v>499241.6100000001</v>
      </c>
    </row>
    <row r="17" spans="1:13" x14ac:dyDescent="0.3">
      <c r="A17" s="459" t="str">
        <f>'Escenario #2'!A17</f>
        <v>Impuestos a las ganancias</v>
      </c>
      <c r="B17" s="44"/>
      <c r="C17" s="540"/>
      <c r="D17" s="47">
        <f>'Escenario #2'!D17</f>
        <v>0</v>
      </c>
      <c r="E17" s="540">
        <f>'Escenario #2'!E17</f>
        <v>46105.780574999793</v>
      </c>
      <c r="F17" s="541">
        <f>'Escenario #2'!F17</f>
        <v>117858.27561208339</v>
      </c>
      <c r="H17" s="459" t="str">
        <f t="shared" si="1"/>
        <v>Impuestos a las ganancias</v>
      </c>
      <c r="I17" s="44"/>
      <c r="J17" s="540"/>
      <c r="K17" s="47"/>
      <c r="L17" s="540">
        <f>(K15-K16-'Presupuesto financiero'!F12)*0.35/2</f>
        <v>46105.780574999793</v>
      </c>
      <c r="M17" s="541">
        <f>(L15-L16-'Presupuesto financiero'!G12)*0.35/2</f>
        <v>267240.88987041684</v>
      </c>
    </row>
    <row r="18" spans="1:13" x14ac:dyDescent="0.3">
      <c r="A18" s="555" t="str">
        <f>'Escenario #2'!A18</f>
        <v>Utilidad después de impuestos</v>
      </c>
      <c r="B18" s="556"/>
      <c r="C18" s="558"/>
      <c r="D18" s="560">
        <f>'Escenario #2'!D18</f>
        <v>294542.60328571312</v>
      </c>
      <c r="E18" s="560">
        <f>'Escenario #2'!E18</f>
        <v>665548.6800654768</v>
      </c>
      <c r="F18" s="561">
        <f>'Escenario #2'!F18</f>
        <v>1857578.2934712551</v>
      </c>
      <c r="H18" s="555" t="str">
        <f t="shared" si="1"/>
        <v>Utilidad después de impuestos</v>
      </c>
      <c r="I18" s="556"/>
      <c r="J18" s="558"/>
      <c r="K18" s="560">
        <f>K15-K16-K17</f>
        <v>294542.60328571312</v>
      </c>
      <c r="L18" s="560">
        <f t="shared" ref="L18:M18" si="3">L15-L16-L17</f>
        <v>1519163.6186845251</v>
      </c>
      <c r="M18" s="561">
        <f t="shared" si="3"/>
        <v>2892311.0188795873</v>
      </c>
    </row>
    <row r="19" spans="1:13" x14ac:dyDescent="0.3">
      <c r="A19" s="459" t="str">
        <f>'Escenario #2'!A19</f>
        <v>Inversión</v>
      </c>
      <c r="B19" s="44"/>
      <c r="C19" s="205">
        <f>'Escenario #2'!C19</f>
        <v>1285744</v>
      </c>
      <c r="D19" s="205">
        <f>'Escenario #2'!D19</f>
        <v>72198</v>
      </c>
      <c r="E19" s="205">
        <f>'Escenario #2'!E19</f>
        <v>171827</v>
      </c>
      <c r="F19" s="563">
        <f>'Escenario #2'!F19</f>
        <v>157108</v>
      </c>
      <c r="H19" s="459" t="str">
        <f t="shared" si="1"/>
        <v>Inversión</v>
      </c>
      <c r="I19" s="44"/>
      <c r="J19" s="205">
        <f t="shared" si="1"/>
        <v>1285744</v>
      </c>
      <c r="K19" s="205">
        <f t="shared" si="1"/>
        <v>72198</v>
      </c>
      <c r="L19" s="205">
        <f t="shared" si="1"/>
        <v>171827</v>
      </c>
      <c r="M19" s="563">
        <f t="shared" si="1"/>
        <v>157108</v>
      </c>
    </row>
    <row r="20" spans="1:13" x14ac:dyDescent="0.3">
      <c r="A20" s="555" t="str">
        <f>'Escenario #2'!A20</f>
        <v>Flujo de fondos</v>
      </c>
      <c r="B20" s="556"/>
      <c r="C20" s="560">
        <f>'Escenario #2'!C20</f>
        <v>-1285744</v>
      </c>
      <c r="D20" s="560">
        <f>'Escenario #2'!D20</f>
        <v>222344.60328571312</v>
      </c>
      <c r="E20" s="560">
        <f>'Escenario #2'!E20</f>
        <v>493721.6800654768</v>
      </c>
      <c r="F20" s="561">
        <f>'Escenario #2'!F20</f>
        <v>1700470.2934712551</v>
      </c>
      <c r="H20" s="555" t="str">
        <f t="shared" si="1"/>
        <v>Flujo de fondos</v>
      </c>
      <c r="I20" s="556"/>
      <c r="J20" s="560">
        <f>J18-J19</f>
        <v>-1285744</v>
      </c>
      <c r="K20" s="560">
        <f t="shared" ref="K20:M20" si="4">K18-K19</f>
        <v>222344.60328571312</v>
      </c>
      <c r="L20" s="560">
        <f t="shared" si="4"/>
        <v>1347336.6186845251</v>
      </c>
      <c r="M20" s="561">
        <f t="shared" si="4"/>
        <v>2735203.0188795873</v>
      </c>
    </row>
    <row r="22" spans="1:13" x14ac:dyDescent="0.3">
      <c r="A22" s="435" t="s">
        <v>322</v>
      </c>
      <c r="B22" s="564">
        <f>'Escenario #2'!I9</f>
        <v>0.6</v>
      </c>
      <c r="H22" s="435" t="s">
        <v>322</v>
      </c>
      <c r="I22" s="564">
        <v>0.6</v>
      </c>
      <c r="K22" s="648" t="s">
        <v>416</v>
      </c>
      <c r="L22" s="646"/>
      <c r="M22" s="647"/>
    </row>
    <row r="23" spans="1:13" x14ac:dyDescent="0.3">
      <c r="A23" s="441" t="s">
        <v>323</v>
      </c>
      <c r="B23" s="870">
        <f>'Escenario #2'!I10</f>
        <v>-538764.71142884693</v>
      </c>
      <c r="H23" s="441" t="s">
        <v>323</v>
      </c>
      <c r="I23" s="565">
        <f>NPV(I22,K20:M20)-J19</f>
        <v>47298.918258362217</v>
      </c>
      <c r="K23" s="852" t="s">
        <v>427</v>
      </c>
      <c r="L23" s="853"/>
      <c r="M23" s="854"/>
    </row>
    <row r="24" spans="1:13" x14ac:dyDescent="0.3">
      <c r="A24" s="443" t="s">
        <v>324</v>
      </c>
      <c r="B24" s="871">
        <f>'Escenario #2'!I11</f>
        <v>0.2800614109829842</v>
      </c>
      <c r="H24" s="443" t="s">
        <v>324</v>
      </c>
      <c r="I24" s="566">
        <f>IRR(J20:M20)</f>
        <v>0.62433503871923679</v>
      </c>
      <c r="K24" s="855"/>
      <c r="L24" s="856"/>
      <c r="M24" s="857"/>
    </row>
    <row r="27" spans="1:13" x14ac:dyDescent="0.3">
      <c r="A27" s="869" t="s">
        <v>415</v>
      </c>
      <c r="B27" s="869"/>
      <c r="C27" s="869"/>
      <c r="D27" s="869"/>
      <c r="E27" s="869"/>
      <c r="F27" s="869"/>
      <c r="G27" s="869"/>
      <c r="H27" s="869"/>
      <c r="I27" s="869"/>
      <c r="J27" s="869"/>
      <c r="K27" s="869"/>
      <c r="L27" s="869"/>
      <c r="M27" s="869"/>
    </row>
    <row r="28" spans="1:13" x14ac:dyDescent="0.3">
      <c r="A28" t="s">
        <v>426</v>
      </c>
    </row>
    <row r="29" spans="1:13" x14ac:dyDescent="0.3">
      <c r="A29" t="s">
        <v>431</v>
      </c>
    </row>
    <row r="30" spans="1:13" x14ac:dyDescent="0.3">
      <c r="A30" t="s">
        <v>432</v>
      </c>
    </row>
    <row r="32" spans="1:13" x14ac:dyDescent="0.3">
      <c r="B32" s="379" t="s">
        <v>413</v>
      </c>
      <c r="C32" s="380" t="s">
        <v>42</v>
      </c>
      <c r="D32" s="638" t="s">
        <v>43</v>
      </c>
      <c r="E32" s="641" t="s">
        <v>417</v>
      </c>
    </row>
    <row r="33" spans="1:39" x14ac:dyDescent="0.3">
      <c r="A33" s="244" t="s">
        <v>20</v>
      </c>
      <c r="B33" s="858">
        <f>Hipótesis!D72</f>
        <v>40</v>
      </c>
      <c r="C33" s="639">
        <f>Hipótesis!C52+0.05</f>
        <v>0.55000000000000004</v>
      </c>
      <c r="D33" s="653">
        <f>B33*C33</f>
        <v>22</v>
      </c>
      <c r="E33" s="642">
        <f>1-0.5/0.55</f>
        <v>9.0909090909090939E-2</v>
      </c>
    </row>
    <row r="34" spans="1:39" x14ac:dyDescent="0.3">
      <c r="A34" s="345" t="s">
        <v>21</v>
      </c>
      <c r="B34" s="859"/>
      <c r="C34" s="640">
        <f>Hipótesis!C53+0.1</f>
        <v>1.6</v>
      </c>
      <c r="D34" s="654">
        <f>B33*C34</f>
        <v>64</v>
      </c>
      <c r="E34" s="643">
        <f>1-1.5/1.6</f>
        <v>6.25E-2</v>
      </c>
    </row>
    <row r="36" spans="1:39" x14ac:dyDescent="0.3">
      <c r="A36" s="6" t="s">
        <v>412</v>
      </c>
    </row>
    <row r="37" spans="1:39" x14ac:dyDescent="0.3">
      <c r="A37" s="81"/>
      <c r="B37" s="81"/>
      <c r="C37" s="735" t="str">
        <f>'Proyección de ventas'!C42</f>
        <v>Enero</v>
      </c>
      <c r="D37" s="736">
        <f>'Proyección de ventas'!D42</f>
        <v>0</v>
      </c>
      <c r="E37" s="736">
        <f>'Proyección de ventas'!E42</f>
        <v>0</v>
      </c>
      <c r="F37" s="734" t="str">
        <f>'Proyección de ventas'!F42</f>
        <v>Febrero</v>
      </c>
      <c r="G37" s="734">
        <f>'Proyección de ventas'!G42</f>
        <v>0</v>
      </c>
      <c r="H37" s="734">
        <f>'Proyección de ventas'!H42</f>
        <v>0</v>
      </c>
      <c r="I37" s="726" t="str">
        <f>'Proyección de ventas'!I42</f>
        <v>Marzo</v>
      </c>
      <c r="J37" s="726">
        <f>'Proyección de ventas'!J42</f>
        <v>0</v>
      </c>
      <c r="K37" s="726">
        <f>'Proyección de ventas'!K42</f>
        <v>0</v>
      </c>
      <c r="L37" s="734" t="str">
        <f>'Proyección de ventas'!L42</f>
        <v>Abril</v>
      </c>
      <c r="M37" s="734">
        <f>'Proyección de ventas'!M42</f>
        <v>0</v>
      </c>
      <c r="N37" s="734">
        <f>'Proyección de ventas'!N42</f>
        <v>0</v>
      </c>
      <c r="O37" s="726" t="str">
        <f>'Proyección de ventas'!O42</f>
        <v>Mayo</v>
      </c>
      <c r="P37" s="726">
        <f>'Proyección de ventas'!P42</f>
        <v>0</v>
      </c>
      <c r="Q37" s="726">
        <f>'Proyección de ventas'!Q42</f>
        <v>0</v>
      </c>
      <c r="R37" s="734" t="str">
        <f>'Proyección de ventas'!R42</f>
        <v>Junio</v>
      </c>
      <c r="S37" s="734">
        <f>'Proyección de ventas'!S42</f>
        <v>0</v>
      </c>
      <c r="T37" s="734">
        <f>'Proyección de ventas'!T42</f>
        <v>0</v>
      </c>
      <c r="U37" s="726" t="str">
        <f>'Proyección de ventas'!U42</f>
        <v>Julio</v>
      </c>
      <c r="V37" s="726">
        <f>'Proyección de ventas'!V42</f>
        <v>0</v>
      </c>
      <c r="W37" s="726">
        <f>'Proyección de ventas'!W42</f>
        <v>0</v>
      </c>
      <c r="X37" s="734" t="str">
        <f>'Proyección de ventas'!X42</f>
        <v>Agosto</v>
      </c>
      <c r="Y37" s="734">
        <f>'Proyección de ventas'!Y42</f>
        <v>0</v>
      </c>
      <c r="Z37" s="734">
        <f>'Proyección de ventas'!Z42</f>
        <v>0</v>
      </c>
      <c r="AA37" s="726" t="str">
        <f>'Proyección de ventas'!AA42</f>
        <v>Septiembre</v>
      </c>
      <c r="AB37" s="726">
        <f>'Proyección de ventas'!AB42</f>
        <v>0</v>
      </c>
      <c r="AC37" s="726">
        <f>'Proyección de ventas'!AC42</f>
        <v>0</v>
      </c>
      <c r="AD37" s="734" t="str">
        <f>'Proyección de ventas'!AD42</f>
        <v>Octubre</v>
      </c>
      <c r="AE37" s="734">
        <f>'Proyección de ventas'!AE42</f>
        <v>0</v>
      </c>
      <c r="AF37" s="734">
        <f>'Proyección de ventas'!AF42</f>
        <v>0</v>
      </c>
      <c r="AG37" s="726" t="str">
        <f>'Proyección de ventas'!AG42</f>
        <v>Noviembre</v>
      </c>
      <c r="AH37" s="726">
        <f>'Proyección de ventas'!AH42</f>
        <v>0</v>
      </c>
      <c r="AI37" s="726">
        <f>'Proyección de ventas'!AI42</f>
        <v>0</v>
      </c>
      <c r="AJ37" s="727" t="str">
        <f>'Proyección de ventas'!AJ42</f>
        <v>Diciembre</v>
      </c>
      <c r="AK37" s="727">
        <f>'Proyección de ventas'!AK42</f>
        <v>0</v>
      </c>
      <c r="AL37" s="728">
        <f>'Proyección de ventas'!AL42</f>
        <v>0</v>
      </c>
    </row>
    <row r="38" spans="1:39" x14ac:dyDescent="0.3">
      <c r="A38" s="492" t="str">
        <f>'Proyección de ventas'!A43</f>
        <v>Productos</v>
      </c>
      <c r="B38" s="493" t="str">
        <f>'Proyección de ventas'!B43</f>
        <v>$AR</v>
      </c>
      <c r="C38" s="495" t="str">
        <f>'Proyección de ventas'!C43</f>
        <v>Ventas</v>
      </c>
      <c r="D38" s="494" t="str">
        <f>'Proyección de ventas'!D43</f>
        <v>Descargas</v>
      </c>
      <c r="E38" s="493" t="str">
        <f>'Proyección de ventas'!E43</f>
        <v>Porcentaje</v>
      </c>
      <c r="F38" s="495" t="str">
        <f>'Proyección de ventas'!F43</f>
        <v>Ventas</v>
      </c>
      <c r="G38" s="494" t="str">
        <f>'Proyección de ventas'!G43</f>
        <v>Descargas</v>
      </c>
      <c r="H38" s="496" t="str">
        <f>'Proyección de ventas'!H43</f>
        <v>Porcentaje</v>
      </c>
      <c r="I38" s="493" t="str">
        <f>'Proyección de ventas'!I43</f>
        <v>Ventas</v>
      </c>
      <c r="J38" s="494" t="str">
        <f>'Proyección de ventas'!J43</f>
        <v>Descargas</v>
      </c>
      <c r="K38" s="493" t="str">
        <f>'Proyección de ventas'!K43</f>
        <v>Porcentaje</v>
      </c>
      <c r="L38" s="495" t="str">
        <f>'Proyección de ventas'!L43</f>
        <v>Ventas</v>
      </c>
      <c r="M38" s="494" t="str">
        <f>'Proyección de ventas'!M43</f>
        <v>Descargas</v>
      </c>
      <c r="N38" s="496" t="str">
        <f>'Proyección de ventas'!N43</f>
        <v>Porcentaje</v>
      </c>
      <c r="O38" s="493" t="str">
        <f>'Proyección de ventas'!O43</f>
        <v>Ventas</v>
      </c>
      <c r="P38" s="494" t="str">
        <f>'Proyección de ventas'!P43</f>
        <v>Descargas</v>
      </c>
      <c r="Q38" s="493" t="str">
        <f>'Proyección de ventas'!Q43</f>
        <v>Porcentaje</v>
      </c>
      <c r="R38" s="495" t="str">
        <f>'Proyección de ventas'!R43</f>
        <v>Ventas</v>
      </c>
      <c r="S38" s="494" t="str">
        <f>'Proyección de ventas'!S43</f>
        <v>Descargas</v>
      </c>
      <c r="T38" s="496" t="str">
        <f>'Proyección de ventas'!T43</f>
        <v>Porcentaje</v>
      </c>
      <c r="U38" s="493" t="str">
        <f>'Proyección de ventas'!U43</f>
        <v>Ventas</v>
      </c>
      <c r="V38" s="494" t="str">
        <f>'Proyección de ventas'!V43</f>
        <v>Descargas</v>
      </c>
      <c r="W38" s="493" t="str">
        <f>'Proyección de ventas'!W43</f>
        <v>Porcentaje</v>
      </c>
      <c r="X38" s="495" t="str">
        <f>'Proyección de ventas'!X43</f>
        <v>Ventas</v>
      </c>
      <c r="Y38" s="494" t="str">
        <f>'Proyección de ventas'!Y43</f>
        <v>Descargas</v>
      </c>
      <c r="Z38" s="496" t="str">
        <f>'Proyección de ventas'!Z43</f>
        <v>Porcentaje</v>
      </c>
      <c r="AA38" s="493" t="str">
        <f>'Proyección de ventas'!AA43</f>
        <v>Ventas</v>
      </c>
      <c r="AB38" s="494" t="str">
        <f>'Proyección de ventas'!AB43</f>
        <v>Descargas</v>
      </c>
      <c r="AC38" s="493" t="str">
        <f>'Proyección de ventas'!AC43</f>
        <v>Porcentaje</v>
      </c>
      <c r="AD38" s="495" t="str">
        <f>'Proyección de ventas'!AD43</f>
        <v>Ventas</v>
      </c>
      <c r="AE38" s="494" t="str">
        <f>'Proyección de ventas'!AE43</f>
        <v>Descargas</v>
      </c>
      <c r="AF38" s="493" t="str">
        <f>'Proyección de ventas'!AF43</f>
        <v>Porcentaje</v>
      </c>
      <c r="AG38" s="495" t="str">
        <f>'Proyección de ventas'!AG43</f>
        <v>Ventas</v>
      </c>
      <c r="AH38" s="494" t="str">
        <f>'Proyección de ventas'!AH43</f>
        <v>Descargas</v>
      </c>
      <c r="AI38" s="493" t="str">
        <f>'Proyección de ventas'!AI43</f>
        <v>Porcentaje</v>
      </c>
      <c r="AJ38" s="495" t="str">
        <f>'Proyección de ventas'!AJ43</f>
        <v>Ventas</v>
      </c>
      <c r="AK38" s="494" t="str">
        <f>'Proyección de ventas'!AK43</f>
        <v>Descargas</v>
      </c>
      <c r="AL38" s="496" t="str">
        <f>'Proyección de ventas'!AL43</f>
        <v>Porcentaje</v>
      </c>
    </row>
    <row r="39" spans="1:39" x14ac:dyDescent="0.3">
      <c r="A39" s="455" t="s">
        <v>15</v>
      </c>
      <c r="B39" s="45"/>
      <c r="C39" s="613"/>
      <c r="D39" s="499">
        <f>'Proyección de ventas'!D44</f>
        <v>7069.8542857142857</v>
      </c>
      <c r="E39" s="644"/>
      <c r="F39" s="613"/>
      <c r="G39" s="499">
        <f>'Proyección de ventas'!G44</f>
        <v>4713.236190476191</v>
      </c>
      <c r="H39" s="644"/>
      <c r="I39" s="45"/>
      <c r="J39" s="46">
        <f>'Proyección de ventas'!J44</f>
        <v>4713.236190476191</v>
      </c>
      <c r="K39" s="45"/>
      <c r="L39" s="468"/>
      <c r="M39" s="46">
        <f>'Proyección de ventas'!M44</f>
        <v>7069.8542857142857</v>
      </c>
      <c r="N39" s="456"/>
      <c r="O39" s="45"/>
      <c r="P39" s="46">
        <f>'Proyección de ventas'!P44</f>
        <v>11783.090476190475</v>
      </c>
      <c r="Q39" s="45"/>
      <c r="R39" s="468"/>
      <c r="S39" s="46">
        <f>'Proyección de ventas'!S44</f>
        <v>16496.326666666668</v>
      </c>
      <c r="T39" s="456"/>
      <c r="U39" s="45"/>
      <c r="V39" s="46">
        <f>'Proyección de ventas'!V44</f>
        <v>18852.944761904764</v>
      </c>
      <c r="W39" s="45"/>
      <c r="X39" s="468"/>
      <c r="Y39" s="46">
        <f>'Proyección de ventas'!Y44</f>
        <v>14139.708571428571</v>
      </c>
      <c r="Z39" s="456"/>
      <c r="AA39" s="613"/>
      <c r="AB39" s="499">
        <f>'Proyección de ventas'!AB44</f>
        <v>11783.090476190475</v>
      </c>
      <c r="AC39" s="644"/>
      <c r="AD39" s="613"/>
      <c r="AE39" s="499">
        <f>'Proyección de ventas'!AE44</f>
        <v>10604.781428571428</v>
      </c>
      <c r="AF39" s="644"/>
      <c r="AG39" s="613"/>
      <c r="AH39" s="499">
        <f>'Proyección de ventas'!AH44</f>
        <v>7069.8542857142857</v>
      </c>
      <c r="AI39" s="644"/>
      <c r="AJ39" s="45"/>
      <c r="AK39" s="46">
        <f>'Proyección de ventas'!AK44</f>
        <v>9426.4723809523821</v>
      </c>
      <c r="AL39" s="456"/>
    </row>
    <row r="40" spans="1:39" x14ac:dyDescent="0.3">
      <c r="A40" s="457" t="str">
        <f>'Proyección de ventas'!A45</f>
        <v>Experiencias</v>
      </c>
      <c r="B40" s="655">
        <f>D33</f>
        <v>22</v>
      </c>
      <c r="C40" s="469">
        <f>D40*$B$40</f>
        <v>262266.02285714285</v>
      </c>
      <c r="D40" s="453">
        <f>'Proyección de ventas'!D45</f>
        <v>11921.182857142858</v>
      </c>
      <c r="E40" s="458">
        <f>'Proyección de ventas'!E45</f>
        <v>0.37884892564492817</v>
      </c>
      <c r="F40" s="469">
        <f>G40*$B$40</f>
        <v>174844.01523809525</v>
      </c>
      <c r="G40" s="453">
        <f>'Proyección de ventas'!G45</f>
        <v>7947.4552380952391</v>
      </c>
      <c r="H40" s="458">
        <f>'Proyección de ventas'!H45</f>
        <v>0.37884892564492811</v>
      </c>
      <c r="I40" s="57">
        <f>J40*$B$40</f>
        <v>174844.01523809525</v>
      </c>
      <c r="J40" s="453">
        <f>'Proyección de ventas'!J45</f>
        <v>7947.4552380952391</v>
      </c>
      <c r="K40" s="454">
        <f>'Proyección de ventas'!K45</f>
        <v>0.37884892564492811</v>
      </c>
      <c r="L40" s="469">
        <f>M40*$B$40</f>
        <v>262266.02285714285</v>
      </c>
      <c r="M40" s="453">
        <f>'Proyección de ventas'!M45</f>
        <v>11921.182857142858</v>
      </c>
      <c r="N40" s="458">
        <f>'Proyección de ventas'!N45</f>
        <v>0.37884892564492817</v>
      </c>
      <c r="O40" s="57">
        <f>P40*$B$40</f>
        <v>437110.03809523804</v>
      </c>
      <c r="P40" s="453">
        <f>'Proyección de ventas'!P45</f>
        <v>19868.638095238093</v>
      </c>
      <c r="Q40" s="454">
        <f>'Proyección de ventas'!Q45</f>
        <v>0.37884892564492811</v>
      </c>
      <c r="R40" s="57">
        <f>S40*$B$40</f>
        <v>611954.05333333334</v>
      </c>
      <c r="S40" s="453">
        <f>'Proyección de ventas'!S45</f>
        <v>27816.093333333334</v>
      </c>
      <c r="T40" s="458">
        <f>'Proyección de ventas'!T45</f>
        <v>0.37884892564492811</v>
      </c>
      <c r="U40" s="57">
        <f>V40*$B$40</f>
        <v>699376.060952381</v>
      </c>
      <c r="V40" s="453">
        <f>'Proyección de ventas'!V45</f>
        <v>31789.820952380956</v>
      </c>
      <c r="W40" s="454">
        <f>'Proyección de ventas'!W45</f>
        <v>0.37884892564492811</v>
      </c>
      <c r="X40" s="469">
        <f>Y40*$B$40</f>
        <v>524532.04571428569</v>
      </c>
      <c r="Y40" s="453">
        <f>'Proyección de ventas'!Y45</f>
        <v>23842.365714285716</v>
      </c>
      <c r="Z40" s="458">
        <f>'Proyección de ventas'!Z45</f>
        <v>0.37884892564492817</v>
      </c>
      <c r="AA40" s="469">
        <f>AB40*$B$40</f>
        <v>437110.03809523804</v>
      </c>
      <c r="AB40" s="453">
        <f>'Proyección de ventas'!AB45</f>
        <v>19868.638095238093</v>
      </c>
      <c r="AC40" s="458">
        <f>'Proyección de ventas'!AC45</f>
        <v>0.37884892564492811</v>
      </c>
      <c r="AD40" s="469">
        <f>AE40*$B$40</f>
        <v>393399.03428571427</v>
      </c>
      <c r="AE40" s="453">
        <f>'Proyección de ventas'!AE45</f>
        <v>17881.774285714284</v>
      </c>
      <c r="AF40" s="458">
        <f>'Proyección de ventas'!AF45</f>
        <v>0.37884892564492811</v>
      </c>
      <c r="AG40" s="469">
        <f>AH40*$B$40</f>
        <v>262266.02285714285</v>
      </c>
      <c r="AH40" s="453">
        <f>'Proyección de ventas'!AH45</f>
        <v>11921.182857142858</v>
      </c>
      <c r="AI40" s="458">
        <f>'Proyección de ventas'!AI45</f>
        <v>0.37884892564492817</v>
      </c>
      <c r="AJ40" s="57">
        <f>AK40*$B$40</f>
        <v>349688.0304761905</v>
      </c>
      <c r="AK40" s="453">
        <f>'Proyección de ventas'!AK45</f>
        <v>15894.910476190478</v>
      </c>
      <c r="AL40" s="458">
        <f>'Proyección de ventas'!AL45</f>
        <v>0.37884892564492811</v>
      </c>
    </row>
    <row r="41" spans="1:39" x14ac:dyDescent="0.3">
      <c r="A41" s="459" t="str">
        <f>'Proyección de ventas'!A46</f>
        <v>Servicios</v>
      </c>
      <c r="B41" s="656">
        <f>D34</f>
        <v>64</v>
      </c>
      <c r="C41" s="470">
        <f>D41*$B$41</f>
        <v>416974.26285714284</v>
      </c>
      <c r="D41" s="51">
        <f>'Proyección de ventas'!D46</f>
        <v>6515.2228571428568</v>
      </c>
      <c r="E41" s="460">
        <f>'Proyección de ventas'!E46</f>
        <v>0.62115107435507189</v>
      </c>
      <c r="F41" s="470">
        <f>G41*$B$41</f>
        <v>277982.84190476191</v>
      </c>
      <c r="G41" s="51">
        <f>'Proyección de ventas'!G46</f>
        <v>4343.4819047619048</v>
      </c>
      <c r="H41" s="460">
        <f>'Proyección de ventas'!H46</f>
        <v>0.62115107435507189</v>
      </c>
      <c r="I41" s="50">
        <f>J41*$B$41</f>
        <v>277982.84190476191</v>
      </c>
      <c r="J41" s="51">
        <f>'Proyección de ventas'!J46</f>
        <v>4343.4819047619048</v>
      </c>
      <c r="K41" s="52">
        <f>'Proyección de ventas'!K46</f>
        <v>0.62115107435507189</v>
      </c>
      <c r="L41" s="470">
        <f>M41*$B$41</f>
        <v>416974.26285714284</v>
      </c>
      <c r="M41" s="51">
        <f>'Proyección de ventas'!M46</f>
        <v>6515.2228571428568</v>
      </c>
      <c r="N41" s="460">
        <f>'Proyección de ventas'!N46</f>
        <v>0.62115107435507189</v>
      </c>
      <c r="O41" s="50">
        <f>P41*$B$41</f>
        <v>694957.10476190469</v>
      </c>
      <c r="P41" s="51">
        <f>'Proyección de ventas'!P46</f>
        <v>10858.704761904761</v>
      </c>
      <c r="Q41" s="52">
        <f>'Proyección de ventas'!Q46</f>
        <v>0.62115107435507189</v>
      </c>
      <c r="R41" s="50">
        <f>S41*$B$41</f>
        <v>972939.94666666666</v>
      </c>
      <c r="S41" s="51">
        <f>'Proyección de ventas'!S46</f>
        <v>15202.186666666666</v>
      </c>
      <c r="T41" s="460">
        <f>'Proyección de ventas'!T46</f>
        <v>0.62115107435507189</v>
      </c>
      <c r="U41" s="50">
        <f>V41*$B$41</f>
        <v>1111931.3676190476</v>
      </c>
      <c r="V41" s="51">
        <f>'Proyección de ventas'!V46</f>
        <v>17373.927619047619</v>
      </c>
      <c r="W41" s="52">
        <f>'Proyección de ventas'!W46</f>
        <v>0.62115107435507189</v>
      </c>
      <c r="X41" s="470">
        <f>Y41*$B$41</f>
        <v>833948.52571428567</v>
      </c>
      <c r="Y41" s="51">
        <f>'Proyección de ventas'!Y46</f>
        <v>13030.445714285714</v>
      </c>
      <c r="Z41" s="460">
        <f>'Proyección de ventas'!Z46</f>
        <v>0.62115107435507189</v>
      </c>
      <c r="AA41" s="470">
        <f>AB41*$B$41</f>
        <v>694957.10476190469</v>
      </c>
      <c r="AB41" s="51">
        <f>'Proyección de ventas'!AB46</f>
        <v>10858.704761904761</v>
      </c>
      <c r="AC41" s="460">
        <f>'Proyección de ventas'!AC46</f>
        <v>0.62115107435507189</v>
      </c>
      <c r="AD41" s="470">
        <f>AE41*$B$41</f>
        <v>625461.39428571425</v>
      </c>
      <c r="AE41" s="51">
        <f>'Proyección de ventas'!AE46</f>
        <v>9772.8342857142852</v>
      </c>
      <c r="AF41" s="460">
        <f>'Proyección de ventas'!AF46</f>
        <v>0.62115107435507189</v>
      </c>
      <c r="AG41" s="470">
        <f>AH41*$B$41</f>
        <v>416974.26285714284</v>
      </c>
      <c r="AH41" s="51">
        <f>'Proyección de ventas'!AH46</f>
        <v>6515.2228571428568</v>
      </c>
      <c r="AI41" s="460">
        <f>'Proyección de ventas'!AI46</f>
        <v>0.62115107435507189</v>
      </c>
      <c r="AJ41" s="50">
        <f>AK41*$B$41</f>
        <v>555965.68380952382</v>
      </c>
      <c r="AK41" s="51">
        <f>'Proyección de ventas'!AK46</f>
        <v>8686.9638095238097</v>
      </c>
      <c r="AL41" s="460">
        <f>'Proyección de ventas'!AL46</f>
        <v>0.62115107435507189</v>
      </c>
    </row>
    <row r="42" spans="1:39" x14ac:dyDescent="0.3">
      <c r="A42" s="422" t="str">
        <f>'Proyección de ventas'!A47</f>
        <v>Totales</v>
      </c>
      <c r="B42" s="461"/>
      <c r="C42" s="471">
        <f>SUM(C39:C41)</f>
        <v>679240.28571428568</v>
      </c>
      <c r="D42" s="463">
        <f>'Proyección de ventas'!D47</f>
        <v>25506.260000000002</v>
      </c>
      <c r="E42" s="472">
        <f>'Proyección de ventas'!E47</f>
        <v>1</v>
      </c>
      <c r="F42" s="471">
        <f>SUM(F39:F41)</f>
        <v>452826.85714285716</v>
      </c>
      <c r="G42" s="463">
        <f>'Proyección de ventas'!G47</f>
        <v>17004.173333333336</v>
      </c>
      <c r="H42" s="472">
        <f>'Proyección de ventas'!H47</f>
        <v>1</v>
      </c>
      <c r="I42" s="462">
        <f>SUM(I39:I41)</f>
        <v>452826.85714285716</v>
      </c>
      <c r="J42" s="463">
        <f>'Proyección de ventas'!J47</f>
        <v>17004.173333333336</v>
      </c>
      <c r="K42" s="464">
        <f>'Proyección de ventas'!K47</f>
        <v>1</v>
      </c>
      <c r="L42" s="471">
        <f>SUM(L39:L41)</f>
        <v>679240.28571428568</v>
      </c>
      <c r="M42" s="463">
        <f>'Proyección de ventas'!M47</f>
        <v>25506.260000000002</v>
      </c>
      <c r="N42" s="472">
        <f>'Proyección de ventas'!N47</f>
        <v>1</v>
      </c>
      <c r="O42" s="462">
        <f>SUM(O39:O41)</f>
        <v>1132067.1428571427</v>
      </c>
      <c r="P42" s="463">
        <f>'Proyección de ventas'!P47</f>
        <v>42510.433333333327</v>
      </c>
      <c r="Q42" s="464">
        <f>'Proyección de ventas'!Q47</f>
        <v>1</v>
      </c>
      <c r="R42" s="471">
        <f>SUM(R39:R41)</f>
        <v>1584894</v>
      </c>
      <c r="S42" s="463">
        <f>'Proyección de ventas'!S47</f>
        <v>59514.606666666667</v>
      </c>
      <c r="T42" s="472">
        <f>'Proyección de ventas'!T47</f>
        <v>1</v>
      </c>
      <c r="U42" s="462">
        <f>SUM(U39:U41)</f>
        <v>1811307.4285714286</v>
      </c>
      <c r="V42" s="463">
        <f>'Proyección de ventas'!V47</f>
        <v>68016.693333333344</v>
      </c>
      <c r="W42" s="464">
        <f>'Proyección de ventas'!W47</f>
        <v>1</v>
      </c>
      <c r="X42" s="471">
        <f>SUM(X39:X41)</f>
        <v>1358480.5714285714</v>
      </c>
      <c r="Y42" s="463">
        <f>'Proyección de ventas'!Y47</f>
        <v>51012.520000000004</v>
      </c>
      <c r="Z42" s="472">
        <f>'Proyección de ventas'!Z47</f>
        <v>1</v>
      </c>
      <c r="AA42" s="471">
        <f>SUM(AA39:AA41)</f>
        <v>1132067.1428571427</v>
      </c>
      <c r="AB42" s="463">
        <f>'Proyección de ventas'!AB47</f>
        <v>42510.433333333327</v>
      </c>
      <c r="AC42" s="472">
        <f>'Proyección de ventas'!AC47</f>
        <v>1</v>
      </c>
      <c r="AD42" s="471">
        <f>SUM(AD39:AD41)</f>
        <v>1018860.4285714285</v>
      </c>
      <c r="AE42" s="463">
        <f>'Proyección de ventas'!AE47</f>
        <v>38259.39</v>
      </c>
      <c r="AF42" s="472">
        <f>'Proyección de ventas'!AF47</f>
        <v>1</v>
      </c>
      <c r="AG42" s="471">
        <f>SUM(AG39:AG41)</f>
        <v>679240.28571428568</v>
      </c>
      <c r="AH42" s="463">
        <f>'Proyección de ventas'!AH47</f>
        <v>25506.260000000002</v>
      </c>
      <c r="AI42" s="466">
        <f>'Proyección de ventas'!AI47</f>
        <v>1</v>
      </c>
      <c r="AJ42" s="462">
        <f>SUM(AJ39:AJ41)</f>
        <v>905653.71428571432</v>
      </c>
      <c r="AK42" s="463">
        <f>'Proyección de ventas'!AK47</f>
        <v>34008.346666666672</v>
      </c>
      <c r="AL42" s="466">
        <f>'Proyección de ventas'!AL47</f>
        <v>1</v>
      </c>
      <c r="AM42" s="651">
        <f>C42+F42+I42+L42+O42+R42+U42+X42+AA42+AD42+AG42+AJ42</f>
        <v>11886705</v>
      </c>
    </row>
    <row r="44" spans="1:39" x14ac:dyDescent="0.3">
      <c r="A44" s="6" t="s">
        <v>425</v>
      </c>
    </row>
    <row r="45" spans="1:39" x14ac:dyDescent="0.3">
      <c r="A45" s="4"/>
      <c r="B45" s="4"/>
      <c r="C45" s="729" t="str">
        <f>'Proyección de ventas'!C59</f>
        <v>Enero</v>
      </c>
      <c r="D45" s="730">
        <f>'Proyección de ventas'!D59</f>
        <v>0</v>
      </c>
      <c r="E45" s="730">
        <f>'Proyección de ventas'!E59</f>
        <v>0</v>
      </c>
      <c r="F45" s="731" t="str">
        <f>'Proyección de ventas'!F59</f>
        <v>Febrero</v>
      </c>
      <c r="G45" s="731">
        <f>'Proyección de ventas'!G59</f>
        <v>0</v>
      </c>
      <c r="H45" s="731">
        <f>'Proyección de ventas'!H59</f>
        <v>0</v>
      </c>
      <c r="I45" s="732" t="str">
        <f>'Proyección de ventas'!I59</f>
        <v>Marzo</v>
      </c>
      <c r="J45" s="732">
        <f>'Proyección de ventas'!J59</f>
        <v>0</v>
      </c>
      <c r="K45" s="732">
        <f>'Proyección de ventas'!K59</f>
        <v>0</v>
      </c>
      <c r="L45" s="731" t="str">
        <f>'Proyección de ventas'!L59</f>
        <v>Abril</v>
      </c>
      <c r="M45" s="731">
        <f>'Proyección de ventas'!M59</f>
        <v>0</v>
      </c>
      <c r="N45" s="731">
        <f>'Proyección de ventas'!N59</f>
        <v>0</v>
      </c>
      <c r="O45" s="732" t="str">
        <f>'Proyección de ventas'!O59</f>
        <v>Mayo</v>
      </c>
      <c r="P45" s="732">
        <f>'Proyección de ventas'!P59</f>
        <v>0</v>
      </c>
      <c r="Q45" s="732">
        <f>'Proyección de ventas'!Q59</f>
        <v>0</v>
      </c>
      <c r="R45" s="731" t="str">
        <f>'Proyección de ventas'!R59</f>
        <v>Junio</v>
      </c>
      <c r="S45" s="731">
        <f>'Proyección de ventas'!S59</f>
        <v>0</v>
      </c>
      <c r="T45" s="731">
        <f>'Proyección de ventas'!T59</f>
        <v>0</v>
      </c>
      <c r="U45" s="732" t="str">
        <f>'Proyección de ventas'!U59</f>
        <v>Julio</v>
      </c>
      <c r="V45" s="732">
        <f>'Proyección de ventas'!V59</f>
        <v>0</v>
      </c>
      <c r="W45" s="732">
        <f>'Proyección de ventas'!W59</f>
        <v>0</v>
      </c>
      <c r="X45" s="731" t="str">
        <f>'Proyección de ventas'!X59</f>
        <v>Agosto</v>
      </c>
      <c r="Y45" s="731">
        <f>'Proyección de ventas'!Y59</f>
        <v>0</v>
      </c>
      <c r="Z45" s="731">
        <f>'Proyección de ventas'!Z59</f>
        <v>0</v>
      </c>
      <c r="AA45" s="732" t="str">
        <f>'Proyección de ventas'!AA59</f>
        <v>Septiembre</v>
      </c>
      <c r="AB45" s="732">
        <f>'Proyección de ventas'!AB59</f>
        <v>0</v>
      </c>
      <c r="AC45" s="732">
        <f>'Proyección de ventas'!AC59</f>
        <v>0</v>
      </c>
      <c r="AD45" s="731" t="str">
        <f>'Proyección de ventas'!AD59</f>
        <v>Octubre</v>
      </c>
      <c r="AE45" s="731">
        <f>'Proyección de ventas'!AE59</f>
        <v>0</v>
      </c>
      <c r="AF45" s="731">
        <f>'Proyección de ventas'!AF59</f>
        <v>0</v>
      </c>
      <c r="AG45" s="732" t="str">
        <f>'Proyección de ventas'!AG59</f>
        <v>Noviembre</v>
      </c>
      <c r="AH45" s="732">
        <f>'Proyección de ventas'!AH59</f>
        <v>0</v>
      </c>
      <c r="AI45" s="732">
        <f>'Proyección de ventas'!AI59</f>
        <v>0</v>
      </c>
      <c r="AJ45" s="731" t="str">
        <f>'Proyección de ventas'!AJ59</f>
        <v>Diciembre</v>
      </c>
      <c r="AK45" s="731">
        <f>'Proyección de ventas'!AK59</f>
        <v>0</v>
      </c>
      <c r="AL45" s="733">
        <f>'Proyección de ventas'!AL59</f>
        <v>0</v>
      </c>
    </row>
    <row r="46" spans="1:39" x14ac:dyDescent="0.3">
      <c r="A46" s="492" t="str">
        <f>'Proyección de ventas'!A60</f>
        <v>Productos</v>
      </c>
      <c r="B46" s="493" t="str">
        <f>'Proyección de ventas'!B60</f>
        <v>$AR</v>
      </c>
      <c r="C46" s="495" t="str">
        <f>'Proyección de ventas'!C60</f>
        <v>Ventas</v>
      </c>
      <c r="D46" s="494" t="str">
        <f>'Proyección de ventas'!D60</f>
        <v>Descargas</v>
      </c>
      <c r="E46" s="496" t="str">
        <f>'Proyección de ventas'!E60</f>
        <v>Porcentaje</v>
      </c>
      <c r="F46" s="495" t="str">
        <f>'Proyección de ventas'!F60</f>
        <v>Ventas</v>
      </c>
      <c r="G46" s="494" t="str">
        <f>'Proyección de ventas'!G60</f>
        <v>Descargas</v>
      </c>
      <c r="H46" s="496" t="str">
        <f>'Proyección de ventas'!H60</f>
        <v>Porcentaje</v>
      </c>
      <c r="I46" s="495" t="str">
        <f>'Proyección de ventas'!I60</f>
        <v>Ventas</v>
      </c>
      <c r="J46" s="494" t="str">
        <f>'Proyección de ventas'!J60</f>
        <v>Descargas</v>
      </c>
      <c r="K46" s="496" t="str">
        <f>'Proyección de ventas'!K60</f>
        <v>Porcentaje</v>
      </c>
      <c r="L46" s="495" t="str">
        <f>'Proyección de ventas'!L60</f>
        <v>Ventas</v>
      </c>
      <c r="M46" s="494" t="str">
        <f>'Proyección de ventas'!M60</f>
        <v>Descargas</v>
      </c>
      <c r="N46" s="496" t="str">
        <f>'Proyección de ventas'!N60</f>
        <v>Porcentaje</v>
      </c>
      <c r="O46" s="495" t="str">
        <f>'Proyección de ventas'!O60</f>
        <v>Ventas</v>
      </c>
      <c r="P46" s="494" t="str">
        <f>'Proyección de ventas'!P60</f>
        <v>Descargas</v>
      </c>
      <c r="Q46" s="496" t="str">
        <f>'Proyección de ventas'!Q60</f>
        <v>Porcentaje</v>
      </c>
      <c r="R46" s="493" t="str">
        <f>'Proyección de ventas'!R60</f>
        <v>Ventas</v>
      </c>
      <c r="S46" s="494" t="str">
        <f>'Proyección de ventas'!S60</f>
        <v>Descargas</v>
      </c>
      <c r="T46" s="493" t="str">
        <f>'Proyección de ventas'!T60</f>
        <v>Porcentaje</v>
      </c>
      <c r="U46" s="495" t="str">
        <f>'Proyección de ventas'!U60</f>
        <v>Ventas</v>
      </c>
      <c r="V46" s="494" t="str">
        <f>'Proyección de ventas'!V60</f>
        <v>Descargas</v>
      </c>
      <c r="W46" s="496" t="str">
        <f>'Proyección de ventas'!W60</f>
        <v>Porcentaje</v>
      </c>
      <c r="X46" s="493" t="str">
        <f>'Proyección de ventas'!X60</f>
        <v>Ventas</v>
      </c>
      <c r="Y46" s="494" t="str">
        <f>'Proyección de ventas'!Y60</f>
        <v>Descargas</v>
      </c>
      <c r="Z46" s="493" t="str">
        <f>'Proyección de ventas'!Z60</f>
        <v>Porcentaje</v>
      </c>
      <c r="AA46" s="495" t="str">
        <f>'Proyección de ventas'!AA60</f>
        <v>Ventas</v>
      </c>
      <c r="AB46" s="494" t="str">
        <f>'Proyección de ventas'!AB60</f>
        <v>Descargas</v>
      </c>
      <c r="AC46" s="496" t="str">
        <f>'Proyección de ventas'!AC60</f>
        <v>Porcentaje</v>
      </c>
      <c r="AD46" s="493" t="str">
        <f>'Proyección de ventas'!AD60</f>
        <v>Ventas</v>
      </c>
      <c r="AE46" s="494" t="str">
        <f>'Proyección de ventas'!AE60</f>
        <v>Descargas</v>
      </c>
      <c r="AF46" s="493" t="str">
        <f>'Proyección de ventas'!AF60</f>
        <v>Porcentaje</v>
      </c>
      <c r="AG46" s="495" t="str">
        <f>'Proyección de ventas'!AG60</f>
        <v>Ventas</v>
      </c>
      <c r="AH46" s="494" t="str">
        <f>'Proyección de ventas'!AH60</f>
        <v>Descargas</v>
      </c>
      <c r="AI46" s="496" t="str">
        <f>'Proyección de ventas'!AI60</f>
        <v>Porcentaje</v>
      </c>
      <c r="AJ46" s="493" t="str">
        <f>'Proyección de ventas'!AJ60</f>
        <v>Ventas</v>
      </c>
      <c r="AK46" s="494" t="str">
        <f>'Proyección de ventas'!AK60</f>
        <v>Descargas</v>
      </c>
      <c r="AL46" s="496" t="str">
        <f>'Proyección de ventas'!AL60</f>
        <v>Porcentaje</v>
      </c>
    </row>
    <row r="47" spans="1:39" x14ac:dyDescent="0.3">
      <c r="A47" s="455" t="s">
        <v>15</v>
      </c>
      <c r="B47" s="650"/>
      <c r="C47" s="652"/>
      <c r="D47" s="499">
        <f>'Proyección de ventas'!D61</f>
        <v>9897.7960000000003</v>
      </c>
      <c r="E47" s="467"/>
      <c r="F47" s="652"/>
      <c r="G47" s="499">
        <f>'Proyección de ventas'!G61</f>
        <v>6598.5306666666675</v>
      </c>
      <c r="H47" s="467"/>
      <c r="I47" s="652"/>
      <c r="J47" s="499">
        <f>'Proyección de ventas'!J61</f>
        <v>6598.5306666666675</v>
      </c>
      <c r="K47" s="467"/>
      <c r="L47" s="652"/>
      <c r="M47" s="499">
        <f>'Proyección de ventas'!M61</f>
        <v>9897.7960000000003</v>
      </c>
      <c r="N47" s="467"/>
      <c r="O47" s="652"/>
      <c r="P47" s="499">
        <f>'Proyección de ventas'!P61</f>
        <v>16496.326666666668</v>
      </c>
      <c r="Q47" s="467"/>
      <c r="R47" s="475"/>
      <c r="S47" s="499">
        <f>'Proyección de ventas'!S61</f>
        <v>23094.857333333333</v>
      </c>
      <c r="T47" s="475"/>
      <c r="U47" s="652"/>
      <c r="V47" s="499">
        <f>'Proyección de ventas'!V61</f>
        <v>26394.12266666667</v>
      </c>
      <c r="W47" s="467"/>
      <c r="X47" s="475"/>
      <c r="Y47" s="499">
        <f>'Proyección de ventas'!Y61</f>
        <v>19795.592000000001</v>
      </c>
      <c r="Z47" s="475"/>
      <c r="AA47" s="652"/>
      <c r="AB47" s="499">
        <f>'Proyección de ventas'!AB61</f>
        <v>16496.326666666668</v>
      </c>
      <c r="AC47" s="467"/>
      <c r="AD47" s="475"/>
      <c r="AE47" s="499">
        <f>'Proyección de ventas'!AE61</f>
        <v>14846.694000000001</v>
      </c>
      <c r="AF47" s="475"/>
      <c r="AG47" s="652"/>
      <c r="AH47" s="499">
        <f>'Proyección de ventas'!AH61</f>
        <v>9897.7960000000003</v>
      </c>
      <c r="AI47" s="467"/>
      <c r="AJ47" s="475"/>
      <c r="AK47" s="499">
        <f>'Proyección de ventas'!AK61</f>
        <v>13197.061333333335</v>
      </c>
      <c r="AL47" s="467"/>
    </row>
    <row r="48" spans="1:39" x14ac:dyDescent="0.3">
      <c r="A48" s="457" t="str">
        <f>'Proyección de ventas'!A62</f>
        <v>Experiencias</v>
      </c>
      <c r="B48" s="655">
        <f>D33</f>
        <v>22</v>
      </c>
      <c r="C48" s="469">
        <f>D48*$B$48</f>
        <v>367172.43199999997</v>
      </c>
      <c r="D48" s="453">
        <f>'Proyección de ventas'!D62</f>
        <v>16689.655999999999</v>
      </c>
      <c r="E48" s="458">
        <f>'Proyección de ventas'!E62</f>
        <v>0.37884892564492806</v>
      </c>
      <c r="F48" s="469">
        <f>G48*$B$48</f>
        <v>244781.62133333337</v>
      </c>
      <c r="G48" s="453">
        <f>'Proyección de ventas'!G62</f>
        <v>11126.437333333335</v>
      </c>
      <c r="H48" s="458">
        <f>'Proyección de ventas'!H62</f>
        <v>0.37884892564492811</v>
      </c>
      <c r="I48" s="469">
        <f>J48*$B$48</f>
        <v>244781.62133333337</v>
      </c>
      <c r="J48" s="453">
        <f>'Proyección de ventas'!J62</f>
        <v>11126.437333333335</v>
      </c>
      <c r="K48" s="458">
        <f>'Proyección de ventas'!K62</f>
        <v>0.37884892564492811</v>
      </c>
      <c r="L48" s="469">
        <f>M48*$B$48</f>
        <v>367172.43199999997</v>
      </c>
      <c r="M48" s="453">
        <f>'Proyección de ventas'!M62</f>
        <v>16689.655999999999</v>
      </c>
      <c r="N48" s="458">
        <f>'Proyección de ventas'!N62</f>
        <v>0.37884892564492806</v>
      </c>
      <c r="O48" s="469">
        <f>P48*$B$48</f>
        <v>611954.05333333334</v>
      </c>
      <c r="P48" s="453">
        <f>'Proyección de ventas'!P62</f>
        <v>27816.093333333334</v>
      </c>
      <c r="Q48" s="458">
        <f>'Proyección de ventas'!Q62</f>
        <v>0.37884892564492806</v>
      </c>
      <c r="R48" s="57">
        <f>S48*$B$48</f>
        <v>856735.67466666678</v>
      </c>
      <c r="S48" s="453">
        <f>'Proyección de ventas'!S62</f>
        <v>38942.530666666673</v>
      </c>
      <c r="T48" s="454">
        <f>'Proyección de ventas'!T62</f>
        <v>0.37884892564492811</v>
      </c>
      <c r="U48" s="469">
        <f>V48*$B$48</f>
        <v>979126.48533333349</v>
      </c>
      <c r="V48" s="453">
        <f>'Proyección de ventas'!V62</f>
        <v>44505.74933333334</v>
      </c>
      <c r="W48" s="458">
        <f>'Proyección de ventas'!W62</f>
        <v>0.37884892564492811</v>
      </c>
      <c r="X48" s="57">
        <f>Y48*$B$48</f>
        <v>734344.86399999994</v>
      </c>
      <c r="Y48" s="453">
        <f>'Proyección de ventas'!Y62</f>
        <v>33379.311999999998</v>
      </c>
      <c r="Z48" s="454">
        <f>'Proyección de ventas'!Z62</f>
        <v>0.37884892564492806</v>
      </c>
      <c r="AA48" s="469">
        <f>AB48*$B$48</f>
        <v>611954.05333333334</v>
      </c>
      <c r="AB48" s="453">
        <f>'Proyección de ventas'!AB62</f>
        <v>27816.093333333334</v>
      </c>
      <c r="AC48" s="458">
        <f>'Proyección de ventas'!AC62</f>
        <v>0.37884892564492806</v>
      </c>
      <c r="AD48" s="57">
        <f>AE48*$B$48</f>
        <v>550758.64800000004</v>
      </c>
      <c r="AE48" s="453">
        <f>'Proyección de ventas'!AE62</f>
        <v>25034.484000000004</v>
      </c>
      <c r="AF48" s="454">
        <f>'Proyección de ventas'!AF62</f>
        <v>0.37884892564492806</v>
      </c>
      <c r="AG48" s="469">
        <f>AH48*$B$48</f>
        <v>367172.43199999997</v>
      </c>
      <c r="AH48" s="453">
        <f>'Proyección de ventas'!AH62</f>
        <v>16689.655999999999</v>
      </c>
      <c r="AI48" s="458">
        <f>'Proyección de ventas'!AI62</f>
        <v>0.37884892564492806</v>
      </c>
      <c r="AJ48" s="57">
        <f>AK48*$B$48</f>
        <v>489563.24266666675</v>
      </c>
      <c r="AK48" s="453">
        <f>'Proyección de ventas'!AK62</f>
        <v>22252.87466666667</v>
      </c>
      <c r="AL48" s="458">
        <f>'Proyección de ventas'!AL62</f>
        <v>0.37884892564492811</v>
      </c>
    </row>
    <row r="49" spans="1:39" x14ac:dyDescent="0.3">
      <c r="A49" s="459" t="str">
        <f>'Proyección de ventas'!A63</f>
        <v>Servicios</v>
      </c>
      <c r="B49" s="656">
        <f>D34</f>
        <v>64</v>
      </c>
      <c r="C49" s="470">
        <f>D49*$B$49</f>
        <v>583763.96800000011</v>
      </c>
      <c r="D49" s="51">
        <f>'Proyección de ventas'!D63</f>
        <v>9121.3120000000017</v>
      </c>
      <c r="E49" s="460">
        <f>'Proyección de ventas'!E63</f>
        <v>0.62115107435507189</v>
      </c>
      <c r="F49" s="470">
        <f>G49*$B$49</f>
        <v>389175.97866666678</v>
      </c>
      <c r="G49" s="51">
        <f>'Proyección de ventas'!G63</f>
        <v>6080.8746666666684</v>
      </c>
      <c r="H49" s="460">
        <f>'Proyección de ventas'!H63</f>
        <v>0.62115107435507189</v>
      </c>
      <c r="I49" s="470">
        <f>J49*$B$49</f>
        <v>389175.97866666678</v>
      </c>
      <c r="J49" s="51">
        <f>'Proyección de ventas'!J63</f>
        <v>6080.8746666666684</v>
      </c>
      <c r="K49" s="460">
        <f>'Proyección de ventas'!K63</f>
        <v>0.62115107435507189</v>
      </c>
      <c r="L49" s="470">
        <f>M49*$B$49</f>
        <v>583763.96800000011</v>
      </c>
      <c r="M49" s="51">
        <f>'Proyección de ventas'!M63</f>
        <v>9121.3120000000017</v>
      </c>
      <c r="N49" s="460">
        <f>'Proyección de ventas'!N63</f>
        <v>0.62115107435507189</v>
      </c>
      <c r="O49" s="470">
        <f>P49*$B$49</f>
        <v>972939.94666666677</v>
      </c>
      <c r="P49" s="51">
        <f>'Proyección de ventas'!P63</f>
        <v>15202.186666666668</v>
      </c>
      <c r="Q49" s="460">
        <f>'Proyección de ventas'!Q63</f>
        <v>0.62115107435507189</v>
      </c>
      <c r="R49" s="50">
        <f>S49*$B$49</f>
        <v>1362115.9253333334</v>
      </c>
      <c r="S49" s="51">
        <f>'Proyección de ventas'!S63</f>
        <v>21283.061333333335</v>
      </c>
      <c r="T49" s="52">
        <f>'Proyección de ventas'!T63</f>
        <v>0.62115107435507189</v>
      </c>
      <c r="U49" s="470">
        <f>V49*$B$49</f>
        <v>1556703.9146666671</v>
      </c>
      <c r="V49" s="51">
        <f>'Proyección de ventas'!V63</f>
        <v>24323.498666666674</v>
      </c>
      <c r="W49" s="460">
        <f>'Proyección de ventas'!W63</f>
        <v>0.62115107435507189</v>
      </c>
      <c r="X49" s="50">
        <f>Y49*$B$49</f>
        <v>1167527.9360000002</v>
      </c>
      <c r="Y49" s="51">
        <f>'Proyección de ventas'!Y63</f>
        <v>18242.624000000003</v>
      </c>
      <c r="Z49" s="52">
        <f>'Proyección de ventas'!Z63</f>
        <v>0.62115107435507189</v>
      </c>
      <c r="AA49" s="470">
        <f>AB49*$B$49</f>
        <v>972939.94666666677</v>
      </c>
      <c r="AB49" s="51">
        <f>'Proyección de ventas'!AB63</f>
        <v>15202.186666666668</v>
      </c>
      <c r="AC49" s="460">
        <f>'Proyección de ventas'!AC63</f>
        <v>0.62115107435507189</v>
      </c>
      <c r="AD49" s="50">
        <f>AE49*$B$49</f>
        <v>875645.95200000016</v>
      </c>
      <c r="AE49" s="51">
        <f>'Proyección de ventas'!AE63</f>
        <v>13681.968000000003</v>
      </c>
      <c r="AF49" s="52">
        <f>'Proyección de ventas'!AF63</f>
        <v>0.62115107435507189</v>
      </c>
      <c r="AG49" s="470">
        <f>AH49*$B$49</f>
        <v>583763.96800000011</v>
      </c>
      <c r="AH49" s="51">
        <f>'Proyección de ventas'!AH63</f>
        <v>9121.3120000000017</v>
      </c>
      <c r="AI49" s="460">
        <f>'Proyección de ventas'!AI63</f>
        <v>0.62115107435507189</v>
      </c>
      <c r="AJ49" s="50">
        <f>AK49*$B$49</f>
        <v>778351.95733333356</v>
      </c>
      <c r="AK49" s="51">
        <f>'Proyección de ventas'!AK63</f>
        <v>12161.749333333337</v>
      </c>
      <c r="AL49" s="460">
        <f>'Proyección de ventas'!AL63</f>
        <v>0.62115107435507189</v>
      </c>
    </row>
    <row r="50" spans="1:39" x14ac:dyDescent="0.3">
      <c r="A50" s="422" t="str">
        <f>'Proyección de ventas'!A64</f>
        <v>Totales</v>
      </c>
      <c r="B50" s="461"/>
      <c r="C50" s="471">
        <f>SUM(C48:C49)</f>
        <v>950936.40000000014</v>
      </c>
      <c r="D50" s="463">
        <f>'Proyección de ventas'!D64</f>
        <v>35708.763999999996</v>
      </c>
      <c r="E50" s="472">
        <f>'Proyección de ventas'!E64</f>
        <v>1</v>
      </c>
      <c r="F50" s="471">
        <f>SUM(F48:F49)</f>
        <v>633957.60000000009</v>
      </c>
      <c r="G50" s="463">
        <f>'Proyección de ventas'!G64</f>
        <v>23805.842666666671</v>
      </c>
      <c r="H50" s="472">
        <f>'Proyección de ventas'!H64</f>
        <v>1</v>
      </c>
      <c r="I50" s="471">
        <f>SUM(I48:I49)</f>
        <v>633957.60000000009</v>
      </c>
      <c r="J50" s="463">
        <f>'Proyección de ventas'!J64</f>
        <v>23805.842666666671</v>
      </c>
      <c r="K50" s="472">
        <f>'Proyección de ventas'!K64</f>
        <v>1</v>
      </c>
      <c r="L50" s="471">
        <f>SUM(L48:L49)</f>
        <v>950936.40000000014</v>
      </c>
      <c r="M50" s="463">
        <f>'Proyección de ventas'!M64</f>
        <v>35708.763999999996</v>
      </c>
      <c r="N50" s="472">
        <f>'Proyección de ventas'!N64</f>
        <v>1</v>
      </c>
      <c r="O50" s="471">
        <f>SUM(O48:O49)</f>
        <v>1584894</v>
      </c>
      <c r="P50" s="463">
        <f>'Proyección de ventas'!P64</f>
        <v>59514.606666666667</v>
      </c>
      <c r="Q50" s="472">
        <f>'Proyección de ventas'!Q64</f>
        <v>1</v>
      </c>
      <c r="R50" s="462">
        <f>SUM(R48:R49)</f>
        <v>2218851.6</v>
      </c>
      <c r="S50" s="463">
        <f>'Proyección de ventas'!S64</f>
        <v>83320.449333333338</v>
      </c>
      <c r="T50" s="464">
        <f>'Proyección de ventas'!T64</f>
        <v>1</v>
      </c>
      <c r="U50" s="471">
        <f>SUM(U48:U49)</f>
        <v>2535830.4000000004</v>
      </c>
      <c r="V50" s="463">
        <f>'Proyección de ventas'!V64</f>
        <v>95223.370666666684</v>
      </c>
      <c r="W50" s="472">
        <f>'Proyección de ventas'!W64</f>
        <v>1</v>
      </c>
      <c r="X50" s="462">
        <f>SUM(X48:X49)</f>
        <v>1901872.8000000003</v>
      </c>
      <c r="Y50" s="463">
        <f>'Proyección de ventas'!Y64</f>
        <v>71417.527999999991</v>
      </c>
      <c r="Z50" s="464">
        <f>'Proyección de ventas'!Z64</f>
        <v>1</v>
      </c>
      <c r="AA50" s="471">
        <f>SUM(AA48:AA49)</f>
        <v>1584894</v>
      </c>
      <c r="AB50" s="463">
        <f>'Proyección de ventas'!AB64</f>
        <v>59514.606666666667</v>
      </c>
      <c r="AC50" s="472">
        <f>'Proyección de ventas'!AC64</f>
        <v>1</v>
      </c>
      <c r="AD50" s="462">
        <f>SUM(AD48:AD49)</f>
        <v>1426404.6</v>
      </c>
      <c r="AE50" s="463">
        <f>'Proyección de ventas'!AE64</f>
        <v>53563.146000000008</v>
      </c>
      <c r="AF50" s="464">
        <f>'Proyección de ventas'!AF64</f>
        <v>1</v>
      </c>
      <c r="AG50" s="471">
        <f>SUM(AG48:AG49)</f>
        <v>950936.40000000014</v>
      </c>
      <c r="AH50" s="463">
        <f>'Proyección de ventas'!AH64</f>
        <v>35708.763999999996</v>
      </c>
      <c r="AI50" s="466">
        <f>'Proyección de ventas'!AI64</f>
        <v>1</v>
      </c>
      <c r="AJ50" s="462">
        <f>SUM(AJ48:AJ49)</f>
        <v>1267915.2000000002</v>
      </c>
      <c r="AK50" s="463">
        <f>'Proyección de ventas'!AK64</f>
        <v>47611.685333333342</v>
      </c>
      <c r="AL50" s="466">
        <f>'Proyección de ventas'!AL64</f>
        <v>1</v>
      </c>
      <c r="AM50" s="651">
        <f>C50+F50+I50+L50+O50+R50+U50+X50+AA50+AD50+AG50+AJ50</f>
        <v>16641387.000000004</v>
      </c>
    </row>
    <row r="52" spans="1:39" x14ac:dyDescent="0.3">
      <c r="A52" s="6" t="s">
        <v>430</v>
      </c>
    </row>
    <row r="53" spans="1:39" x14ac:dyDescent="0.3">
      <c r="A53" s="758" t="str">
        <f>'Estructura de costos variables'!A23:M23</f>
        <v>Año 2</v>
      </c>
      <c r="B53" s="759">
        <f>'Estructura de costos variables'!B23:N23</f>
        <v>0</v>
      </c>
      <c r="C53" s="759">
        <f>'Estructura de costos variables'!C23:O23</f>
        <v>0</v>
      </c>
      <c r="D53" s="759">
        <f>'Estructura de costos variables'!D23:P23</f>
        <v>0</v>
      </c>
      <c r="E53" s="759">
        <f>'Estructura de costos variables'!E23:Q23</f>
        <v>0</v>
      </c>
      <c r="F53" s="759">
        <f>'Estructura de costos variables'!F23:R23</f>
        <v>0</v>
      </c>
      <c r="G53" s="759">
        <f>'Estructura de costos variables'!G23:S23</f>
        <v>0</v>
      </c>
      <c r="H53" s="759">
        <f>'Estructura de costos variables'!H23:T23</f>
        <v>0</v>
      </c>
      <c r="I53" s="759">
        <f>'Estructura de costos variables'!I23:U23</f>
        <v>0</v>
      </c>
      <c r="J53" s="759">
        <f>'Estructura de costos variables'!J23:V23</f>
        <v>0</v>
      </c>
      <c r="K53" s="759">
        <f>'Estructura de costos variables'!K23:W23</f>
        <v>0</v>
      </c>
      <c r="L53" s="759">
        <f>'Estructura de costos variables'!L23:X23</f>
        <v>0</v>
      </c>
      <c r="M53" s="760">
        <f>'Estructura de costos variables'!M23:Y23</f>
        <v>0</v>
      </c>
    </row>
    <row r="54" spans="1:39" x14ac:dyDescent="0.3">
      <c r="A54" s="138" t="str">
        <f>'Estructura de costos variables'!A24:M24</f>
        <v>Concepto</v>
      </c>
      <c r="B54" s="139" t="str">
        <f>'Estructura de costos variables'!B24:N24</f>
        <v>Enero</v>
      </c>
      <c r="C54" s="139" t="str">
        <f>'Estructura de costos variables'!C24:O24</f>
        <v>Febrero</v>
      </c>
      <c r="D54" s="139" t="str">
        <f>'Estructura de costos variables'!D24:P24</f>
        <v>Marzo</v>
      </c>
      <c r="E54" s="139" t="str">
        <f>'Estructura de costos variables'!E24:Q24</f>
        <v>Abril</v>
      </c>
      <c r="F54" s="139" t="str">
        <f>'Estructura de costos variables'!F24:R24</f>
        <v>Mayo</v>
      </c>
      <c r="G54" s="139" t="str">
        <f>'Estructura de costos variables'!G24:S24</f>
        <v>Junio</v>
      </c>
      <c r="H54" s="139" t="str">
        <f>'Estructura de costos variables'!H24:T24</f>
        <v>Julio</v>
      </c>
      <c r="I54" s="139" t="str">
        <f>'Estructura de costos variables'!I24:U24</f>
        <v>Agosto</v>
      </c>
      <c r="J54" s="139" t="str">
        <f>'Estructura de costos variables'!J24:V24</f>
        <v>Septiembre</v>
      </c>
      <c r="K54" s="139" t="str">
        <f>'Estructura de costos variables'!K24:W24</f>
        <v>Octubre</v>
      </c>
      <c r="L54" s="139" t="str">
        <f>'Estructura de costos variables'!L24:X24</f>
        <v>Noviembre</v>
      </c>
      <c r="M54" s="140" t="str">
        <f>'Estructura de costos variables'!M24:Y24</f>
        <v>Diciembre</v>
      </c>
    </row>
    <row r="55" spans="1:39" x14ac:dyDescent="0.3">
      <c r="A55" s="150" t="str">
        <f>'Estructura de costos variables'!A25:M25</f>
        <v>Bono 3% objetivo cuatrimestral ventas</v>
      </c>
      <c r="B55" s="109">
        <f>'Estructura de costos variables'!B25:N25</f>
        <v>0</v>
      </c>
      <c r="C55" s="95">
        <f>'Estructura de costos variables'!C25:O25</f>
        <v>0</v>
      </c>
      <c r="D55" s="95">
        <f>'Estructura de costos variables'!D25:P25</f>
        <v>0</v>
      </c>
      <c r="E55" s="662">
        <f>'Estructura de costos variables'!E25:Q25*0.75</f>
        <v>47200.277142857143</v>
      </c>
      <c r="F55" s="95">
        <f>'Estructura de costos variables'!F25:R25*0.75</f>
        <v>0</v>
      </c>
      <c r="G55" s="95">
        <f>'Estructura de costos variables'!G25:S25*0.75</f>
        <v>0</v>
      </c>
      <c r="H55" s="95">
        <f>'Estructura de costos variables'!H25:T25*0.75</f>
        <v>0</v>
      </c>
      <c r="I55" s="662">
        <f>'Estructura de costos variables'!I25:U25*0.75</f>
        <v>122720.72057142857</v>
      </c>
      <c r="J55" s="95">
        <f>'Estructura de costos variables'!J25:V25*0.75</f>
        <v>0</v>
      </c>
      <c r="K55" s="95">
        <f>'Estructura de costos variables'!K25:W25*0.75</f>
        <v>0</v>
      </c>
      <c r="L55" s="95">
        <f>'Estructura de costos variables'!L25:X25*0.75</f>
        <v>0</v>
      </c>
      <c r="M55" s="663">
        <f>'Estructura de costos variables'!M25:Y25*0.75</f>
        <v>77880.457285714278</v>
      </c>
    </row>
    <row r="56" spans="1:39" x14ac:dyDescent="0.3">
      <c r="A56" s="151" t="str">
        <f>'Estructura de costos variables'!A26:M26</f>
        <v>Promo venta 10% off verano (todo)</v>
      </c>
      <c r="B56" s="110">
        <f>'Estructura de costos variables'!B26:N26</f>
        <v>0</v>
      </c>
      <c r="C56" s="83">
        <f>'Estructura de costos variables'!C26:O26</f>
        <v>0</v>
      </c>
      <c r="D56" s="83">
        <f>'Estructura de costos variables'!D26:P26</f>
        <v>0</v>
      </c>
      <c r="E56" s="659">
        <f>'Estructura de costos variables'!E26:Q26*1.1</f>
        <v>69227.073142857145</v>
      </c>
      <c r="F56" s="659">
        <f>'Estructura de costos variables'!F26:R26*1.1</f>
        <v>115378.45523809525</v>
      </c>
      <c r="G56" s="659">
        <f>'Estructura de costos variables'!G26:S26*1.1</f>
        <v>161529.83733333336</v>
      </c>
      <c r="H56" s="659">
        <f>'Estructura de costos variables'!H26:T26*1.1</f>
        <v>184605.52838095243</v>
      </c>
      <c r="I56" s="659">
        <f>'Estructura de costos variables'!I26:U26*1.1</f>
        <v>138454.14628571429</v>
      </c>
      <c r="J56" s="659">
        <f>'Estructura de costos variables'!J26:V26*1.1</f>
        <v>115378.45523809525</v>
      </c>
      <c r="K56" s="83">
        <f>'Estructura de costos variables'!K26:W26</f>
        <v>0</v>
      </c>
      <c r="L56" s="83">
        <f>'Estructura de costos variables'!L26:X26</f>
        <v>0</v>
      </c>
      <c r="M56" s="101">
        <f>'Estructura de costos variables'!M26:Y26</f>
        <v>0</v>
      </c>
    </row>
    <row r="57" spans="1:39" x14ac:dyDescent="0.3">
      <c r="A57" s="152" t="str">
        <f>'Estructura de costos variables'!A27:M27</f>
        <v>Promo venta 15% off navidad (experiencias RA)</v>
      </c>
      <c r="B57" s="79">
        <f>'Estructura de costos variables'!B27:N27</f>
        <v>0</v>
      </c>
      <c r="C57" s="81">
        <f>'Estructura de costos variables'!C27:O27</f>
        <v>0</v>
      </c>
      <c r="D57" s="81">
        <f>'Estructura de costos variables'!D27:P27</f>
        <v>0</v>
      </c>
      <c r="E57" s="81">
        <f>'Estructura de costos variables'!E27:Q27</f>
        <v>0</v>
      </c>
      <c r="F57" s="81">
        <f>'Estructura de costos variables'!F27:R27</f>
        <v>0</v>
      </c>
      <c r="G57" s="81">
        <f>'Estructura de costos variables'!G27:S27</f>
        <v>0</v>
      </c>
      <c r="H57" s="81">
        <f>'Estructura de costos variables'!H27:T27</f>
        <v>0</v>
      </c>
      <c r="I57" s="81">
        <f>'Estructura de costos variables'!I27:U27</f>
        <v>0</v>
      </c>
      <c r="J57" s="81">
        <f>'Estructura de costos variables'!J27:V27</f>
        <v>0</v>
      </c>
      <c r="K57" s="81">
        <f>'Estructura de costos variables'!K27:W27</f>
        <v>0</v>
      </c>
      <c r="L57" s="81">
        <f>'Estructura de costos variables'!L27:X27</f>
        <v>0</v>
      </c>
      <c r="M57" s="664">
        <f>'Estructura de costos variables'!M27:Y27*1.1</f>
        <v>52453.204571428578</v>
      </c>
    </row>
    <row r="58" spans="1:39" x14ac:dyDescent="0.3">
      <c r="A58" s="767" t="str">
        <f>'Estructura de costos variables'!A28:M28</f>
        <v>Total</v>
      </c>
      <c r="B58" s="768">
        <f>'Estructura de costos variables'!B28:N28</f>
        <v>0</v>
      </c>
      <c r="C58" s="768">
        <f>'Estructura de costos variables'!C28:O28</f>
        <v>0</v>
      </c>
      <c r="D58" s="768">
        <f>'Estructura de costos variables'!D28:P28</f>
        <v>0</v>
      </c>
      <c r="E58" s="768">
        <f>'Estructura de costos variables'!E28:Q28</f>
        <v>0</v>
      </c>
      <c r="F58" s="768">
        <f>'Estructura de costos variables'!F28:R28</f>
        <v>0</v>
      </c>
      <c r="G58" s="768">
        <f>'Estructura de costos variables'!G28:S28</f>
        <v>0</v>
      </c>
      <c r="H58" s="768">
        <f>'Estructura de costos variables'!H28:T28</f>
        <v>0</v>
      </c>
      <c r="I58" s="768">
        <f>'Estructura de costos variables'!I28:U28</f>
        <v>0</v>
      </c>
      <c r="J58" s="768">
        <f>'Estructura de costos variables'!J28:V28</f>
        <v>0</v>
      </c>
      <c r="K58" s="768">
        <f>'Estructura de costos variables'!K28:W28</f>
        <v>0</v>
      </c>
      <c r="L58" s="768">
        <f>'Estructura de costos variables'!L28:X28</f>
        <v>0</v>
      </c>
      <c r="M58" s="252">
        <f>SUM(B55:M57)</f>
        <v>1084828.1551904762</v>
      </c>
    </row>
    <row r="60" spans="1:39" x14ac:dyDescent="0.3">
      <c r="A60" s="6" t="s">
        <v>433</v>
      </c>
    </row>
    <row r="61" spans="1:39" x14ac:dyDescent="0.3">
      <c r="A61" s="754" t="str">
        <f>'Estructura de costos variables'!A33:M33</f>
        <v>Año 3</v>
      </c>
      <c r="B61" s="755">
        <f>'Estructura de costos variables'!B33:N33</f>
        <v>0</v>
      </c>
      <c r="C61" s="755">
        <f>'Estructura de costos variables'!C33:O33</f>
        <v>0</v>
      </c>
      <c r="D61" s="755">
        <f>'Estructura de costos variables'!D33:P33</f>
        <v>0</v>
      </c>
      <c r="E61" s="755">
        <f>'Estructura de costos variables'!E33:Q33</f>
        <v>0</v>
      </c>
      <c r="F61" s="755">
        <f>'Estructura de costos variables'!F33:R33</f>
        <v>0</v>
      </c>
      <c r="G61" s="755">
        <f>'Estructura de costos variables'!G33:S33</f>
        <v>0</v>
      </c>
      <c r="H61" s="755">
        <f>'Estructura de costos variables'!H33:T33</f>
        <v>0</v>
      </c>
      <c r="I61" s="755">
        <f>'Estructura de costos variables'!I33:U33</f>
        <v>0</v>
      </c>
      <c r="J61" s="755">
        <f>'Estructura de costos variables'!J33:V33</f>
        <v>0</v>
      </c>
      <c r="K61" s="755">
        <f>'Estructura de costos variables'!K33:W33</f>
        <v>0</v>
      </c>
      <c r="L61" s="755">
        <f>'Estructura de costos variables'!L33:X33</f>
        <v>0</v>
      </c>
      <c r="M61" s="756">
        <f>'Estructura de costos variables'!M33:Y33</f>
        <v>0</v>
      </c>
    </row>
    <row r="62" spans="1:39" x14ac:dyDescent="0.3">
      <c r="A62" s="141" t="str">
        <f>'Estructura de costos variables'!A34:M34</f>
        <v>Concepto</v>
      </c>
      <c r="B62" s="142" t="str">
        <f>'Estructura de costos variables'!B34:N34</f>
        <v>Enero</v>
      </c>
      <c r="C62" s="142" t="str">
        <f>'Estructura de costos variables'!C34:O34</f>
        <v>Febrero</v>
      </c>
      <c r="D62" s="142" t="str">
        <f>'Estructura de costos variables'!D34:P34</f>
        <v>Marzo</v>
      </c>
      <c r="E62" s="142" t="str">
        <f>'Estructura de costos variables'!E34:Q34</f>
        <v>Abril</v>
      </c>
      <c r="F62" s="142" t="str">
        <f>'Estructura de costos variables'!F34:R34</f>
        <v>Mayo</v>
      </c>
      <c r="G62" s="142" t="str">
        <f>'Estructura de costos variables'!G34:S34</f>
        <v>Junio</v>
      </c>
      <c r="H62" s="142" t="str">
        <f>'Estructura de costos variables'!H34:T34</f>
        <v>Julio</v>
      </c>
      <c r="I62" s="142" t="str">
        <f>'Estructura de costos variables'!I34:U34</f>
        <v>Agosto</v>
      </c>
      <c r="J62" s="142" t="str">
        <f>'Estructura de costos variables'!J34:V34</f>
        <v>Septiembre</v>
      </c>
      <c r="K62" s="142" t="str">
        <f>'Estructura de costos variables'!K34:W34</f>
        <v>Octubre</v>
      </c>
      <c r="L62" s="142" t="str">
        <f>'Estructura de costos variables'!L34:X34</f>
        <v>Noviembre</v>
      </c>
      <c r="M62" s="143" t="str">
        <f>'Estructura de costos variables'!M34:Y34</f>
        <v>Diciembre</v>
      </c>
    </row>
    <row r="63" spans="1:39" x14ac:dyDescent="0.3">
      <c r="A63" s="150" t="str">
        <f>'Estructura de costos variables'!A35:M35</f>
        <v>Bono 3% objetivo cuatrimestral ventas</v>
      </c>
      <c r="B63" s="109">
        <f>'Estructura de costos variables'!B35:N35</f>
        <v>0</v>
      </c>
      <c r="C63" s="95">
        <f>'Estructura de costos variables'!C35:O35</f>
        <v>0</v>
      </c>
      <c r="D63" s="95">
        <f>'Estructura de costos variables'!D35:P35</f>
        <v>0</v>
      </c>
      <c r="E63" s="662">
        <f>'Estructura de costos variables'!E35:Q35*0.75</f>
        <v>66080.388000000006</v>
      </c>
      <c r="F63" s="95">
        <f>'Estructura de costos variables'!F35:R35*0.75</f>
        <v>0</v>
      </c>
      <c r="G63" s="95">
        <f>'Estructura de costos variables'!G35:S35*0.75</f>
        <v>0</v>
      </c>
      <c r="H63" s="95">
        <f>'Estructura de costos variables'!H35:T35*0.75</f>
        <v>0</v>
      </c>
      <c r="I63" s="662">
        <f>'Estructura de costos variables'!I35:U35*0.75</f>
        <v>171809.00880000001</v>
      </c>
      <c r="J63" s="95">
        <f>'Estructura de costos variables'!J35:V35*0.75</f>
        <v>0</v>
      </c>
      <c r="K63" s="95">
        <f>'Estructura de costos variables'!K35:W35*0.75</f>
        <v>0</v>
      </c>
      <c r="L63" s="95">
        <f>'Estructura de costos variables'!L35:X35*0.75</f>
        <v>0</v>
      </c>
      <c r="M63" s="663">
        <f>'Estructura de costos variables'!M35:Y35*0.75</f>
        <v>109032.64020000002</v>
      </c>
    </row>
    <row r="64" spans="1:39" x14ac:dyDescent="0.3">
      <c r="A64" s="151" t="str">
        <f>'Estructura de costos variables'!A36:M36</f>
        <v>Promo venta 10% off verano (todo)</v>
      </c>
      <c r="B64" s="110">
        <f>'Estructura de costos variables'!B36:N36</f>
        <v>0</v>
      </c>
      <c r="C64" s="83">
        <f>'Estructura de costos variables'!C36:O36</f>
        <v>0</v>
      </c>
      <c r="D64" s="83">
        <f>'Estructura de costos variables'!D36:P36</f>
        <v>0</v>
      </c>
      <c r="E64" s="659">
        <f>'Estructura de costos variables'!E36:Q36*1.1</f>
        <v>96917.902400000021</v>
      </c>
      <c r="F64" s="659">
        <f>'Estructura de costos variables'!F36:R36*1.1</f>
        <v>161529.83733333339</v>
      </c>
      <c r="G64" s="659">
        <f>'Estructura de costos variables'!G36:S36*1.1</f>
        <v>226141.77226666673</v>
      </c>
      <c r="H64" s="659">
        <f>'Estructura de costos variables'!H36:T36*1.1</f>
        <v>258447.73973333344</v>
      </c>
      <c r="I64" s="659">
        <f>'Estructura de costos variables'!I36:U36*1.1</f>
        <v>193835.80480000004</v>
      </c>
      <c r="J64" s="659">
        <f>'Estructura de costos variables'!J36:V36*1.1</f>
        <v>161529.83733333339</v>
      </c>
      <c r="K64" s="83">
        <f>'Estructura de costos variables'!K36:W36*1.1</f>
        <v>0</v>
      </c>
      <c r="L64" s="83">
        <f>'Estructura de costos variables'!L36:X36*1.1</f>
        <v>0</v>
      </c>
      <c r="M64" s="101">
        <f>'Estructura de costos variables'!M36:Y36*1.1</f>
        <v>0</v>
      </c>
    </row>
    <row r="65" spans="1:13" x14ac:dyDescent="0.3">
      <c r="A65" s="152" t="str">
        <f>'Estructura de costos variables'!A37:M37</f>
        <v>Promo venta 15% off navidad (experiencias RA)</v>
      </c>
      <c r="B65" s="79">
        <f>'Estructura de costos variables'!B37:N37</f>
        <v>0</v>
      </c>
      <c r="C65" s="81">
        <f>'Estructura de costos variables'!C37:O37</f>
        <v>0</v>
      </c>
      <c r="D65" s="81">
        <f>'Estructura de costos variables'!D37:P37</f>
        <v>0</v>
      </c>
      <c r="E65" s="81">
        <f>'Estructura de costos variables'!E37:Q37</f>
        <v>0</v>
      </c>
      <c r="F65" s="81">
        <f>'Estructura de costos variables'!F37:R37</f>
        <v>0</v>
      </c>
      <c r="G65" s="81">
        <f>'Estructura de costos variables'!G37:S37</f>
        <v>0</v>
      </c>
      <c r="H65" s="81">
        <f>'Estructura de costos variables'!H37:T37</f>
        <v>0</v>
      </c>
      <c r="I65" s="81">
        <f>'Estructura de costos variables'!I37:U37</f>
        <v>0</v>
      </c>
      <c r="J65" s="81">
        <f>'Estructura de costos variables'!J37:V37</f>
        <v>0</v>
      </c>
      <c r="K65" s="81">
        <f>'Estructura de costos variables'!K37:W37</f>
        <v>0</v>
      </c>
      <c r="L65" s="81">
        <f>'Estructura de costos variables'!L37:X37</f>
        <v>0</v>
      </c>
      <c r="M65" s="664">
        <f>'Estructura de costos variables'!M37:Y37*1.1</f>
        <v>193835.80480000007</v>
      </c>
    </row>
    <row r="66" spans="1:13" x14ac:dyDescent="0.3">
      <c r="A66" s="763" t="str">
        <f>'Estructura de costos variables'!A38:M38</f>
        <v>Total</v>
      </c>
      <c r="B66" s="764">
        <f>'Estructura de costos variables'!B38:N38</f>
        <v>0</v>
      </c>
      <c r="C66" s="764">
        <f>'Estructura de costos variables'!C38:O38</f>
        <v>0</v>
      </c>
      <c r="D66" s="764">
        <f>'Estructura de costos variables'!D38:P38</f>
        <v>0</v>
      </c>
      <c r="E66" s="764">
        <f>'Estructura de costos variables'!E38:Q38</f>
        <v>0</v>
      </c>
      <c r="F66" s="764">
        <f>'Estructura de costos variables'!F38:R38</f>
        <v>0</v>
      </c>
      <c r="G66" s="764">
        <f>'Estructura de costos variables'!G38:S38</f>
        <v>0</v>
      </c>
      <c r="H66" s="764">
        <f>'Estructura de costos variables'!H38:T38</f>
        <v>0</v>
      </c>
      <c r="I66" s="764">
        <f>'Estructura de costos variables'!I38:U38</f>
        <v>0</v>
      </c>
      <c r="J66" s="764">
        <f>'Estructura de costos variables'!J38:V38</f>
        <v>0</v>
      </c>
      <c r="K66" s="764">
        <f>'Estructura de costos variables'!K38:W38</f>
        <v>0</v>
      </c>
      <c r="L66" s="764">
        <f>'Estructura de costos variables'!L38:X38</f>
        <v>0</v>
      </c>
      <c r="M66" s="253">
        <f>SUM(B63:M65)</f>
        <v>1639160.7356666671</v>
      </c>
    </row>
  </sheetData>
  <mergeCells count="34">
    <mergeCell ref="A66:L66"/>
    <mergeCell ref="AJ45:AL45"/>
    <mergeCell ref="H4:M7"/>
    <mergeCell ref="K23:M24"/>
    <mergeCell ref="A53:M53"/>
    <mergeCell ref="A58:L58"/>
    <mergeCell ref="A61:M61"/>
    <mergeCell ref="R45:T45"/>
    <mergeCell ref="U45:W45"/>
    <mergeCell ref="X45:Z45"/>
    <mergeCell ref="AA45:AC45"/>
    <mergeCell ref="AD45:AF45"/>
    <mergeCell ref="AG45:AI45"/>
    <mergeCell ref="B33:B34"/>
    <mergeCell ref="C45:E45"/>
    <mergeCell ref="F45:H45"/>
    <mergeCell ref="I45:K45"/>
    <mergeCell ref="L45:N45"/>
    <mergeCell ref="O45:Q45"/>
    <mergeCell ref="U37:W37"/>
    <mergeCell ref="X37:Z37"/>
    <mergeCell ref="AG37:AI37"/>
    <mergeCell ref="AJ37:AL37"/>
    <mergeCell ref="C37:E37"/>
    <mergeCell ref="F37:H37"/>
    <mergeCell ref="I37:K37"/>
    <mergeCell ref="L37:N37"/>
    <mergeCell ref="O37:Q37"/>
    <mergeCell ref="R37:T37"/>
    <mergeCell ref="A1:M1"/>
    <mergeCell ref="F2:G2"/>
    <mergeCell ref="A27:M27"/>
    <mergeCell ref="AA37:AC37"/>
    <mergeCell ref="AD37:AF37"/>
  </mergeCells>
  <hyperlinks>
    <hyperlink ref="F2" location="Índice!A1" display="Regresar al índice" xr:uid="{8E32A605-2C21-4C46-864A-6DD3004019FA}"/>
    <hyperlink ref="A2" location="'Contingencia #1'!A1" display="[Contingencia #1]" xr:uid="{72F81A4D-6A07-4CCC-BC68-8FD794418BD7}"/>
    <hyperlink ref="M2" location="'Contingencia #3'!A1" display="[Contingencia #3]" xr:uid="{86585B8F-7B39-4D62-BB2D-D68744B49433}"/>
  </hyperlinks>
  <pageMargins left="0.7" right="0.7" top="0.75" bottom="0.75" header="0.3" footer="0.3"/>
  <pageSetup paperSize="9" orientation="portrait" horizontalDpi="0"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D923F-A089-4771-9158-038D54E2167A}">
  <dimension ref="A1:M46"/>
  <sheetViews>
    <sheetView showGridLines="0" topLeftCell="B1" zoomScaleNormal="100" workbookViewId="0">
      <pane ySplit="2" topLeftCell="A3" activePane="bottomLeft" state="frozen"/>
      <selection pane="bottomLeft" sqref="A1:M1"/>
    </sheetView>
  </sheetViews>
  <sheetFormatPr baseColWidth="10" defaultRowHeight="14.4" x14ac:dyDescent="0.3"/>
  <cols>
    <col min="1" max="1" width="40.5546875" customWidth="1"/>
    <col min="2" max="2" width="18.6640625" customWidth="1"/>
    <col min="3" max="3" width="13.77734375" bestFit="1" customWidth="1"/>
    <col min="4" max="4" width="14.77734375" customWidth="1"/>
    <col min="5" max="5" width="15.33203125" customWidth="1"/>
    <col min="6" max="6" width="14.77734375" customWidth="1"/>
    <col min="7" max="7" width="12.21875" customWidth="1"/>
    <col min="8" max="8" width="26.88671875" bestFit="1" customWidth="1"/>
    <col min="9" max="9" width="12.109375" bestFit="1" customWidth="1"/>
    <col min="10" max="10" width="14.6640625" customWidth="1"/>
    <col min="11" max="11" width="14.88671875" customWidth="1"/>
    <col min="12" max="12" width="15.6640625" customWidth="1"/>
    <col min="13" max="13" width="15.77734375" customWidth="1"/>
    <col min="14" max="14" width="17.77734375" customWidth="1"/>
  </cols>
  <sheetData>
    <row r="1" spans="1:13" ht="21" x14ac:dyDescent="0.4">
      <c r="A1" s="686" t="s">
        <v>438</v>
      </c>
      <c r="B1" s="686"/>
      <c r="C1" s="686"/>
      <c r="D1" s="686"/>
      <c r="E1" s="686"/>
      <c r="F1" s="686"/>
      <c r="G1" s="686"/>
      <c r="H1" s="686"/>
      <c r="I1" s="686"/>
      <c r="J1" s="686"/>
      <c r="K1" s="686"/>
      <c r="L1" s="686"/>
      <c r="M1" s="686"/>
    </row>
    <row r="2" spans="1:13" ht="19.8" customHeight="1" x14ac:dyDescent="0.65">
      <c r="A2" s="502" t="s">
        <v>420</v>
      </c>
      <c r="C2" s="12"/>
      <c r="D2" s="12"/>
      <c r="E2" s="12"/>
      <c r="F2" s="740" t="s">
        <v>35</v>
      </c>
      <c r="G2" s="740"/>
      <c r="M2" s="502"/>
    </row>
    <row r="4" spans="1:13" x14ac:dyDescent="0.3">
      <c r="A4" s="591" t="s">
        <v>369</v>
      </c>
      <c r="B4" s="592" t="str">
        <f>'Matriz de riesgos'!A14</f>
        <v>Personal no se ajusta al cumplimiento del presupuesto.</v>
      </c>
      <c r="C4" s="592"/>
      <c r="D4" s="592"/>
      <c r="E4" s="592"/>
      <c r="F4" s="593"/>
      <c r="H4" s="860" t="s">
        <v>414</v>
      </c>
      <c r="I4" s="861"/>
      <c r="J4" s="861"/>
      <c r="K4" s="861"/>
      <c r="L4" s="861"/>
      <c r="M4" s="862"/>
    </row>
    <row r="5" spans="1:13" x14ac:dyDescent="0.3">
      <c r="A5" s="674" t="s">
        <v>342</v>
      </c>
      <c r="B5" s="718" t="str">
        <f>'Matriz de riesgos'!D14</f>
        <v>No se involucra adecuadamente a las personas en las estrategias, generando reticencia en el cumplimiento del 1er año.</v>
      </c>
      <c r="C5" s="718" t="e">
        <f>'Escenario #1'!#REF!</f>
        <v>#REF!</v>
      </c>
      <c r="D5" s="718" t="e">
        <f>'Escenario #1'!#REF!</f>
        <v>#REF!</v>
      </c>
      <c r="E5" s="718" t="e">
        <f>'Escenario #1'!#REF!</f>
        <v>#REF!</v>
      </c>
      <c r="F5" s="851" t="e">
        <f>'Escenario #1'!#REF!</f>
        <v>#REF!</v>
      </c>
      <c r="H5" s="863"/>
      <c r="I5" s="864"/>
      <c r="J5" s="864"/>
      <c r="K5" s="864"/>
      <c r="L5" s="864"/>
      <c r="M5" s="865"/>
    </row>
    <row r="6" spans="1:13" x14ac:dyDescent="0.3">
      <c r="A6" s="596" t="s">
        <v>343</v>
      </c>
      <c r="B6" s="60" t="str">
        <f>'Matriz de riesgos'!G14</f>
        <v>Todos costos fijos se exceden en un 6% y se llega sólo al 90% del objetivo de ventas.</v>
      </c>
      <c r="C6" s="60"/>
      <c r="D6" s="60"/>
      <c r="E6" s="60"/>
      <c r="F6" s="597"/>
      <c r="H6" s="863"/>
      <c r="I6" s="864"/>
      <c r="J6" s="864"/>
      <c r="K6" s="864"/>
      <c r="L6" s="864"/>
      <c r="M6" s="865"/>
    </row>
    <row r="7" spans="1:13" x14ac:dyDescent="0.3">
      <c r="A7" s="598" t="s">
        <v>364</v>
      </c>
      <c r="B7" s="599">
        <f>'Matriz de riesgos'!J14</f>
        <v>0.5625</v>
      </c>
      <c r="C7" s="600"/>
      <c r="D7" s="600"/>
      <c r="E7" s="600"/>
      <c r="F7" s="601"/>
      <c r="H7" s="866"/>
      <c r="I7" s="867"/>
      <c r="J7" s="867"/>
      <c r="K7" s="867"/>
      <c r="L7" s="867"/>
      <c r="M7" s="868"/>
    </row>
    <row r="9" spans="1:13" x14ac:dyDescent="0.3">
      <c r="A9" s="539" t="str">
        <f>'Escenario #3'!A8</f>
        <v>Concepto</v>
      </c>
      <c r="B9" s="678"/>
      <c r="C9" s="678" t="str">
        <f>'Escenario #3'!C8</f>
        <v>Año 0</v>
      </c>
      <c r="D9" s="678" t="str">
        <f>'Escenario #3'!D8</f>
        <v>Año 1</v>
      </c>
      <c r="E9" s="678" t="str">
        <f>'Escenario #3'!E8</f>
        <v>Año 2</v>
      </c>
      <c r="F9" s="679" t="str">
        <f>'Escenario #3'!F8</f>
        <v>Año 3</v>
      </c>
      <c r="H9" s="539" t="str">
        <f>A9</f>
        <v>Concepto</v>
      </c>
      <c r="I9" s="678"/>
      <c r="J9" s="678" t="str">
        <f t="shared" ref="I9:M9" si="0">C9</f>
        <v>Año 0</v>
      </c>
      <c r="K9" s="678" t="str">
        <f t="shared" si="0"/>
        <v>Año 1</v>
      </c>
      <c r="L9" s="678" t="str">
        <f t="shared" si="0"/>
        <v>Año 2</v>
      </c>
      <c r="M9" s="679" t="str">
        <f t="shared" si="0"/>
        <v>Año 3</v>
      </c>
    </row>
    <row r="10" spans="1:13" x14ac:dyDescent="0.3">
      <c r="A10" s="459" t="str">
        <f>'Escenario #3'!A9</f>
        <v>Ingresos</v>
      </c>
      <c r="B10" s="44"/>
      <c r="C10" s="540"/>
      <c r="D10" s="649">
        <f>'Escenario #3'!D9</f>
        <v>5947234.9199999999</v>
      </c>
      <c r="E10" s="540">
        <f>'Escenario #3'!E9</f>
        <v>11013398</v>
      </c>
      <c r="F10" s="541">
        <f>'Escenario #3'!F9</f>
        <v>15418757.200000003</v>
      </c>
      <c r="H10" s="459" t="str">
        <f t="shared" ref="H10:I20" si="1">A10</f>
        <v>Ingresos</v>
      </c>
      <c r="I10" s="44"/>
      <c r="J10" s="540"/>
      <c r="K10" s="649">
        <f>D10</f>
        <v>5947234.9199999999</v>
      </c>
      <c r="L10" s="540">
        <f>E10</f>
        <v>11013398</v>
      </c>
      <c r="M10" s="541">
        <f>F10</f>
        <v>15418757.200000003</v>
      </c>
    </row>
    <row r="11" spans="1:13" x14ac:dyDescent="0.3">
      <c r="A11" s="548" t="str">
        <f>'Escenario #3'!A10</f>
        <v>Egresos</v>
      </c>
      <c r="B11" s="549" t="str">
        <f>'Escenario #3'!B10</f>
        <v>Fijo</v>
      </c>
      <c r="C11" s="550"/>
      <c r="D11" s="675">
        <f>'Escenario #3'!D10</f>
        <v>1498055.6</v>
      </c>
      <c r="E11" s="550">
        <f>'Escenario #3'!E10</f>
        <v>1532135</v>
      </c>
      <c r="F11" s="551">
        <f>'Escenario #3'!F10</f>
        <v>1707410</v>
      </c>
      <c r="H11" s="548" t="str">
        <f t="shared" ref="H11:H20" si="2">A11</f>
        <v>Egresos</v>
      </c>
      <c r="I11" s="549"/>
      <c r="J11" s="550"/>
      <c r="K11" s="675">
        <f>D11</f>
        <v>1498055.6</v>
      </c>
      <c r="L11" s="550">
        <f>E11</f>
        <v>1532135</v>
      </c>
      <c r="M11" s="551">
        <f>F11</f>
        <v>1707410</v>
      </c>
    </row>
    <row r="12" spans="1:13" x14ac:dyDescent="0.3">
      <c r="A12" s="457"/>
      <c r="B12" s="542" t="str">
        <f>'Escenario #3'!B11</f>
        <v>Variable</v>
      </c>
      <c r="C12" s="543"/>
      <c r="D12" s="543">
        <f>'Escenario #3'!D11</f>
        <v>642214.44171428576</v>
      </c>
      <c r="E12" s="543">
        <f>'Escenario #3'!E11</f>
        <v>1091335.3038095238</v>
      </c>
      <c r="F12" s="544">
        <f>'Escenario #3'!F11</f>
        <v>1637325.1693333336</v>
      </c>
      <c r="H12" s="457"/>
      <c r="I12" s="542" t="str">
        <f t="shared" ref="I11:I20" si="3">B12</f>
        <v>Variable</v>
      </c>
      <c r="J12" s="543"/>
      <c r="K12" s="659">
        <f>M38</f>
        <v>399575.9499428572</v>
      </c>
      <c r="L12" s="659">
        <f>M46</f>
        <v>864773.97352380946</v>
      </c>
      <c r="M12" s="544">
        <f t="shared" ref="M12:M13" si="4">F12</f>
        <v>1637325.1693333336</v>
      </c>
    </row>
    <row r="13" spans="1:13" x14ac:dyDescent="0.3">
      <c r="A13" s="457"/>
      <c r="B13" s="542" t="str">
        <f>'Escenario #3'!B12</f>
        <v>RRHH</v>
      </c>
      <c r="C13" s="543"/>
      <c r="D13" s="543">
        <f>'Escenario #3'!D12</f>
        <v>4258021.7550000008</v>
      </c>
      <c r="E13" s="543">
        <f>'Escenario #3'!E12</f>
        <v>6227009.5724999998</v>
      </c>
      <c r="F13" s="544">
        <f>'Escenario #3'!F12</f>
        <v>8166120.9708333323</v>
      </c>
      <c r="H13" s="457"/>
      <c r="I13" s="542" t="str">
        <f t="shared" si="3"/>
        <v>RRHH</v>
      </c>
      <c r="J13" s="543"/>
      <c r="K13" s="543">
        <f>D13</f>
        <v>4258021.7550000008</v>
      </c>
      <c r="L13" s="543">
        <f>E13</f>
        <v>6227009.5724999998</v>
      </c>
      <c r="M13" s="544">
        <f t="shared" si="4"/>
        <v>8166120.9708333323</v>
      </c>
    </row>
    <row r="14" spans="1:13" x14ac:dyDescent="0.3">
      <c r="A14" s="547"/>
      <c r="B14" s="346"/>
      <c r="C14" s="553"/>
      <c r="D14" s="553">
        <f>'Escenario #3'!D13</f>
        <v>6398291.7967142873</v>
      </c>
      <c r="E14" s="553">
        <f>'Escenario #3'!E13</f>
        <v>8850479.8763095234</v>
      </c>
      <c r="F14" s="554">
        <f>'Escenario #3'!F13</f>
        <v>11510856.140166666</v>
      </c>
      <c r="H14" s="547"/>
      <c r="I14" s="346"/>
      <c r="J14" s="553"/>
      <c r="K14" s="553">
        <f>SUM(K11:K13)</f>
        <v>6155653.3049428584</v>
      </c>
      <c r="L14" s="553">
        <f t="shared" ref="L14:M14" si="5">SUM(L11:L13)</f>
        <v>8623918.5460238084</v>
      </c>
      <c r="M14" s="554">
        <f t="shared" si="5"/>
        <v>11510856.140166666</v>
      </c>
    </row>
    <row r="15" spans="1:13" x14ac:dyDescent="0.3">
      <c r="A15" s="459" t="str">
        <f>'Escenario #3'!A14</f>
        <v>Utilidad Antes de Impuestos</v>
      </c>
      <c r="B15" s="44"/>
      <c r="C15" s="540"/>
      <c r="D15" s="545">
        <f>'Escenario #3'!D14</f>
        <v>-451056.87671428733</v>
      </c>
      <c r="E15" s="545">
        <f>'Escenario #3'!E14</f>
        <v>2162918.1236904766</v>
      </c>
      <c r="F15" s="546">
        <f>'Escenario #3'!F14</f>
        <v>3907901.0598333366</v>
      </c>
      <c r="H15" s="459" t="str">
        <f t="shared" si="2"/>
        <v>Utilidad Antes de Impuestos</v>
      </c>
      <c r="I15" s="44"/>
      <c r="J15" s="540"/>
      <c r="K15" s="545">
        <f>K10-K14</f>
        <v>-208418.38494285848</v>
      </c>
      <c r="L15" s="545">
        <f t="shared" ref="L15:M15" si="6">L10-L14</f>
        <v>2389479.4539761916</v>
      </c>
      <c r="M15" s="546">
        <f t="shared" si="6"/>
        <v>3907901.0598333366</v>
      </c>
    </row>
    <row r="16" spans="1:13" x14ac:dyDescent="0.3">
      <c r="A16" s="555" t="str">
        <f>'Escenario #3'!A15</f>
        <v>Impuestos a los Ingresos brutos</v>
      </c>
      <c r="B16" s="556"/>
      <c r="C16" s="558"/>
      <c r="D16" s="558"/>
      <c r="E16" s="558">
        <f>'Escenario #3'!E15</f>
        <v>330401.94</v>
      </c>
      <c r="F16" s="559">
        <f>'Escenario #3'!F15</f>
        <v>462562.71600000007</v>
      </c>
      <c r="H16" s="555" t="str">
        <f t="shared" si="2"/>
        <v>Impuestos a los Ingresos brutos</v>
      </c>
      <c r="I16" s="556"/>
      <c r="J16" s="558"/>
      <c r="K16" s="558"/>
      <c r="L16" s="558">
        <f>E16</f>
        <v>330401.94</v>
      </c>
      <c r="M16" s="559">
        <f>F16</f>
        <v>462562.71600000007</v>
      </c>
    </row>
    <row r="17" spans="1:13" x14ac:dyDescent="0.3">
      <c r="A17" s="459" t="str">
        <f>'Escenario #3'!A16</f>
        <v>Impuestos a las ganancias</v>
      </c>
      <c r="B17" s="44"/>
      <c r="C17" s="540"/>
      <c r="D17" s="47"/>
      <c r="E17" s="540"/>
      <c r="F17" s="541">
        <f>'Escenario #3'!F16</f>
        <v>314009.07714583341</v>
      </c>
      <c r="H17" s="459" t="str">
        <f t="shared" si="2"/>
        <v>Impuestos a las ganancias</v>
      </c>
      <c r="I17" s="44"/>
      <c r="J17" s="540"/>
      <c r="K17" s="47"/>
      <c r="L17" s="540"/>
      <c r="M17" s="541">
        <f>F17</f>
        <v>314009.07714583341</v>
      </c>
    </row>
    <row r="18" spans="1:13" x14ac:dyDescent="0.3">
      <c r="A18" s="555" t="str">
        <f>'Escenario #3'!A17</f>
        <v>Utilidad después de impuestos</v>
      </c>
      <c r="B18" s="556"/>
      <c r="C18" s="558"/>
      <c r="D18" s="560">
        <f>'Escenario #3'!D17</f>
        <v>-451056.87671428733</v>
      </c>
      <c r="E18" s="560">
        <f>'Escenario #3'!E17</f>
        <v>1832516.1836904767</v>
      </c>
      <c r="F18" s="561">
        <f>'Escenario #3'!F17</f>
        <v>3131329.2666875031</v>
      </c>
      <c r="H18" s="555" t="str">
        <f t="shared" si="2"/>
        <v>Utilidad después de impuestos</v>
      </c>
      <c r="I18" s="556"/>
      <c r="J18" s="558"/>
      <c r="K18" s="560">
        <f>K15-K16-K17</f>
        <v>-208418.38494285848</v>
      </c>
      <c r="L18" s="560">
        <f>L15-L16-L17</f>
        <v>2059077.5139761916</v>
      </c>
      <c r="M18" s="561">
        <f>M15-M16-M17</f>
        <v>3131329.2666875031</v>
      </c>
    </row>
    <row r="19" spans="1:13" x14ac:dyDescent="0.3">
      <c r="A19" s="459" t="str">
        <f>'Escenario #3'!A18</f>
        <v>Inversión</v>
      </c>
      <c r="B19" s="44"/>
      <c r="C19" s="205">
        <f>'Escenario #3'!C18</f>
        <v>1285744</v>
      </c>
      <c r="D19" s="205">
        <f>'Escenario #3'!D18</f>
        <v>72198</v>
      </c>
      <c r="E19" s="205">
        <f>'Escenario #3'!E18</f>
        <v>171827</v>
      </c>
      <c r="F19" s="563">
        <f>'Escenario #3'!F18</f>
        <v>157108</v>
      </c>
      <c r="H19" s="459" t="str">
        <f t="shared" si="2"/>
        <v>Inversión</v>
      </c>
      <c r="I19" s="44"/>
      <c r="J19" s="205">
        <f>C19</f>
        <v>1285744</v>
      </c>
      <c r="K19" s="205">
        <f>D19</f>
        <v>72198</v>
      </c>
      <c r="L19" s="205">
        <f t="shared" ref="L19:M19" si="7">E19</f>
        <v>171827</v>
      </c>
      <c r="M19" s="563">
        <f t="shared" si="7"/>
        <v>157108</v>
      </c>
    </row>
    <row r="20" spans="1:13" x14ac:dyDescent="0.3">
      <c r="A20" s="555" t="str">
        <f>'Escenario #3'!A19</f>
        <v>Flujo de fondos</v>
      </c>
      <c r="B20" s="556"/>
      <c r="C20" s="560">
        <f>'Escenario #3'!C19</f>
        <v>-1285744</v>
      </c>
      <c r="D20" s="560">
        <f>'Escenario #3'!D19</f>
        <v>-523254.87671428733</v>
      </c>
      <c r="E20" s="560">
        <f>'Escenario #3'!E19</f>
        <v>1660689.1836904767</v>
      </c>
      <c r="F20" s="561">
        <f>'Escenario #3'!F19</f>
        <v>2974221.2666875031</v>
      </c>
      <c r="H20" s="555" t="str">
        <f t="shared" si="2"/>
        <v>Flujo de fondos</v>
      </c>
      <c r="I20" s="556"/>
      <c r="J20" s="560">
        <f>C20</f>
        <v>-1285744</v>
      </c>
      <c r="K20" s="560">
        <f>K18-K19</f>
        <v>-280616.38494285848</v>
      </c>
      <c r="L20" s="560">
        <f t="shared" ref="L20:M20" si="8">L18-L19</f>
        <v>1887250.5139761916</v>
      </c>
      <c r="M20" s="561">
        <f t="shared" si="8"/>
        <v>2974221.2666875031</v>
      </c>
    </row>
    <row r="22" spans="1:13" x14ac:dyDescent="0.3">
      <c r="A22" s="435" t="str">
        <f>'Escenario #3'!H8</f>
        <v>Tasa de corte</v>
      </c>
      <c r="B22" s="564">
        <f>'Escenario #3'!I8</f>
        <v>0.6</v>
      </c>
      <c r="H22" s="435" t="str">
        <f>A22</f>
        <v>Tasa de corte</v>
      </c>
      <c r="I22" s="564">
        <f>B22</f>
        <v>0.6</v>
      </c>
      <c r="K22" s="648" t="s">
        <v>416</v>
      </c>
      <c r="L22" s="646"/>
      <c r="M22" s="647"/>
    </row>
    <row r="23" spans="1:13" x14ac:dyDescent="0.3">
      <c r="A23" s="441" t="str">
        <f>'Escenario #3'!H9</f>
        <v>Valor Actual Neto</v>
      </c>
      <c r="B23" s="565">
        <f>'Escenario #3'!I9</f>
        <v>-237943.3466299586</v>
      </c>
      <c r="H23" s="441" t="str">
        <f t="shared" ref="H23:H24" si="9">A23</f>
        <v>Valor Actual Neto</v>
      </c>
      <c r="I23" s="565">
        <f>NPV(I22,K20:M20)-J19</f>
        <v>2206.2303700416815</v>
      </c>
      <c r="K23" s="852" t="s">
        <v>427</v>
      </c>
      <c r="L23" s="853"/>
      <c r="M23" s="854"/>
    </row>
    <row r="24" spans="1:13" x14ac:dyDescent="0.3">
      <c r="A24" s="443" t="str">
        <f>'Escenario #3'!H10</f>
        <v>Tasa Interna de Retorno</v>
      </c>
      <c r="B24" s="566">
        <f>'Escenario #3'!I10</f>
        <v>0.49398188525238851</v>
      </c>
      <c r="H24" s="443" t="str">
        <f t="shared" si="9"/>
        <v>Tasa Interna de Retorno</v>
      </c>
      <c r="I24" s="566">
        <f>IRR(J20:M20)</f>
        <v>0.60101629874368512</v>
      </c>
      <c r="K24" s="855"/>
      <c r="L24" s="856"/>
      <c r="M24" s="857"/>
    </row>
    <row r="27" spans="1:13" x14ac:dyDescent="0.3">
      <c r="A27" s="869" t="s">
        <v>415</v>
      </c>
      <c r="B27" s="869"/>
      <c r="C27" s="869"/>
      <c r="D27" s="869"/>
      <c r="E27" s="869"/>
      <c r="F27" s="869"/>
      <c r="G27" s="869"/>
      <c r="H27" s="869"/>
      <c r="I27" s="869"/>
      <c r="J27" s="869"/>
      <c r="K27" s="869"/>
      <c r="L27" s="869"/>
      <c r="M27" s="869"/>
    </row>
    <row r="28" spans="1:13" x14ac:dyDescent="0.3">
      <c r="A28" t="s">
        <v>440</v>
      </c>
    </row>
    <row r="29" spans="1:13" x14ac:dyDescent="0.3">
      <c r="A29" t="s">
        <v>441</v>
      </c>
    </row>
    <row r="30" spans="1:13" x14ac:dyDescent="0.3">
      <c r="A30" t="s">
        <v>442</v>
      </c>
    </row>
    <row r="32" spans="1:13" x14ac:dyDescent="0.3">
      <c r="A32" s="6" t="s">
        <v>439</v>
      </c>
    </row>
    <row r="33" spans="1:13" x14ac:dyDescent="0.3">
      <c r="A33" s="746" t="str">
        <f>'Estructura de costos variables'!A13:M13</f>
        <v>Año 1</v>
      </c>
      <c r="B33" s="747">
        <f>'Estructura de costos variables'!B13:N13</f>
        <v>0</v>
      </c>
      <c r="C33" s="747">
        <f>'Estructura de costos variables'!C13:O13</f>
        <v>0</v>
      </c>
      <c r="D33" s="747">
        <f>'Estructura de costos variables'!D13:P13</f>
        <v>0</v>
      </c>
      <c r="E33" s="747">
        <f>'Estructura de costos variables'!E13:Q13</f>
        <v>0</v>
      </c>
      <c r="F33" s="747">
        <f>'Estructura de costos variables'!F13:R13</f>
        <v>0</v>
      </c>
      <c r="G33" s="747">
        <f>'Estructura de costos variables'!G13:S13</f>
        <v>0</v>
      </c>
      <c r="H33" s="747">
        <f>'Estructura de costos variables'!H13:T13</f>
        <v>0</v>
      </c>
      <c r="I33" s="747">
        <f>'Estructura de costos variables'!I13:U13</f>
        <v>0</v>
      </c>
      <c r="J33" s="747">
        <f>'Estructura de costos variables'!J13:V13</f>
        <v>0</v>
      </c>
      <c r="K33" s="747">
        <f>'Estructura de costos variables'!K13:W13</f>
        <v>0</v>
      </c>
      <c r="L33" s="747">
        <f>'Estructura de costos variables'!L13:X13</f>
        <v>0</v>
      </c>
      <c r="M33" s="748">
        <f>'Estructura de costos variables'!M13:Y13</f>
        <v>0</v>
      </c>
    </row>
    <row r="34" spans="1:13" x14ac:dyDescent="0.3">
      <c r="A34" s="135" t="str">
        <f>'Estructura de costos variables'!A14:M14</f>
        <v>Concepto</v>
      </c>
      <c r="B34" s="136" t="str">
        <f>'Estructura de costos variables'!B14:N14</f>
        <v>Enero</v>
      </c>
      <c r="C34" s="136" t="str">
        <f>'Estructura de costos variables'!C14:O14</f>
        <v>Febrero</v>
      </c>
      <c r="D34" s="136" t="str">
        <f>'Estructura de costos variables'!D14:P14</f>
        <v>Marzo</v>
      </c>
      <c r="E34" s="136" t="str">
        <f>'Estructura de costos variables'!E14:Q14</f>
        <v>Abril</v>
      </c>
      <c r="F34" s="136" t="str">
        <f>'Estructura de costos variables'!F14:R14</f>
        <v>Mayo</v>
      </c>
      <c r="G34" s="136" t="str">
        <f>'Estructura de costos variables'!G14:S14</f>
        <v>Junio</v>
      </c>
      <c r="H34" s="136" t="str">
        <f>'Estructura de costos variables'!H14:T14</f>
        <v>Julio</v>
      </c>
      <c r="I34" s="136" t="str">
        <f>'Estructura de costos variables'!I14:U14</f>
        <v>Agosto</v>
      </c>
      <c r="J34" s="136" t="str">
        <f>'Estructura de costos variables'!J14:V14</f>
        <v>Septiembre</v>
      </c>
      <c r="K34" s="136" t="str">
        <f>'Estructura de costos variables'!K14:W14</f>
        <v>Octubre</v>
      </c>
      <c r="L34" s="136" t="str">
        <f>'Estructura de costos variables'!L14:X14</f>
        <v>Noviembre</v>
      </c>
      <c r="M34" s="137" t="str">
        <f>'Estructura de costos variables'!M14:Y14</f>
        <v>Diciembre</v>
      </c>
    </row>
    <row r="35" spans="1:13" x14ac:dyDescent="0.3">
      <c r="A35" s="150" t="str">
        <f>'Estructura de costos variables'!A15:M15</f>
        <v>Bono 3% objetivo cuatrimestral ventas</v>
      </c>
      <c r="B35" s="109">
        <f>'Estructura de costos variables'!B15:N15</f>
        <v>0</v>
      </c>
      <c r="C35" s="164">
        <f>'Estructura de costos variables'!C15:O15</f>
        <v>0</v>
      </c>
      <c r="D35" s="164">
        <f>'Estructura de costos variables'!D15:P15</f>
        <v>0</v>
      </c>
      <c r="E35" s="665">
        <v>0</v>
      </c>
      <c r="F35" s="164">
        <v>0</v>
      </c>
      <c r="G35" s="164">
        <v>0</v>
      </c>
      <c r="H35" s="164">
        <v>0</v>
      </c>
      <c r="I35" s="665">
        <v>0</v>
      </c>
      <c r="J35" s="164">
        <v>0</v>
      </c>
      <c r="K35" s="164">
        <v>0</v>
      </c>
      <c r="L35" s="164">
        <v>0</v>
      </c>
      <c r="M35" s="665">
        <v>0</v>
      </c>
    </row>
    <row r="36" spans="1:13" x14ac:dyDescent="0.3">
      <c r="A36" s="151" t="str">
        <f>'Estructura de costos variables'!A16:M16</f>
        <v>Promo venta 10% off verano (todo)</v>
      </c>
      <c r="B36" s="110">
        <f>'Estructura de costos variables'!B16:N16</f>
        <v>0</v>
      </c>
      <c r="C36" s="166">
        <f>'Estructura de costos variables'!C16:O16</f>
        <v>0</v>
      </c>
      <c r="D36" s="166">
        <f>'Estructura de costos variables'!D16:P16</f>
        <v>0</v>
      </c>
      <c r="E36" s="666">
        <f>'Estructura de costos variables'!E16:Q16*0.9</f>
        <v>22656.133028571436</v>
      </c>
      <c r="F36" s="666">
        <f>'Estructura de costos variables'!F16:R16*0.9</f>
        <v>56640.332571428567</v>
      </c>
      <c r="G36" s="666">
        <f>'Estructura de costos variables'!G16:S16*0.9</f>
        <v>79296.46560000001</v>
      </c>
      <c r="H36" s="666">
        <f>'Estructura de costos variables'!H16:T16*0.9</f>
        <v>90624.532114285743</v>
      </c>
      <c r="I36" s="666">
        <f>'Estructura de costos variables'!I16:U16*0.9</f>
        <v>67968.399085714293</v>
      </c>
      <c r="J36" s="666">
        <f>'Estructura de costos variables'!J16:V16*0.9</f>
        <v>56640.332571428567</v>
      </c>
      <c r="K36" s="166">
        <f>'Estructura de costos variables'!K16:W16</f>
        <v>0</v>
      </c>
      <c r="L36" s="166">
        <f>'Estructura de costos variables'!L16:X16</f>
        <v>0</v>
      </c>
      <c r="M36" s="167">
        <f>'Estructura de costos variables'!M16:Y16</f>
        <v>0</v>
      </c>
    </row>
    <row r="37" spans="1:13" x14ac:dyDescent="0.3">
      <c r="A37" s="152" t="str">
        <f>'Estructura de costos variables'!A17:M17</f>
        <v>Promo venta 15% off navidad (experiencias RA)</v>
      </c>
      <c r="B37" s="79">
        <f>'Estructura de costos variables'!B17:N17</f>
        <v>0</v>
      </c>
      <c r="C37" s="168">
        <f>'Estructura de costos variables'!C17:O17</f>
        <v>0</v>
      </c>
      <c r="D37" s="168">
        <f>'Estructura de costos variables'!D17:P17</f>
        <v>0</v>
      </c>
      <c r="E37" s="168">
        <f>'Estructura de costos variables'!E17:Q17</f>
        <v>0</v>
      </c>
      <c r="F37" s="168">
        <f>'Estructura de costos variables'!F17:R17</f>
        <v>0</v>
      </c>
      <c r="G37" s="168">
        <f>'Estructura de costos variables'!G17:S17</f>
        <v>0</v>
      </c>
      <c r="H37" s="168">
        <f>'Estructura de costos variables'!H17:T17</f>
        <v>0</v>
      </c>
      <c r="I37" s="168">
        <f>'Estructura de costos variables'!I17:U17</f>
        <v>0</v>
      </c>
      <c r="J37" s="168">
        <f>'Estructura de costos variables'!J17:V17</f>
        <v>0</v>
      </c>
      <c r="K37" s="168">
        <f>'Estructura de costos variables'!K17:W17</f>
        <v>0</v>
      </c>
      <c r="L37" s="168">
        <f>'Estructura de costos variables'!L17:X17</f>
        <v>0</v>
      </c>
      <c r="M37" s="667">
        <f>'Estructura de costos variables'!M17:Y17*0.9</f>
        <v>25749.754971428574</v>
      </c>
    </row>
    <row r="38" spans="1:13" x14ac:dyDescent="0.3">
      <c r="A38" s="765" t="str">
        <f>'Estructura de costos variables'!A18:M18</f>
        <v>Total</v>
      </c>
      <c r="B38" s="766">
        <f>'Estructura de costos variables'!B18:N18</f>
        <v>0</v>
      </c>
      <c r="C38" s="766">
        <f>'Estructura de costos variables'!C18:O18</f>
        <v>0</v>
      </c>
      <c r="D38" s="766">
        <f>'Estructura de costos variables'!D18:P18</f>
        <v>0</v>
      </c>
      <c r="E38" s="766">
        <f>'Estructura de costos variables'!E18:Q18</f>
        <v>0</v>
      </c>
      <c r="F38" s="766">
        <f>'Estructura de costos variables'!F18:R18</f>
        <v>0</v>
      </c>
      <c r="G38" s="766">
        <f>'Estructura de costos variables'!G18:S18</f>
        <v>0</v>
      </c>
      <c r="H38" s="766">
        <f>'Estructura de costos variables'!H18:T18</f>
        <v>0</v>
      </c>
      <c r="I38" s="766">
        <f>'Estructura de costos variables'!I18:U18</f>
        <v>0</v>
      </c>
      <c r="J38" s="766">
        <f>'Estructura de costos variables'!J18:V18</f>
        <v>0</v>
      </c>
      <c r="K38" s="766">
        <f>'Estructura de costos variables'!K18:W18</f>
        <v>0</v>
      </c>
      <c r="L38" s="766">
        <f>'Estructura de costos variables'!L18:X18</f>
        <v>0</v>
      </c>
      <c r="M38" s="251">
        <f>SUM(B35:M37)</f>
        <v>399575.9499428572</v>
      </c>
    </row>
    <row r="40" spans="1:13" x14ac:dyDescent="0.3">
      <c r="A40" s="6" t="s">
        <v>430</v>
      </c>
    </row>
    <row r="41" spans="1:13" x14ac:dyDescent="0.3">
      <c r="A41" s="758" t="str">
        <f>'Estructura de costos variables'!A23:M23</f>
        <v>Año 2</v>
      </c>
      <c r="B41" s="759">
        <f>'Estructura de costos variables'!B23:N23</f>
        <v>0</v>
      </c>
      <c r="C41" s="759">
        <f>'Estructura de costos variables'!C23:O23</f>
        <v>0</v>
      </c>
      <c r="D41" s="759">
        <f>'Estructura de costos variables'!D23:P23</f>
        <v>0</v>
      </c>
      <c r="E41" s="759">
        <f>'Estructura de costos variables'!E23:Q23</f>
        <v>0</v>
      </c>
      <c r="F41" s="759">
        <f>'Estructura de costos variables'!F23:R23</f>
        <v>0</v>
      </c>
      <c r="G41" s="759">
        <f>'Estructura de costos variables'!G23:S23</f>
        <v>0</v>
      </c>
      <c r="H41" s="759">
        <f>'Estructura de costos variables'!H23:T23</f>
        <v>0</v>
      </c>
      <c r="I41" s="759">
        <f>'Estructura de costos variables'!I23:U23</f>
        <v>0</v>
      </c>
      <c r="J41" s="759">
        <f>'Estructura de costos variables'!J23:V23</f>
        <v>0</v>
      </c>
      <c r="K41" s="759">
        <f>'Estructura de costos variables'!K23:W23</f>
        <v>0</v>
      </c>
      <c r="L41" s="759">
        <f>'Estructura de costos variables'!L23:X23</f>
        <v>0</v>
      </c>
      <c r="M41" s="760">
        <f>'Estructura de costos variables'!M23:Y23</f>
        <v>0</v>
      </c>
    </row>
    <row r="42" spans="1:13" x14ac:dyDescent="0.3">
      <c r="A42" s="138" t="str">
        <f>'Estructura de costos variables'!A24:M24</f>
        <v>Concepto</v>
      </c>
      <c r="B42" s="139" t="str">
        <f>'Estructura de costos variables'!B24:N24</f>
        <v>Enero</v>
      </c>
      <c r="C42" s="139" t="str">
        <f>'Estructura de costos variables'!C24:O24</f>
        <v>Febrero</v>
      </c>
      <c r="D42" s="139" t="str">
        <f>'Estructura de costos variables'!D24:P24</f>
        <v>Marzo</v>
      </c>
      <c r="E42" s="139" t="str">
        <f>'Estructura de costos variables'!E24:Q24</f>
        <v>Abril</v>
      </c>
      <c r="F42" s="139" t="str">
        <f>'Estructura de costos variables'!F24:R24</f>
        <v>Mayo</v>
      </c>
      <c r="G42" s="139" t="str">
        <f>'Estructura de costos variables'!G24:S24</f>
        <v>Junio</v>
      </c>
      <c r="H42" s="139" t="str">
        <f>'Estructura de costos variables'!H24:T24</f>
        <v>Julio</v>
      </c>
      <c r="I42" s="139" t="str">
        <f>'Estructura de costos variables'!I24:U24</f>
        <v>Agosto</v>
      </c>
      <c r="J42" s="139" t="str">
        <f>'Estructura de costos variables'!J24:V24</f>
        <v>Septiembre</v>
      </c>
      <c r="K42" s="139" t="str">
        <f>'Estructura de costos variables'!K24:W24</f>
        <v>Octubre</v>
      </c>
      <c r="L42" s="139" t="str">
        <f>'Estructura de costos variables'!L24:X24</f>
        <v>Noviembre</v>
      </c>
      <c r="M42" s="140" t="str">
        <f>'Estructura de costos variables'!M24:Y24</f>
        <v>Diciembre</v>
      </c>
    </row>
    <row r="43" spans="1:13" x14ac:dyDescent="0.3">
      <c r="A43" s="150" t="str">
        <f>'Estructura de costos variables'!A25:M25</f>
        <v>Bono 3% objetivo cuatrimestral ventas</v>
      </c>
      <c r="B43" s="109">
        <f>'Estructura de costos variables'!B25:N25</f>
        <v>0</v>
      </c>
      <c r="C43" s="95">
        <f>'Estructura de costos variables'!C25:O25</f>
        <v>0</v>
      </c>
      <c r="D43" s="95">
        <f>'Estructura de costos variables'!D25:P25</f>
        <v>0</v>
      </c>
      <c r="E43" s="662">
        <v>0</v>
      </c>
      <c r="F43" s="95">
        <f>'Estructura de costos variables'!F25:R25</f>
        <v>0</v>
      </c>
      <c r="G43" s="95">
        <f>'Estructura de costos variables'!G25:S25</f>
        <v>0</v>
      </c>
      <c r="H43" s="95">
        <f>'Estructura de costos variables'!H25:T25</f>
        <v>0</v>
      </c>
      <c r="I43" s="662">
        <v>0</v>
      </c>
      <c r="J43" s="95">
        <f>'Estructura de costos variables'!J25:V25</f>
        <v>0</v>
      </c>
      <c r="K43" s="95">
        <f>'Estructura de costos variables'!K25:W25</f>
        <v>0</v>
      </c>
      <c r="L43" s="95">
        <f>'Estructura de costos variables'!L25:X25</f>
        <v>0</v>
      </c>
      <c r="M43" s="100">
        <f>'Estructura de costos variables'!M25:Y25</f>
        <v>103840.6097142857</v>
      </c>
    </row>
    <row r="44" spans="1:13" x14ac:dyDescent="0.3">
      <c r="A44" s="151" t="str">
        <f>'Estructura de costos variables'!A26:M26</f>
        <v>Promo venta 10% off verano (todo)</v>
      </c>
      <c r="B44" s="110">
        <f>'Estructura de costos variables'!B26:N26</f>
        <v>0</v>
      </c>
      <c r="C44" s="83">
        <f>'Estructura de costos variables'!C26:O26</f>
        <v>0</v>
      </c>
      <c r="D44" s="83">
        <f>'Estructura de costos variables'!D26:P26</f>
        <v>0</v>
      </c>
      <c r="E44" s="83">
        <f>'Estructura de costos variables'!E26:Q26</f>
        <v>62933.702857142853</v>
      </c>
      <c r="F44" s="83">
        <f>'Estructura de costos variables'!F26:R26</f>
        <v>104889.50476190477</v>
      </c>
      <c r="G44" s="83">
        <f>'Estructura de costos variables'!G26:S26</f>
        <v>146845.30666666667</v>
      </c>
      <c r="H44" s="83">
        <f>'Estructura de costos variables'!H26:T26</f>
        <v>167823.20761904764</v>
      </c>
      <c r="I44" s="83">
        <f>'Estructura de costos variables'!I26:U26</f>
        <v>125867.40571428571</v>
      </c>
      <c r="J44" s="83">
        <f>'Estructura de costos variables'!J26:V26</f>
        <v>104889.50476190477</v>
      </c>
      <c r="K44" s="83">
        <f>'Estructura de costos variables'!K26:W26</f>
        <v>0</v>
      </c>
      <c r="L44" s="83">
        <f>'Estructura de costos variables'!L26:X26</f>
        <v>0</v>
      </c>
      <c r="M44" s="101">
        <f>'Estructura de costos variables'!M26:Y26</f>
        <v>0</v>
      </c>
    </row>
    <row r="45" spans="1:13" x14ac:dyDescent="0.3">
      <c r="A45" s="152" t="str">
        <f>'Estructura de costos variables'!A27:M27</f>
        <v>Promo venta 15% off navidad (experiencias RA)</v>
      </c>
      <c r="B45" s="79">
        <f>'Estructura de costos variables'!B27:N27</f>
        <v>0</v>
      </c>
      <c r="C45" s="81">
        <f>'Estructura de costos variables'!C27:O27</f>
        <v>0</v>
      </c>
      <c r="D45" s="81">
        <f>'Estructura de costos variables'!D27:P27</f>
        <v>0</v>
      </c>
      <c r="E45" s="81">
        <f>'Estructura de costos variables'!E27:Q27</f>
        <v>0</v>
      </c>
      <c r="F45" s="81">
        <f>'Estructura de costos variables'!F27:R27</f>
        <v>0</v>
      </c>
      <c r="G45" s="81">
        <f>'Estructura de costos variables'!G27:S27</f>
        <v>0</v>
      </c>
      <c r="H45" s="81">
        <f>'Estructura de costos variables'!H27:T27</f>
        <v>0</v>
      </c>
      <c r="I45" s="81">
        <f>'Estructura de costos variables'!I27:U27</f>
        <v>0</v>
      </c>
      <c r="J45" s="81">
        <f>'Estructura de costos variables'!J27:V27</f>
        <v>0</v>
      </c>
      <c r="K45" s="81">
        <f>'Estructura de costos variables'!K27:W27</f>
        <v>0</v>
      </c>
      <c r="L45" s="81">
        <f>'Estructura de costos variables'!L27:X27</f>
        <v>0</v>
      </c>
      <c r="M45" s="102">
        <f>'Estructura de costos variables'!M27:Y27</f>
        <v>47684.731428571431</v>
      </c>
    </row>
    <row r="46" spans="1:13" x14ac:dyDescent="0.3">
      <c r="A46" s="767" t="str">
        <f>'Estructura de costos variables'!A28:M28</f>
        <v>Total</v>
      </c>
      <c r="B46" s="768">
        <f>'Estructura de costos variables'!B28:N28</f>
        <v>0</v>
      </c>
      <c r="C46" s="768">
        <f>'Estructura de costos variables'!C28:O28</f>
        <v>0</v>
      </c>
      <c r="D46" s="768">
        <f>'Estructura de costos variables'!D28:P28</f>
        <v>0</v>
      </c>
      <c r="E46" s="768">
        <f>'Estructura de costos variables'!E28:Q28</f>
        <v>0</v>
      </c>
      <c r="F46" s="768">
        <f>'Estructura de costos variables'!F28:R28</f>
        <v>0</v>
      </c>
      <c r="G46" s="768">
        <f>'Estructura de costos variables'!G28:S28</f>
        <v>0</v>
      </c>
      <c r="H46" s="768">
        <f>'Estructura de costos variables'!H28:T28</f>
        <v>0</v>
      </c>
      <c r="I46" s="768">
        <f>'Estructura de costos variables'!I28:U28</f>
        <v>0</v>
      </c>
      <c r="J46" s="768">
        <f>'Estructura de costos variables'!J28:V28</f>
        <v>0</v>
      </c>
      <c r="K46" s="768">
        <f>'Estructura de costos variables'!K28:W28</f>
        <v>0</v>
      </c>
      <c r="L46" s="768">
        <f>'Estructura de costos variables'!L28:X28</f>
        <v>0</v>
      </c>
      <c r="M46" s="252">
        <f>SUM(B43:M45)</f>
        <v>864773.97352380946</v>
      </c>
    </row>
  </sheetData>
  <mergeCells count="10">
    <mergeCell ref="A1:M1"/>
    <mergeCell ref="F2:G2"/>
    <mergeCell ref="B5:F5"/>
    <mergeCell ref="H4:M7"/>
    <mergeCell ref="A27:M27"/>
    <mergeCell ref="A33:M33"/>
    <mergeCell ref="A38:L38"/>
    <mergeCell ref="A41:M41"/>
    <mergeCell ref="A46:L46"/>
    <mergeCell ref="K23:M24"/>
  </mergeCells>
  <hyperlinks>
    <hyperlink ref="F2" location="Índice!A1" display="Regresar al índice" xr:uid="{8887CBFA-F31D-4CF6-92F8-69C8165A7CB1}"/>
    <hyperlink ref="A2" location="'Contingencia #2'!A1" display="[Contingencia #2]" xr:uid="{F4B932D5-082F-4E44-818F-7A859A6301BA}"/>
  </hyperlink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876C5-EF1E-4A10-AC7D-15B16B13AD04}">
  <dimension ref="A9:G25"/>
  <sheetViews>
    <sheetView showGridLines="0" zoomScaleNormal="100" workbookViewId="0">
      <selection activeCell="B13" sqref="B13"/>
    </sheetView>
  </sheetViews>
  <sheetFormatPr baseColWidth="10" defaultRowHeight="14.4" x14ac:dyDescent="0.3"/>
  <sheetData>
    <row r="9" spans="1:7" ht="33.6" x14ac:dyDescent="0.65">
      <c r="A9" s="682" t="s">
        <v>0</v>
      </c>
      <c r="B9" s="682"/>
      <c r="C9" s="682"/>
      <c r="D9" s="682"/>
      <c r="E9" s="682"/>
      <c r="F9" s="682"/>
      <c r="G9" s="682"/>
    </row>
    <row r="11" spans="1:7" ht="25.8" x14ac:dyDescent="0.5">
      <c r="B11" s="9" t="s">
        <v>1</v>
      </c>
      <c r="C11" s="9"/>
      <c r="D11" s="9"/>
      <c r="E11" s="9"/>
      <c r="F11" s="9"/>
      <c r="G11" s="10"/>
    </row>
    <row r="12" spans="1:7" ht="4.2" customHeight="1" x14ac:dyDescent="0.3"/>
    <row r="13" spans="1:7" ht="16.8" customHeight="1" x14ac:dyDescent="0.3">
      <c r="B13" s="11" t="s">
        <v>24</v>
      </c>
    </row>
    <row r="14" spans="1:7" ht="16.8" customHeight="1" x14ac:dyDescent="0.3">
      <c r="B14" s="11" t="s">
        <v>75</v>
      </c>
    </row>
    <row r="15" spans="1:7" ht="16.8" customHeight="1" x14ac:dyDescent="0.3">
      <c r="B15" s="11" t="s">
        <v>25</v>
      </c>
    </row>
    <row r="16" spans="1:7" ht="16.8" customHeight="1" x14ac:dyDescent="0.3">
      <c r="B16" s="11" t="s">
        <v>26</v>
      </c>
    </row>
    <row r="17" spans="2:2" ht="16.8" customHeight="1" x14ac:dyDescent="0.3">
      <c r="B17" s="11" t="s">
        <v>27</v>
      </c>
    </row>
    <row r="18" spans="2:2" ht="16.8" customHeight="1" x14ac:dyDescent="0.3">
      <c r="B18" s="11" t="s">
        <v>28</v>
      </c>
    </row>
    <row r="19" spans="2:2" ht="16.8" customHeight="1" x14ac:dyDescent="0.3">
      <c r="B19" s="11" t="s">
        <v>29</v>
      </c>
    </row>
    <row r="20" spans="2:2" ht="16.8" customHeight="1" x14ac:dyDescent="0.3">
      <c r="B20" s="11" t="s">
        <v>44</v>
      </c>
    </row>
    <row r="21" spans="2:2" ht="16.8" customHeight="1" x14ac:dyDescent="0.3">
      <c r="B21" s="11" t="s">
        <v>30</v>
      </c>
    </row>
    <row r="22" spans="2:2" ht="16.8" customHeight="1" x14ac:dyDescent="0.3">
      <c r="B22" s="11" t="s">
        <v>31</v>
      </c>
    </row>
    <row r="23" spans="2:2" ht="16.8" customHeight="1" x14ac:dyDescent="0.3">
      <c r="B23" s="11" t="s">
        <v>32</v>
      </c>
    </row>
    <row r="24" spans="2:2" ht="16.8" customHeight="1" x14ac:dyDescent="0.3">
      <c r="B24" s="11" t="s">
        <v>33</v>
      </c>
    </row>
    <row r="25" spans="2:2" ht="16.8" customHeight="1" x14ac:dyDescent="0.3">
      <c r="B25" s="11" t="s">
        <v>34</v>
      </c>
    </row>
  </sheetData>
  <mergeCells count="1">
    <mergeCell ref="A9:G9"/>
  </mergeCells>
  <hyperlinks>
    <hyperlink ref="B13" location="Hipótesis!A1" display="Hipótesis" xr:uid="{136332E6-0B9E-4D66-9628-E529DFFAF64C}"/>
    <hyperlink ref="B14" location="Presupuesto!A1" display="* Presupuesto" xr:uid="{8481D89F-3C9E-42C1-B759-ECA65B22C692}"/>
    <hyperlink ref="B15" location="'Modelo de ingresos'!A1" display="* Modelo de ingresos" xr:uid="{217EABEE-1462-4CC4-9666-D21C7739E0EE}"/>
    <hyperlink ref="B16" location="'Estructura de costos fijos'!A1" display="* Estructura de costos fijos" xr:uid="{D9300AA7-5B09-4A96-8D2A-526D150AB474}"/>
    <hyperlink ref="B17" location="'Estructura de costos variables'!A1" display="* Estructura de costos variables" xr:uid="{98F2118B-CE63-45AA-930E-9646720645AC}"/>
    <hyperlink ref="B18" location="'Estructura de costos RRHH'!A1" display="* Estructura de costos RRHH" xr:uid="{2C2D6FFD-9FB7-4404-9581-5DE4C52C87DD}"/>
    <hyperlink ref="B19" location="'Modelo de egresos'!A1" display="* Modelo de egresos" xr:uid="{EB24CDDD-7B86-46CE-9D83-9E45E7EAA288}"/>
    <hyperlink ref="B20" location="'Modelo de inversión'!A1" display="* Modelo de inversión" xr:uid="{A1B6330C-DD8E-429F-9972-21BA472AB124}"/>
    <hyperlink ref="B21" location="Amortizaciones!A1" display="* Amortizaciones" xr:uid="{E8359326-3A9A-49AF-9633-E75378AD2462}"/>
    <hyperlink ref="B22" location="'Presupuesto financiero'!A1" display="* Presupuesto financiero" xr:uid="{B742DF4F-D407-4DA1-B931-B50475B773EE}"/>
    <hyperlink ref="B23" location="'Matriz de riesgos'!A1" display="* Matriz de riesgos" xr:uid="{7FC631E6-FBE8-4BCC-82DC-228CC88E8B4F}"/>
    <hyperlink ref="B24" location="Escenarios!A1" display="* Escenarios en base a las amenazas" xr:uid="{17543409-F900-4A60-8F9F-7899F51DD014}"/>
    <hyperlink ref="B25" location="Contingencia!A1" display="* Plan de contingencia" xr:uid="{D6BBAC7A-06D2-4DDF-842A-EA0A9104C0DB}"/>
  </hyperlinks>
  <pageMargins left="0.7" right="0.7" top="0.75" bottom="0.75" header="0.3" footer="0.3"/>
  <pageSetup paperSize="9"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1FF109-0135-4D96-8689-39C564BDD85E}">
  <dimension ref="A1:M88"/>
  <sheetViews>
    <sheetView showGridLines="0" zoomScaleNormal="100" workbookViewId="0">
      <pane ySplit="2" topLeftCell="A3" activePane="bottomLeft" state="frozen"/>
      <selection pane="bottomLeft" activeCell="B78" sqref="B78"/>
    </sheetView>
  </sheetViews>
  <sheetFormatPr baseColWidth="10" defaultRowHeight="14.4" x14ac:dyDescent="0.3"/>
  <cols>
    <col min="1" max="1" width="14" customWidth="1"/>
    <col min="2" max="2" width="15.21875" customWidth="1"/>
    <col min="3" max="3" width="16.109375" customWidth="1"/>
    <col min="4" max="4" width="13.44140625" customWidth="1"/>
    <col min="5" max="5" width="15.88671875" customWidth="1"/>
    <col min="6" max="6" width="12.21875" bestFit="1" customWidth="1"/>
  </cols>
  <sheetData>
    <row r="1" spans="1:13" ht="21" x14ac:dyDescent="0.4">
      <c r="A1" s="686" t="s">
        <v>2</v>
      </c>
      <c r="B1" s="686"/>
      <c r="C1" s="686"/>
      <c r="D1" s="686"/>
      <c r="E1" s="686"/>
      <c r="F1" s="686"/>
      <c r="G1" s="686"/>
    </row>
    <row r="2" spans="1:13" ht="19.8" customHeight="1" x14ac:dyDescent="0.65">
      <c r="A2" s="687" t="s">
        <v>35</v>
      </c>
      <c r="B2" s="687"/>
      <c r="E2" s="12"/>
      <c r="G2" s="502" t="s">
        <v>293</v>
      </c>
    </row>
    <row r="4" spans="1:13" x14ac:dyDescent="0.3">
      <c r="A4" s="6" t="s">
        <v>36</v>
      </c>
    </row>
    <row r="5" spans="1:13" ht="88.2" customHeight="1" x14ac:dyDescent="0.3">
      <c r="A5" s="688" t="s">
        <v>77</v>
      </c>
      <c r="B5" s="688"/>
      <c r="C5" s="688"/>
      <c r="D5" s="688"/>
      <c r="E5" s="688"/>
      <c r="F5" s="688"/>
      <c r="G5" s="688"/>
    </row>
    <row r="6" spans="1:13" ht="13.2" customHeight="1" x14ac:dyDescent="0.3">
      <c r="A6" s="6" t="s">
        <v>307</v>
      </c>
      <c r="B6" s="500"/>
      <c r="C6" s="500"/>
      <c r="D6" s="500"/>
      <c r="E6" s="500"/>
      <c r="F6" s="500"/>
      <c r="G6" s="500"/>
    </row>
    <row r="7" spans="1:13" ht="33.6" customHeight="1" x14ac:dyDescent="0.3">
      <c r="A7" s="688" t="s">
        <v>309</v>
      </c>
      <c r="B7" s="688"/>
      <c r="C7" s="688"/>
      <c r="D7" s="688"/>
      <c r="E7" s="688"/>
      <c r="F7" s="688"/>
      <c r="G7" s="688"/>
    </row>
    <row r="9" spans="1:13" x14ac:dyDescent="0.3">
      <c r="A9" s="6" t="s">
        <v>3</v>
      </c>
    </row>
    <row r="10" spans="1:13" ht="162.6" customHeight="1" x14ac:dyDescent="0.3">
      <c r="A10" s="688" t="s">
        <v>308</v>
      </c>
      <c r="B10" s="688"/>
      <c r="C10" s="688"/>
      <c r="D10" s="688"/>
      <c r="E10" s="688"/>
      <c r="F10" s="688"/>
      <c r="G10" s="688"/>
    </row>
    <row r="11" spans="1:13" x14ac:dyDescent="0.3">
      <c r="A11" s="25"/>
      <c r="B11" s="25"/>
      <c r="C11" s="25"/>
      <c r="D11" s="25"/>
      <c r="E11" s="25"/>
      <c r="F11" s="25"/>
      <c r="G11" s="25"/>
    </row>
    <row r="12" spans="1:13" x14ac:dyDescent="0.3">
      <c r="B12" s="3"/>
      <c r="C12" s="690" t="s">
        <v>262</v>
      </c>
      <c r="D12" s="690"/>
      <c r="E12" s="690"/>
    </row>
    <row r="13" spans="1:13" ht="15" customHeight="1" x14ac:dyDescent="0.3">
      <c r="B13" s="3"/>
      <c r="C13" s="518" t="s">
        <v>5</v>
      </c>
      <c r="D13" s="516" t="s">
        <v>6</v>
      </c>
      <c r="E13" s="516" t="s">
        <v>7</v>
      </c>
      <c r="F13" s="1"/>
      <c r="G13" s="1"/>
      <c r="H13" s="1"/>
      <c r="I13" s="1"/>
      <c r="J13" s="1"/>
      <c r="K13" s="1"/>
      <c r="L13" s="1"/>
      <c r="M13" s="1"/>
    </row>
    <row r="14" spans="1:13" x14ac:dyDescent="0.3">
      <c r="B14" s="519" t="s">
        <v>8</v>
      </c>
      <c r="C14" s="517">
        <v>101583</v>
      </c>
      <c r="D14" s="517">
        <v>80592</v>
      </c>
      <c r="E14" s="517">
        <v>24817</v>
      </c>
      <c r="F14" s="21"/>
      <c r="G14" s="1"/>
      <c r="H14" s="1"/>
      <c r="I14" s="1"/>
      <c r="J14" s="1"/>
      <c r="K14" s="1"/>
      <c r="L14" s="1"/>
      <c r="M14" s="1"/>
    </row>
    <row r="15" spans="1:13" x14ac:dyDescent="0.3">
      <c r="B15" s="519" t="s">
        <v>9</v>
      </c>
      <c r="C15" s="517">
        <v>43535</v>
      </c>
      <c r="D15" s="517">
        <v>35407</v>
      </c>
      <c r="E15" s="517">
        <v>10635</v>
      </c>
      <c r="F15" s="21"/>
      <c r="G15" s="1"/>
      <c r="H15" s="1"/>
      <c r="I15" s="1"/>
      <c r="J15" s="1"/>
      <c r="K15" s="1"/>
      <c r="L15" s="1"/>
      <c r="M15" s="1"/>
    </row>
    <row r="16" spans="1:13" x14ac:dyDescent="0.3">
      <c r="E16" s="1"/>
      <c r="F16" s="1"/>
      <c r="G16" s="1"/>
      <c r="H16" s="1"/>
      <c r="I16" s="1"/>
      <c r="J16" s="1"/>
      <c r="K16" s="1"/>
      <c r="L16" s="1"/>
      <c r="M16" s="1"/>
    </row>
    <row r="17" spans="1:13" x14ac:dyDescent="0.3">
      <c r="A17" s="1"/>
      <c r="B17" s="3"/>
      <c r="C17" s="690" t="s">
        <v>263</v>
      </c>
      <c r="D17" s="690"/>
      <c r="E17" s="690"/>
      <c r="F17" s="1"/>
      <c r="G17" s="1"/>
      <c r="H17" s="1"/>
      <c r="I17" s="1"/>
      <c r="J17" s="1"/>
      <c r="K17" s="1"/>
      <c r="L17" s="1"/>
      <c r="M17" s="1"/>
    </row>
    <row r="18" spans="1:13" ht="15" customHeight="1" x14ac:dyDescent="0.3">
      <c r="B18" s="3"/>
      <c r="C18" s="516" t="s">
        <v>7</v>
      </c>
      <c r="D18" s="516" t="s">
        <v>10</v>
      </c>
      <c r="E18" s="516" t="s">
        <v>11</v>
      </c>
      <c r="F18" s="1"/>
      <c r="G18" s="1"/>
      <c r="H18" s="1"/>
      <c r="I18" s="1"/>
      <c r="J18" s="1"/>
      <c r="K18" s="1"/>
      <c r="L18" s="1"/>
      <c r="M18" s="1"/>
    </row>
    <row r="19" spans="1:13" ht="15" customHeight="1" x14ac:dyDescent="0.3">
      <c r="B19" s="519" t="s">
        <v>8</v>
      </c>
      <c r="C19" s="517">
        <v>638820</v>
      </c>
      <c r="D19" s="517">
        <v>402220</v>
      </c>
      <c r="E19" s="517">
        <v>378560</v>
      </c>
      <c r="F19" s="21"/>
    </row>
    <row r="20" spans="1:13" ht="15" customHeight="1" x14ac:dyDescent="0.3">
      <c r="B20" s="519" t="s">
        <v>9</v>
      </c>
      <c r="C20" s="517">
        <v>84645</v>
      </c>
      <c r="D20" s="517">
        <v>53295</v>
      </c>
      <c r="E20" s="517">
        <v>50160</v>
      </c>
      <c r="F20" s="21"/>
    </row>
    <row r="21" spans="1:13" x14ac:dyDescent="0.3">
      <c r="E21" s="1"/>
      <c r="F21" s="1"/>
    </row>
    <row r="22" spans="1:13" x14ac:dyDescent="0.3">
      <c r="A22" s="1"/>
      <c r="B22" s="3"/>
      <c r="C22" s="690" t="s">
        <v>264</v>
      </c>
      <c r="D22" s="690"/>
      <c r="E22" s="690"/>
      <c r="F22" s="1"/>
      <c r="G22" s="1"/>
      <c r="H22" s="1"/>
      <c r="I22" s="1"/>
      <c r="J22" s="1"/>
      <c r="K22" s="1"/>
      <c r="L22" s="1"/>
      <c r="M22" s="1"/>
    </row>
    <row r="23" spans="1:13" ht="27" customHeight="1" x14ac:dyDescent="0.3">
      <c r="B23" s="3"/>
      <c r="C23" s="691" t="s">
        <v>12</v>
      </c>
      <c r="D23" s="691"/>
      <c r="E23" s="691"/>
      <c r="F23" s="1"/>
      <c r="G23" s="1"/>
      <c r="H23" s="1"/>
      <c r="I23" s="1"/>
      <c r="J23" s="1"/>
      <c r="K23" s="1"/>
      <c r="L23" s="1"/>
      <c r="M23" s="1"/>
    </row>
    <row r="24" spans="1:13" x14ac:dyDescent="0.3">
      <c r="B24" s="519" t="s">
        <v>8</v>
      </c>
      <c r="C24" s="689">
        <v>459615</v>
      </c>
      <c r="D24" s="689"/>
      <c r="E24" s="689"/>
      <c r="F24" s="21"/>
      <c r="G24" s="1"/>
      <c r="H24" s="1"/>
      <c r="I24" s="1"/>
      <c r="J24" s="1"/>
      <c r="K24" s="1"/>
      <c r="L24" s="1"/>
      <c r="M24" s="1"/>
    </row>
    <row r="25" spans="1:13" x14ac:dyDescent="0.3">
      <c r="B25" s="519" t="s">
        <v>9</v>
      </c>
      <c r="C25" s="689">
        <v>110565</v>
      </c>
      <c r="D25" s="689"/>
      <c r="E25" s="689"/>
      <c r="F25" s="21"/>
      <c r="G25" s="1"/>
      <c r="H25" s="1"/>
      <c r="I25" s="1"/>
      <c r="J25" s="1"/>
      <c r="K25" s="1"/>
      <c r="L25" s="1"/>
      <c r="M25" s="1"/>
    </row>
    <row r="26" spans="1:13" x14ac:dyDescent="0.3">
      <c r="E26" s="1"/>
      <c r="F26" s="1"/>
      <c r="G26" s="1"/>
      <c r="H26" s="1"/>
      <c r="I26" s="1"/>
      <c r="J26" s="1"/>
      <c r="K26" s="1"/>
      <c r="L26" s="1"/>
      <c r="M26" s="1"/>
    </row>
    <row r="27" spans="1:13" x14ac:dyDescent="0.3">
      <c r="B27" s="3"/>
      <c r="C27" s="699" t="s">
        <v>16</v>
      </c>
      <c r="D27" s="699"/>
      <c r="E27" s="699"/>
      <c r="F27" s="520" t="s">
        <v>17</v>
      </c>
    </row>
    <row r="28" spans="1:13" x14ac:dyDescent="0.3">
      <c r="A28" s="21"/>
      <c r="B28" s="519" t="s">
        <v>8</v>
      </c>
      <c r="C28" s="689">
        <f>C14+D14+E14+C19+D19+E19+C24</f>
        <v>2086207</v>
      </c>
      <c r="D28" s="689"/>
      <c r="E28" s="689"/>
      <c r="F28" s="707">
        <f>C28+C29</f>
        <v>2474449</v>
      </c>
    </row>
    <row r="29" spans="1:13" x14ac:dyDescent="0.3">
      <c r="A29" s="21"/>
      <c r="B29" s="519" t="s">
        <v>9</v>
      </c>
      <c r="C29" s="689">
        <f>C15+D15+E15+C20+D20+E20+C25</f>
        <v>388242</v>
      </c>
      <c r="D29" s="689"/>
      <c r="E29" s="689"/>
      <c r="F29" s="707"/>
    </row>
    <row r="30" spans="1:13" x14ac:dyDescent="0.3">
      <c r="A30" s="21"/>
      <c r="B30" s="27"/>
      <c r="C30" s="28"/>
      <c r="D30" s="28"/>
      <c r="E30" s="28"/>
      <c r="F30" s="29"/>
    </row>
    <row r="31" spans="1:13" x14ac:dyDescent="0.3">
      <c r="A31" s="6" t="s">
        <v>85</v>
      </c>
      <c r="B31" s="27"/>
      <c r="C31" s="28"/>
      <c r="D31" s="28"/>
      <c r="E31" s="28"/>
      <c r="F31" s="29"/>
    </row>
    <row r="32" spans="1:13" ht="72.599999999999994" customHeight="1" x14ac:dyDescent="0.3">
      <c r="A32" s="708" t="s">
        <v>96</v>
      </c>
      <c r="B32" s="708"/>
      <c r="C32" s="708"/>
      <c r="D32" s="708"/>
      <c r="E32" s="708"/>
      <c r="F32" s="708"/>
      <c r="G32" s="708"/>
    </row>
    <row r="33" spans="1:7" ht="16.8" customHeight="1" x14ac:dyDescent="0.3">
      <c r="A33" s="31"/>
      <c r="B33" s="31"/>
      <c r="C33" s="31"/>
      <c r="D33" s="31"/>
      <c r="E33" s="31"/>
      <c r="F33" s="31"/>
      <c r="G33" s="31"/>
    </row>
    <row r="34" spans="1:7" x14ac:dyDescent="0.3">
      <c r="A34" s="30"/>
      <c r="B34" s="30"/>
      <c r="C34" s="510" t="s">
        <v>87</v>
      </c>
      <c r="D34" s="505" t="s">
        <v>88</v>
      </c>
      <c r="E34" s="515" t="s">
        <v>89</v>
      </c>
    </row>
    <row r="35" spans="1:7" x14ac:dyDescent="0.3">
      <c r="B35" s="511" t="s">
        <v>86</v>
      </c>
      <c r="C35" s="506">
        <v>9.01</v>
      </c>
      <c r="D35" s="507">
        <v>6.51</v>
      </c>
      <c r="E35" s="513">
        <f>(C35+D35)/2</f>
        <v>7.76</v>
      </c>
    </row>
    <row r="36" spans="1:7" x14ac:dyDescent="0.3">
      <c r="B36" s="511" t="s">
        <v>90</v>
      </c>
      <c r="C36" s="508">
        <v>5.67</v>
      </c>
      <c r="D36" s="507">
        <v>10.65</v>
      </c>
      <c r="E36" s="514">
        <f>(C36+D36)/2</f>
        <v>8.16</v>
      </c>
    </row>
    <row r="37" spans="1:7" x14ac:dyDescent="0.3">
      <c r="B37" s="512" t="s">
        <v>91</v>
      </c>
      <c r="C37" s="509">
        <f>(C35+C36)/2</f>
        <v>7.34</v>
      </c>
      <c r="D37" s="509">
        <f>(D35+D36)/2</f>
        <v>8.58</v>
      </c>
      <c r="E37" s="29"/>
    </row>
    <row r="38" spans="1:7" x14ac:dyDescent="0.3">
      <c r="A38" s="21"/>
      <c r="B38" s="28"/>
      <c r="C38" s="28"/>
      <c r="D38" s="28"/>
      <c r="E38" s="29"/>
    </row>
    <row r="39" spans="1:7" ht="18.600000000000001" customHeight="1" x14ac:dyDescent="0.3">
      <c r="A39" s="21"/>
      <c r="B39" s="700" t="s">
        <v>265</v>
      </c>
      <c r="C39" s="701"/>
      <c r="D39" s="392">
        <f>(C37+D37+E35+E36)/4</f>
        <v>7.96</v>
      </c>
      <c r="E39" s="29"/>
    </row>
    <row r="40" spans="1:7" x14ac:dyDescent="0.3">
      <c r="A40" s="21"/>
      <c r="B40" s="32"/>
      <c r="C40" s="33"/>
      <c r="D40" s="28"/>
      <c r="E40" s="29"/>
    </row>
    <row r="41" spans="1:7" x14ac:dyDescent="0.3">
      <c r="A41" s="6" t="s">
        <v>310</v>
      </c>
      <c r="B41" s="32"/>
      <c r="C41" s="33"/>
      <c r="D41" s="28"/>
      <c r="E41" s="29"/>
    </row>
    <row r="42" spans="1:7" ht="60" customHeight="1" x14ac:dyDescent="0.3">
      <c r="A42" s="708" t="s">
        <v>118</v>
      </c>
      <c r="B42" s="708"/>
      <c r="C42" s="708"/>
      <c r="D42" s="708"/>
      <c r="E42" s="708"/>
      <c r="F42" s="708"/>
      <c r="G42" s="708"/>
    </row>
    <row r="43" spans="1:7" ht="18" customHeight="1" x14ac:dyDescent="0.3">
      <c r="A43" s="34"/>
      <c r="B43" s="34"/>
      <c r="C43" s="34"/>
      <c r="D43" s="34"/>
      <c r="E43" s="34"/>
      <c r="F43" s="34"/>
      <c r="G43" s="34"/>
    </row>
    <row r="44" spans="1:7" ht="19.2" customHeight="1" x14ac:dyDescent="0.3">
      <c r="A44" s="34"/>
      <c r="C44" s="395" t="s">
        <v>92</v>
      </c>
      <c r="D44" s="396">
        <f>D39*F28</f>
        <v>19696614.039999999</v>
      </c>
      <c r="E44" s="34"/>
      <c r="F44" s="34"/>
      <c r="G44" s="34"/>
    </row>
    <row r="45" spans="1:7" x14ac:dyDescent="0.3">
      <c r="A45" s="21"/>
      <c r="B45" s="32"/>
      <c r="C45" s="393" t="s">
        <v>93</v>
      </c>
      <c r="D45" s="394">
        <f>D44*12</f>
        <v>236359368.47999999</v>
      </c>
      <c r="E45" s="29"/>
    </row>
    <row r="46" spans="1:7" x14ac:dyDescent="0.3">
      <c r="A46" s="21"/>
      <c r="B46" s="32"/>
      <c r="C46" s="35"/>
      <c r="D46" s="36"/>
      <c r="E46" s="29"/>
    </row>
    <row r="47" spans="1:7" x14ac:dyDescent="0.3">
      <c r="A47" s="6" t="s">
        <v>94</v>
      </c>
      <c r="B47" s="32"/>
      <c r="C47" s="35"/>
      <c r="D47" s="36"/>
      <c r="E47" s="29"/>
    </row>
    <row r="48" spans="1:7" ht="106.2" customHeight="1" x14ac:dyDescent="0.3">
      <c r="A48" s="708" t="s">
        <v>95</v>
      </c>
      <c r="B48" s="708"/>
      <c r="C48" s="708"/>
      <c r="D48" s="708"/>
      <c r="E48" s="708"/>
      <c r="F48" s="708"/>
      <c r="G48" s="708"/>
    </row>
    <row r="50" spans="1:7" x14ac:dyDescent="0.3">
      <c r="A50" s="397"/>
      <c r="B50" s="398" t="s">
        <v>14</v>
      </c>
      <c r="C50" s="399" t="s">
        <v>82</v>
      </c>
      <c r="D50" s="399" t="s">
        <v>81</v>
      </c>
      <c r="E50" s="400" t="s">
        <v>73</v>
      </c>
      <c r="F50" s="401"/>
    </row>
    <row r="51" spans="1:7" x14ac:dyDescent="0.3">
      <c r="A51" s="402"/>
      <c r="B51" s="388" t="s">
        <v>15</v>
      </c>
      <c r="C51" s="389">
        <v>0</v>
      </c>
      <c r="D51" s="389">
        <f>C51*D72</f>
        <v>0</v>
      </c>
      <c r="E51" s="390" t="s">
        <v>84</v>
      </c>
      <c r="F51" s="403"/>
    </row>
    <row r="52" spans="1:7" x14ac:dyDescent="0.3">
      <c r="A52" s="402"/>
      <c r="B52" s="388" t="s">
        <v>13</v>
      </c>
      <c r="C52" s="389">
        <v>0.5</v>
      </c>
      <c r="D52" s="389">
        <f>C52*D72</f>
        <v>20</v>
      </c>
      <c r="E52" s="390" t="s">
        <v>18</v>
      </c>
      <c r="F52" s="403"/>
    </row>
    <row r="53" spans="1:7" x14ac:dyDescent="0.3">
      <c r="A53" s="404"/>
      <c r="B53" s="405" t="s">
        <v>105</v>
      </c>
      <c r="C53" s="406">
        <v>1.5</v>
      </c>
      <c r="D53" s="406">
        <f>C53*D72</f>
        <v>60</v>
      </c>
      <c r="E53" s="407" t="s">
        <v>72</v>
      </c>
      <c r="F53" s="408"/>
    </row>
    <row r="54" spans="1:7" s="13" customFormat="1" x14ac:dyDescent="0.3">
      <c r="B54" s="14"/>
      <c r="C54" s="15"/>
      <c r="D54" s="16"/>
      <c r="E54" s="17"/>
      <c r="F54" s="14"/>
    </row>
    <row r="55" spans="1:7" s="13" customFormat="1" x14ac:dyDescent="0.3">
      <c r="A55" s="6" t="s">
        <v>267</v>
      </c>
      <c r="B55" s="14"/>
      <c r="C55" s="15"/>
      <c r="D55" s="16"/>
      <c r="E55" s="17"/>
      <c r="F55" s="14"/>
    </row>
    <row r="56" spans="1:7" s="13" customFormat="1" x14ac:dyDescent="0.3">
      <c r="B56" s="14"/>
      <c r="C56" s="15"/>
      <c r="D56" s="16"/>
      <c r="E56" s="17"/>
      <c r="F56" s="14"/>
    </row>
    <row r="57" spans="1:7" s="13" customFormat="1" x14ac:dyDescent="0.3">
      <c r="B57" s="397"/>
      <c r="C57" s="409" t="s">
        <v>15</v>
      </c>
      <c r="D57" s="413">
        <v>3</v>
      </c>
      <c r="E57" s="410" t="s">
        <v>104</v>
      </c>
      <c r="F57" s="14"/>
    </row>
    <row r="58" spans="1:7" s="13" customFormat="1" x14ac:dyDescent="0.3">
      <c r="B58" s="402"/>
      <c r="C58" s="388" t="s">
        <v>13</v>
      </c>
      <c r="D58" s="414">
        <v>15</v>
      </c>
      <c r="E58" s="411" t="s">
        <v>104</v>
      </c>
      <c r="F58" s="14"/>
    </row>
    <row r="59" spans="1:7" s="13" customFormat="1" x14ac:dyDescent="0.3">
      <c r="B59" s="404"/>
      <c r="C59" s="405" t="s">
        <v>105</v>
      </c>
      <c r="D59" s="415">
        <v>300</v>
      </c>
      <c r="E59" s="412" t="s">
        <v>106</v>
      </c>
      <c r="F59" s="14"/>
    </row>
    <row r="60" spans="1:7" s="13" customFormat="1" x14ac:dyDescent="0.3">
      <c r="B60" s="14"/>
      <c r="C60" s="15"/>
      <c r="D60" s="16"/>
      <c r="E60" s="17"/>
      <c r="F60" s="14"/>
    </row>
    <row r="61" spans="1:7" x14ac:dyDescent="0.3">
      <c r="A61" s="7" t="s">
        <v>4</v>
      </c>
      <c r="D61" s="5"/>
    </row>
    <row r="62" spans="1:7" ht="72" customHeight="1" x14ac:dyDescent="0.3">
      <c r="A62" s="681" t="s">
        <v>268</v>
      </c>
      <c r="B62" s="709"/>
      <c r="C62" s="709"/>
      <c r="D62" s="709"/>
      <c r="E62" s="709"/>
      <c r="F62" s="709"/>
      <c r="G62" s="709"/>
    </row>
    <row r="63" spans="1:7" x14ac:dyDescent="0.3">
      <c r="A63" s="6"/>
      <c r="D63" s="5"/>
    </row>
    <row r="64" spans="1:7" x14ac:dyDescent="0.3">
      <c r="A64" s="7" t="s">
        <v>101</v>
      </c>
    </row>
    <row r="65" spans="1:8" x14ac:dyDescent="0.3">
      <c r="A65" s="692" t="s">
        <v>37</v>
      </c>
      <c r="B65" s="692"/>
      <c r="C65" s="692"/>
      <c r="D65" s="692"/>
      <c r="E65" s="692"/>
      <c r="F65" s="692"/>
      <c r="G65" s="692"/>
    </row>
    <row r="66" spans="1:8" x14ac:dyDescent="0.3">
      <c r="A66" s="692" t="s">
        <v>38</v>
      </c>
      <c r="B66" s="692"/>
      <c r="C66" s="692"/>
      <c r="D66" s="692"/>
      <c r="E66" s="692"/>
      <c r="F66" s="692"/>
      <c r="G66" s="692"/>
    </row>
    <row r="67" spans="1:8" x14ac:dyDescent="0.3">
      <c r="A67" s="692" t="s">
        <v>39</v>
      </c>
      <c r="B67" s="692"/>
      <c r="C67" s="692"/>
      <c r="D67" s="692"/>
      <c r="E67" s="692"/>
      <c r="F67" s="692"/>
      <c r="G67" s="692"/>
    </row>
    <row r="68" spans="1:8" x14ac:dyDescent="0.3">
      <c r="A68" s="692" t="s">
        <v>40</v>
      </c>
      <c r="B68" s="692"/>
      <c r="C68" s="692"/>
      <c r="D68" s="692"/>
      <c r="E68" s="692"/>
      <c r="F68" s="692"/>
      <c r="G68" s="692"/>
    </row>
    <row r="69" spans="1:8" x14ac:dyDescent="0.3">
      <c r="A69" s="386"/>
      <c r="B69" s="386"/>
      <c r="C69" s="386"/>
      <c r="D69" s="386"/>
      <c r="E69" s="386"/>
      <c r="F69" s="386"/>
      <c r="G69" s="386"/>
    </row>
    <row r="70" spans="1:8" x14ac:dyDescent="0.3">
      <c r="A70" s="7" t="s">
        <v>269</v>
      </c>
      <c r="B70" s="386"/>
      <c r="C70" s="386"/>
      <c r="D70" s="386"/>
      <c r="E70" s="386"/>
      <c r="F70" s="386"/>
      <c r="G70" s="386"/>
    </row>
    <row r="71" spans="1:8" x14ac:dyDescent="0.3">
      <c r="A71" s="7"/>
      <c r="B71" s="386"/>
      <c r="C71" s="386"/>
      <c r="D71" s="386"/>
      <c r="E71" s="386"/>
      <c r="F71" s="386"/>
      <c r="G71" s="386"/>
    </row>
    <row r="72" spans="1:8" x14ac:dyDescent="0.3">
      <c r="C72" s="424" t="s">
        <v>41</v>
      </c>
      <c r="D72" s="425">
        <v>40</v>
      </c>
      <c r="E72" s="386"/>
      <c r="F72" s="386"/>
      <c r="G72" s="386"/>
    </row>
    <row r="73" spans="1:8" x14ac:dyDescent="0.3">
      <c r="C73" s="424" t="s">
        <v>97</v>
      </c>
      <c r="D73" s="426">
        <v>7.0000000000000007E-2</v>
      </c>
      <c r="E73" s="386"/>
      <c r="F73" s="386"/>
      <c r="G73" s="386"/>
    </row>
    <row r="74" spans="1:8" ht="29.4" customHeight="1" x14ac:dyDescent="0.3">
      <c r="A74" s="685" t="s">
        <v>325</v>
      </c>
      <c r="B74" s="685"/>
      <c r="C74" s="685"/>
      <c r="D74" s="562">
        <f>A85/(D45*D72)</f>
        <v>1.6308595359638442E-3</v>
      </c>
      <c r="E74" s="386"/>
      <c r="F74" s="386"/>
      <c r="G74" s="386"/>
    </row>
    <row r="76" spans="1:8" x14ac:dyDescent="0.3">
      <c r="A76" s="416"/>
      <c r="B76" s="417" t="s">
        <v>42</v>
      </c>
      <c r="C76" s="704" t="s">
        <v>43</v>
      </c>
      <c r="D76" s="705"/>
      <c r="F76" s="44"/>
      <c r="G76" s="44"/>
      <c r="H76" s="44"/>
    </row>
    <row r="77" spans="1:8" x14ac:dyDescent="0.3">
      <c r="A77" s="420" t="s">
        <v>19</v>
      </c>
      <c r="B77" s="421">
        <f>D51*F28</f>
        <v>0</v>
      </c>
      <c r="C77" s="695">
        <f>D72*B77</f>
        <v>0</v>
      </c>
      <c r="D77" s="696"/>
      <c r="F77" s="44"/>
      <c r="G77" s="44"/>
      <c r="H77" s="44"/>
    </row>
    <row r="78" spans="1:8" ht="14.4" customHeight="1" x14ac:dyDescent="0.3">
      <c r="A78" s="418" t="s">
        <v>20</v>
      </c>
      <c r="B78" s="419">
        <f>2*C52*C28</f>
        <v>2086207</v>
      </c>
      <c r="C78" s="697">
        <f>D72*B78</f>
        <v>83448280</v>
      </c>
      <c r="D78" s="698"/>
      <c r="E78" s="427"/>
      <c r="F78" s="428"/>
      <c r="G78" s="44"/>
      <c r="H78" s="44"/>
    </row>
    <row r="79" spans="1:8" ht="14.4" customHeight="1" x14ac:dyDescent="0.3">
      <c r="A79" s="420" t="s">
        <v>21</v>
      </c>
      <c r="B79" s="421">
        <f>C53*(C28+0.5*C29)</f>
        <v>3420492</v>
      </c>
      <c r="C79" s="695">
        <f>D72*B79</f>
        <v>136819680</v>
      </c>
      <c r="D79" s="696"/>
      <c r="E79" s="427"/>
      <c r="F79" s="428"/>
      <c r="G79" s="44"/>
      <c r="H79" s="44"/>
    </row>
    <row r="80" spans="1:8" x14ac:dyDescent="0.3">
      <c r="A80" s="248"/>
      <c r="B80" s="419"/>
      <c r="C80" s="44"/>
      <c r="D80" s="44"/>
      <c r="E80" s="429"/>
      <c r="F80" s="428"/>
      <c r="G80" s="44"/>
      <c r="H80" s="44"/>
    </row>
    <row r="81" spans="1:8" x14ac:dyDescent="0.3">
      <c r="A81" s="422" t="s">
        <v>46</v>
      </c>
      <c r="B81" s="423">
        <f>B77+B78+B79</f>
        <v>5506699</v>
      </c>
      <c r="C81" s="702">
        <f>SUM(C77:D79)</f>
        <v>220267960</v>
      </c>
      <c r="D81" s="703"/>
      <c r="E81" s="429"/>
      <c r="F81" s="428"/>
      <c r="G81" s="44"/>
      <c r="H81" s="44"/>
    </row>
    <row r="82" spans="1:8" x14ac:dyDescent="0.3">
      <c r="E82" s="391"/>
      <c r="F82" s="13"/>
    </row>
    <row r="83" spans="1:8" x14ac:dyDescent="0.3">
      <c r="A83" s="7" t="s">
        <v>311</v>
      </c>
    </row>
    <row r="84" spans="1:8" ht="28.2" customHeight="1" x14ac:dyDescent="0.3">
      <c r="A84" s="706" t="s">
        <v>266</v>
      </c>
      <c r="B84" s="706"/>
      <c r="C84" s="706"/>
      <c r="D84" s="706"/>
      <c r="E84" s="706"/>
      <c r="F84" s="706"/>
      <c r="G84" s="706"/>
    </row>
    <row r="85" spans="1:8" x14ac:dyDescent="0.3">
      <c r="A85" s="693">
        <f>C81*D73</f>
        <v>15418757.200000001</v>
      </c>
      <c r="B85" s="694"/>
      <c r="C85" s="694"/>
      <c r="D85" s="694"/>
      <c r="E85" s="694"/>
      <c r="F85" s="694"/>
      <c r="G85" s="694"/>
    </row>
    <row r="88" spans="1:8" x14ac:dyDescent="0.3">
      <c r="F88" s="387"/>
    </row>
  </sheetData>
  <mergeCells count="32">
    <mergeCell ref="A85:G85"/>
    <mergeCell ref="C77:D77"/>
    <mergeCell ref="C78:D78"/>
    <mergeCell ref="C79:D79"/>
    <mergeCell ref="C27:E27"/>
    <mergeCell ref="B39:C39"/>
    <mergeCell ref="C81:D81"/>
    <mergeCell ref="C76:D76"/>
    <mergeCell ref="A84:G84"/>
    <mergeCell ref="F28:F29"/>
    <mergeCell ref="A32:G32"/>
    <mergeCell ref="A42:G42"/>
    <mergeCell ref="A48:G48"/>
    <mergeCell ref="A62:G62"/>
    <mergeCell ref="A65:G65"/>
    <mergeCell ref="A66:G66"/>
    <mergeCell ref="A74:C74"/>
    <mergeCell ref="A1:G1"/>
    <mergeCell ref="A2:B2"/>
    <mergeCell ref="A5:G5"/>
    <mergeCell ref="A10:G10"/>
    <mergeCell ref="C25:E25"/>
    <mergeCell ref="C12:E12"/>
    <mergeCell ref="C17:E17"/>
    <mergeCell ref="C22:E22"/>
    <mergeCell ref="C23:E23"/>
    <mergeCell ref="C24:E24"/>
    <mergeCell ref="A67:G67"/>
    <mergeCell ref="A68:G68"/>
    <mergeCell ref="C28:E28"/>
    <mergeCell ref="C29:E29"/>
    <mergeCell ref="A7:G7"/>
  </mergeCells>
  <hyperlinks>
    <hyperlink ref="A2" location="Índice!A1" display="Regresar al índice" xr:uid="{4C131241-5675-4B4A-AE88-B812EA37A4D9}"/>
    <hyperlink ref="G2" location="'Proyección de ventas'!A1" display="[Proy. Vtas]" xr:uid="{8D59DA1E-A811-410F-943C-D55C99514A14}"/>
  </hyperlinks>
  <pageMargins left="0.7" right="0.7" top="0.75" bottom="0.75" header="0.3" footer="0.3"/>
  <pageSetup paperSize="9" orientation="portrait" horizontalDpi="0"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10406-DE7B-4892-A30A-176993D4E05F}">
  <dimension ref="A1:AL99"/>
  <sheetViews>
    <sheetView showGridLines="0" tabSelected="1" zoomScaleNormal="100" workbookViewId="0">
      <pane ySplit="2" topLeftCell="A3" activePane="bottomLeft" state="frozen"/>
      <selection pane="bottomLeft" activeCell="E100" sqref="E100"/>
    </sheetView>
  </sheetViews>
  <sheetFormatPr baseColWidth="10" defaultColWidth="12.77734375" defaultRowHeight="14.4" x14ac:dyDescent="0.3"/>
  <cols>
    <col min="1" max="1" width="25.6640625" bestFit="1" customWidth="1"/>
    <col min="2" max="2" width="10.77734375" customWidth="1"/>
    <col min="3" max="3" width="24.109375" customWidth="1"/>
    <col min="4" max="4" width="13.44140625" bestFit="1" customWidth="1"/>
    <col min="5" max="5" width="16.33203125" bestFit="1" customWidth="1"/>
    <col min="6" max="6" width="13.77734375" customWidth="1"/>
    <col min="7" max="7" width="14.109375" bestFit="1" customWidth="1"/>
    <col min="8" max="8" width="17.109375" customWidth="1"/>
    <col min="9" max="9" width="19.6640625" bestFit="1" customWidth="1"/>
    <col min="10" max="10" width="9.44140625" bestFit="1" customWidth="1"/>
    <col min="11" max="11" width="10.44140625" bestFit="1" customWidth="1"/>
    <col min="12" max="12" width="16.6640625" bestFit="1" customWidth="1"/>
    <col min="13" max="13" width="15.33203125" customWidth="1"/>
    <col min="14" max="14" width="10.44140625" bestFit="1" customWidth="1"/>
    <col min="15" max="15" width="15.33203125" bestFit="1" customWidth="1"/>
    <col min="16" max="16" width="9.44140625" bestFit="1" customWidth="1"/>
    <col min="17" max="17" width="10.44140625" bestFit="1" customWidth="1"/>
    <col min="18" max="18" width="15.6640625" bestFit="1" customWidth="1"/>
    <col min="19" max="19" width="9.44140625" bestFit="1" customWidth="1"/>
    <col min="20" max="20" width="10.44140625" bestFit="1" customWidth="1"/>
    <col min="21" max="21" width="16.6640625" bestFit="1" customWidth="1"/>
    <col min="22" max="22" width="9.44140625" bestFit="1" customWidth="1"/>
    <col min="23" max="23" width="10.44140625" bestFit="1" customWidth="1"/>
    <col min="24" max="24" width="15.33203125" bestFit="1" customWidth="1"/>
    <col min="25" max="25" width="9.44140625" bestFit="1" customWidth="1"/>
    <col min="26" max="26" width="10.44140625" bestFit="1" customWidth="1"/>
    <col min="27" max="27" width="15.33203125" bestFit="1" customWidth="1"/>
    <col min="28" max="28" width="9.44140625" bestFit="1" customWidth="1"/>
    <col min="29" max="29" width="10.44140625" bestFit="1" customWidth="1"/>
    <col min="30" max="30" width="16.6640625" bestFit="1" customWidth="1"/>
    <col min="31" max="31" width="9.44140625" bestFit="1" customWidth="1"/>
    <col min="32" max="32" width="10.44140625" bestFit="1" customWidth="1"/>
    <col min="33" max="33" width="13.77734375" bestFit="1" customWidth="1"/>
    <col min="34" max="34" width="9.44140625" bestFit="1" customWidth="1"/>
    <col min="35" max="35" width="10.44140625" bestFit="1" customWidth="1"/>
    <col min="36" max="36" width="18.21875" bestFit="1" customWidth="1"/>
    <col min="37" max="37" width="9.44140625" bestFit="1" customWidth="1"/>
    <col min="38" max="38" width="10.44140625" bestFit="1" customWidth="1"/>
  </cols>
  <sheetData>
    <row r="1" spans="1:13" ht="21" x14ac:dyDescent="0.4">
      <c r="A1" s="686" t="s">
        <v>74</v>
      </c>
      <c r="B1" s="686"/>
      <c r="C1" s="686"/>
      <c r="D1" s="686"/>
      <c r="E1" s="686"/>
      <c r="F1" s="686"/>
      <c r="G1" s="686"/>
      <c r="H1" s="686"/>
      <c r="I1" s="686"/>
      <c r="J1" s="686"/>
      <c r="K1" s="686"/>
      <c r="L1" s="686"/>
      <c r="M1" s="686"/>
    </row>
    <row r="2" spans="1:13" ht="19.8" customHeight="1" x14ac:dyDescent="0.65">
      <c r="A2" s="502" t="s">
        <v>289</v>
      </c>
      <c r="C2" s="12"/>
      <c r="D2" s="12"/>
      <c r="E2" s="12"/>
      <c r="F2" s="740" t="s">
        <v>35</v>
      </c>
      <c r="G2" s="740"/>
      <c r="M2" s="502" t="s">
        <v>290</v>
      </c>
    </row>
    <row r="4" spans="1:13" x14ac:dyDescent="0.3">
      <c r="D4" s="435" t="s">
        <v>50</v>
      </c>
      <c r="E4" s="436">
        <f>Hipótesis!C81</f>
        <v>220267960</v>
      </c>
      <c r="F4" s="382"/>
      <c r="G4" s="437" t="s">
        <v>47</v>
      </c>
      <c r="H4" s="437" t="s">
        <v>48</v>
      </c>
      <c r="I4" s="438" t="s">
        <v>49</v>
      </c>
    </row>
    <row r="5" spans="1:13" x14ac:dyDescent="0.3">
      <c r="D5" s="439" t="s">
        <v>20</v>
      </c>
      <c r="E5" s="434">
        <f>Hipótesis!C78</f>
        <v>83448280</v>
      </c>
      <c r="F5" s="385"/>
      <c r="G5" s="430"/>
      <c r="H5" s="430"/>
      <c r="I5" s="440"/>
    </row>
    <row r="6" spans="1:13" x14ac:dyDescent="0.3">
      <c r="D6" s="439" t="s">
        <v>21</v>
      </c>
      <c r="E6" s="434">
        <f>Hipótesis!C79</f>
        <v>136819680</v>
      </c>
      <c r="F6" s="385"/>
      <c r="G6" s="430"/>
      <c r="H6" s="430"/>
      <c r="I6" s="440"/>
    </row>
    <row r="7" spans="1:13" x14ac:dyDescent="0.3">
      <c r="D7" s="441" t="s">
        <v>80</v>
      </c>
      <c r="E7" s="431">
        <f>Hipótesis!D73</f>
        <v>7.0000000000000007E-2</v>
      </c>
      <c r="F7" s="385"/>
      <c r="G7" s="432">
        <v>0.03</v>
      </c>
      <c r="H7" s="433">
        <v>0.05</v>
      </c>
      <c r="I7" s="442">
        <v>7.0000000000000007E-2</v>
      </c>
    </row>
    <row r="8" spans="1:13" x14ac:dyDescent="0.3">
      <c r="D8" s="443" t="s">
        <v>83</v>
      </c>
      <c r="E8" s="444">
        <f>E4*E7</f>
        <v>15418757.200000001</v>
      </c>
      <c r="F8" s="445"/>
      <c r="G8" s="446">
        <f>E4*G7</f>
        <v>6608038.7999999998</v>
      </c>
      <c r="H8" s="446">
        <f>E4*H7</f>
        <v>11013398</v>
      </c>
      <c r="I8" s="447">
        <f>E4*I7</f>
        <v>15418757.200000001</v>
      </c>
    </row>
    <row r="9" spans="1:13" x14ac:dyDescent="0.3">
      <c r="B9" s="8"/>
      <c r="C9" s="18"/>
    </row>
    <row r="10" spans="1:13" x14ac:dyDescent="0.3">
      <c r="A10" s="6" t="s">
        <v>71</v>
      </c>
      <c r="H10" s="2" t="s">
        <v>98</v>
      </c>
      <c r="I10" s="2" t="s">
        <v>99</v>
      </c>
    </row>
    <row r="11" spans="1:13" ht="108" customHeight="1" x14ac:dyDescent="0.3">
      <c r="A11" s="688" t="s">
        <v>103</v>
      </c>
      <c r="B11" s="688"/>
      <c r="C11" s="688"/>
      <c r="D11" s="688"/>
      <c r="E11" s="688"/>
      <c r="F11" s="688"/>
      <c r="G11" s="688"/>
      <c r="H11" s="473">
        <f>Hipótesis!C28/Hipótesis!F28</f>
        <v>0.84309961530829691</v>
      </c>
      <c r="I11" s="473">
        <f>Hipótesis!C29/Hipótesis!F28</f>
        <v>0.15690038469170309</v>
      </c>
    </row>
    <row r="12" spans="1:13" x14ac:dyDescent="0.3">
      <c r="A12" s="4"/>
    </row>
    <row r="13" spans="1:13" x14ac:dyDescent="0.3">
      <c r="A13" s="6" t="s">
        <v>270</v>
      </c>
    </row>
    <row r="14" spans="1:13" x14ac:dyDescent="0.3">
      <c r="A14" s="4" t="s">
        <v>271</v>
      </c>
      <c r="I14" s="452" t="s">
        <v>272</v>
      </c>
    </row>
    <row r="15" spans="1:13" x14ac:dyDescent="0.3">
      <c r="A15" s="4" t="s">
        <v>273</v>
      </c>
      <c r="D15" s="452" t="s">
        <v>274</v>
      </c>
    </row>
    <row r="16" spans="1:13" x14ac:dyDescent="0.3">
      <c r="A16" s="4"/>
      <c r="D16" s="452"/>
    </row>
    <row r="17" spans="1:38" x14ac:dyDescent="0.3">
      <c r="A17" s="6" t="s">
        <v>276</v>
      </c>
      <c r="D17" s="452"/>
    </row>
    <row r="18" spans="1:38" x14ac:dyDescent="0.3">
      <c r="A18" s="63" t="s">
        <v>278</v>
      </c>
      <c r="B18" s="692" t="s">
        <v>279</v>
      </c>
      <c r="C18" s="692"/>
      <c r="D18" s="692"/>
      <c r="E18" s="692"/>
      <c r="F18" s="692"/>
      <c r="G18" s="692"/>
      <c r="H18" s="692"/>
      <c r="I18" s="692"/>
    </row>
    <row r="19" spans="1:38" ht="28.8" customHeight="1" x14ac:dyDescent="0.3">
      <c r="A19" s="477" t="s">
        <v>109</v>
      </c>
      <c r="B19" s="681" t="s">
        <v>372</v>
      </c>
      <c r="C19" s="681"/>
      <c r="D19" s="681"/>
      <c r="E19" s="681"/>
      <c r="F19" s="681"/>
      <c r="G19" s="681"/>
      <c r="H19" s="681"/>
      <c r="I19" s="681"/>
    </row>
    <row r="20" spans="1:38" x14ac:dyDescent="0.3">
      <c r="A20" s="63" t="s">
        <v>64</v>
      </c>
      <c r="B20" t="s">
        <v>291</v>
      </c>
      <c r="D20" s="452"/>
    </row>
    <row r="21" spans="1:38" x14ac:dyDescent="0.3">
      <c r="A21" s="63" t="s">
        <v>110</v>
      </c>
      <c r="B21" t="s">
        <v>291</v>
      </c>
      <c r="D21" s="452"/>
    </row>
    <row r="22" spans="1:38" x14ac:dyDescent="0.3">
      <c r="A22" s="476" t="s">
        <v>111</v>
      </c>
      <c r="B22" t="s">
        <v>291</v>
      </c>
      <c r="D22" s="452"/>
    </row>
    <row r="23" spans="1:38" x14ac:dyDescent="0.3">
      <c r="A23" s="4"/>
    </row>
    <row r="24" spans="1:38" s="37" customFormat="1" x14ac:dyDescent="0.3">
      <c r="A24" s="39" t="s">
        <v>102</v>
      </c>
      <c r="D24" s="38">
        <v>5.7142857142857141E-2</v>
      </c>
      <c r="G24" s="38">
        <v>3.8095238095238099E-2</v>
      </c>
      <c r="J24" s="38">
        <v>3.8095238095238099E-2</v>
      </c>
      <c r="M24" s="38">
        <v>5.7142857142857141E-2</v>
      </c>
      <c r="P24" s="38">
        <v>9.5238095238095233E-2</v>
      </c>
      <c r="S24" s="38">
        <v>0.13333333333333333</v>
      </c>
      <c r="T24" s="38"/>
      <c r="U24" s="38"/>
      <c r="V24" s="38">
        <v>0.15238095238095239</v>
      </c>
      <c r="W24" s="38"/>
      <c r="X24" s="38"/>
      <c r="Y24" s="38">
        <v>0.11428571428571428</v>
      </c>
      <c r="Z24" s="38"/>
      <c r="AA24" s="38"/>
      <c r="AB24" s="38">
        <v>9.5238095238095233E-2</v>
      </c>
      <c r="AE24" s="38">
        <v>8.5714285714285715E-2</v>
      </c>
      <c r="AH24" s="38">
        <v>5.7142857142857141E-2</v>
      </c>
      <c r="AK24" s="38">
        <v>7.6190476190476197E-2</v>
      </c>
    </row>
    <row r="25" spans="1:38" s="44" customFormat="1" x14ac:dyDescent="0.3">
      <c r="A25" s="89"/>
      <c r="B25" s="104"/>
      <c r="C25" s="741" t="s">
        <v>51</v>
      </c>
      <c r="D25" s="741"/>
      <c r="E25" s="741"/>
      <c r="F25" s="737" t="s">
        <v>52</v>
      </c>
      <c r="G25" s="737"/>
      <c r="H25" s="737"/>
      <c r="I25" s="738" t="s">
        <v>53</v>
      </c>
      <c r="J25" s="738"/>
      <c r="K25" s="738"/>
      <c r="L25" s="737" t="s">
        <v>54</v>
      </c>
      <c r="M25" s="737"/>
      <c r="N25" s="737"/>
      <c r="O25" s="738" t="s">
        <v>55</v>
      </c>
      <c r="P25" s="738"/>
      <c r="Q25" s="738"/>
      <c r="R25" s="737" t="s">
        <v>56</v>
      </c>
      <c r="S25" s="737"/>
      <c r="T25" s="737"/>
      <c r="U25" s="738" t="s">
        <v>57</v>
      </c>
      <c r="V25" s="738"/>
      <c r="W25" s="738"/>
      <c r="X25" s="737" t="s">
        <v>58</v>
      </c>
      <c r="Y25" s="737"/>
      <c r="Z25" s="737"/>
      <c r="AA25" s="737" t="s">
        <v>59</v>
      </c>
      <c r="AB25" s="737"/>
      <c r="AC25" s="737"/>
      <c r="AD25" s="737" t="s">
        <v>60</v>
      </c>
      <c r="AE25" s="737"/>
      <c r="AF25" s="737"/>
      <c r="AG25" s="738" t="s">
        <v>61</v>
      </c>
      <c r="AH25" s="738"/>
      <c r="AI25" s="738"/>
      <c r="AJ25" s="737" t="s">
        <v>62</v>
      </c>
      <c r="AK25" s="737"/>
      <c r="AL25" s="739"/>
    </row>
    <row r="26" spans="1:38" s="44" customFormat="1" x14ac:dyDescent="0.3">
      <c r="A26" s="492" t="s">
        <v>76</v>
      </c>
      <c r="B26" s="493" t="str">
        <f>Hipótesis!$C$76</f>
        <v>$AR</v>
      </c>
      <c r="C26" s="495" t="s">
        <v>78</v>
      </c>
      <c r="D26" s="494" t="s">
        <v>79</v>
      </c>
      <c r="E26" s="496" t="s">
        <v>100</v>
      </c>
      <c r="F26" s="495" t="s">
        <v>78</v>
      </c>
      <c r="G26" s="494" t="s">
        <v>79</v>
      </c>
      <c r="H26" s="496" t="s">
        <v>100</v>
      </c>
      <c r="I26" s="495" t="s">
        <v>78</v>
      </c>
      <c r="J26" s="494" t="s">
        <v>79</v>
      </c>
      <c r="K26" s="496" t="s">
        <v>100</v>
      </c>
      <c r="L26" s="495" t="s">
        <v>78</v>
      </c>
      <c r="M26" s="494" t="s">
        <v>79</v>
      </c>
      <c r="N26" s="496" t="s">
        <v>100</v>
      </c>
      <c r="O26" s="495" t="s">
        <v>78</v>
      </c>
      <c r="P26" s="494" t="s">
        <v>79</v>
      </c>
      <c r="Q26" s="496" t="s">
        <v>100</v>
      </c>
      <c r="R26" s="495" t="s">
        <v>78</v>
      </c>
      <c r="S26" s="494" t="s">
        <v>79</v>
      </c>
      <c r="T26" s="496" t="s">
        <v>100</v>
      </c>
      <c r="U26" s="495" t="s">
        <v>78</v>
      </c>
      <c r="V26" s="494" t="s">
        <v>79</v>
      </c>
      <c r="W26" s="496" t="s">
        <v>100</v>
      </c>
      <c r="X26" s="493" t="s">
        <v>78</v>
      </c>
      <c r="Y26" s="494" t="s">
        <v>79</v>
      </c>
      <c r="Z26" s="493" t="s">
        <v>100</v>
      </c>
      <c r="AA26" s="495" t="s">
        <v>78</v>
      </c>
      <c r="AB26" s="494" t="s">
        <v>79</v>
      </c>
      <c r="AC26" s="497" t="s">
        <v>100</v>
      </c>
      <c r="AD26" s="493" t="s">
        <v>78</v>
      </c>
      <c r="AE26" s="494" t="s">
        <v>79</v>
      </c>
      <c r="AF26" s="493" t="s">
        <v>100</v>
      </c>
      <c r="AG26" s="495" t="s">
        <v>78</v>
      </c>
      <c r="AH26" s="494" t="s">
        <v>79</v>
      </c>
      <c r="AI26" s="496" t="s">
        <v>100</v>
      </c>
      <c r="AJ26" s="493" t="s">
        <v>78</v>
      </c>
      <c r="AK26" s="494" t="s">
        <v>79</v>
      </c>
      <c r="AL26" s="496" t="s">
        <v>100</v>
      </c>
    </row>
    <row r="27" spans="1:38" s="47" customFormat="1" x14ac:dyDescent="0.3">
      <c r="A27" s="455" t="s">
        <v>107</v>
      </c>
      <c r="B27" s="45">
        <f>Hipótesis!D51</f>
        <v>0</v>
      </c>
      <c r="C27" s="468"/>
      <c r="D27" s="46">
        <f>Hipótesis!$F$28*D24*$G$7</f>
        <v>4241.912571428571</v>
      </c>
      <c r="E27" s="456"/>
      <c r="F27" s="468"/>
      <c r="G27" s="46">
        <f>Hipótesis!$F$28*G24*$G$7</f>
        <v>2827.9417142857142</v>
      </c>
      <c r="H27" s="456"/>
      <c r="I27" s="468"/>
      <c r="J27" s="46">
        <f>Hipótesis!$F$28*J24*$G$7</f>
        <v>2827.9417142857142</v>
      </c>
      <c r="K27" s="456"/>
      <c r="L27" s="468"/>
      <c r="M27" s="46">
        <f>Hipótesis!$F$28*M24*$G$7</f>
        <v>4241.912571428571</v>
      </c>
      <c r="N27" s="456"/>
      <c r="O27" s="468"/>
      <c r="P27" s="46">
        <f>Hipótesis!$F$28*P24*$G$7</f>
        <v>7069.8542857142847</v>
      </c>
      <c r="Q27" s="456"/>
      <c r="R27" s="468"/>
      <c r="S27" s="46">
        <f>Hipótesis!$F$28*S24*$G$7</f>
        <v>9897.7960000000003</v>
      </c>
      <c r="T27" s="456"/>
      <c r="U27" s="468"/>
      <c r="V27" s="46">
        <f>Hipótesis!$F$28*V24*$G$7</f>
        <v>11311.766857142857</v>
      </c>
      <c r="W27" s="456"/>
      <c r="X27" s="45"/>
      <c r="Y27" s="46">
        <f>Hipótesis!$F$28*Y24*$G$7</f>
        <v>8483.8251428571421</v>
      </c>
      <c r="Z27" s="45"/>
      <c r="AA27" s="468"/>
      <c r="AB27" s="46">
        <f>Hipótesis!$F$28*AB24*$G$7</f>
        <v>7069.8542857142847</v>
      </c>
      <c r="AC27" s="456"/>
      <c r="AD27" s="45"/>
      <c r="AE27" s="46">
        <f>Hipótesis!$F$28*AE24*$G$7</f>
        <v>6362.8688571428565</v>
      </c>
      <c r="AF27" s="45"/>
      <c r="AG27" s="468"/>
      <c r="AH27" s="46">
        <f>Hipótesis!$F$28*AH24*$G$7</f>
        <v>4241.912571428571</v>
      </c>
      <c r="AI27" s="456"/>
      <c r="AJ27" s="45"/>
      <c r="AK27" s="46">
        <f>Hipótesis!$F$28*AK24*$G$7</f>
        <v>5655.8834285714283</v>
      </c>
      <c r="AL27" s="456"/>
    </row>
    <row r="28" spans="1:38" s="44" customFormat="1" x14ac:dyDescent="0.3">
      <c r="A28" s="457" t="str">
        <f>Hipótesis!$A$78</f>
        <v>Experiencias</v>
      </c>
      <c r="B28" s="56">
        <f>Hipótesis!$D$52</f>
        <v>20</v>
      </c>
      <c r="C28" s="469">
        <f>$E$5*$G$7*D24</f>
        <v>143054.19428571427</v>
      </c>
      <c r="D28" s="453">
        <f>C28/$B28</f>
        <v>7152.7097142857137</v>
      </c>
      <c r="E28" s="458">
        <f>C28/(C$28+C$29)</f>
        <v>0.37884892564492806</v>
      </c>
      <c r="F28" s="469">
        <f>$E$5*$G$7*G24</f>
        <v>95369.462857142862</v>
      </c>
      <c r="G28" s="453">
        <f>F28/$B28</f>
        <v>4768.4731428571431</v>
      </c>
      <c r="H28" s="458">
        <f>F28/(F$28+F$29)</f>
        <v>0.37884892564492806</v>
      </c>
      <c r="I28" s="469">
        <f>$E$5*$G$7*J24</f>
        <v>95369.462857142862</v>
      </c>
      <c r="J28" s="453">
        <f>I28/$B28</f>
        <v>4768.4731428571431</v>
      </c>
      <c r="K28" s="458">
        <f>I28/(I$28+I$29)</f>
        <v>0.37884892564492806</v>
      </c>
      <c r="L28" s="469">
        <f>$E$5*$G$7*M24</f>
        <v>143054.19428571427</v>
      </c>
      <c r="M28" s="453">
        <f>L28/$B28</f>
        <v>7152.7097142857137</v>
      </c>
      <c r="N28" s="458">
        <f>L28/(L$28+L$29)</f>
        <v>0.37884892564492806</v>
      </c>
      <c r="O28" s="469">
        <f>$E$5*$G$7*P24</f>
        <v>238423.65714285712</v>
      </c>
      <c r="P28" s="453">
        <f>O28/$B28</f>
        <v>11921.182857142856</v>
      </c>
      <c r="Q28" s="458">
        <f>O28/(O$28+O$29)</f>
        <v>0.37884892564492811</v>
      </c>
      <c r="R28" s="469">
        <f>$E$5*$G$7*S24</f>
        <v>333793.12</v>
      </c>
      <c r="S28" s="453">
        <f>R28/$B28</f>
        <v>16689.655999999999</v>
      </c>
      <c r="T28" s="458">
        <f>R28/(R$28+R$29)</f>
        <v>0.37884892564492811</v>
      </c>
      <c r="U28" s="469">
        <f>$E$5*$G$7*V24</f>
        <v>381477.85142857145</v>
      </c>
      <c r="V28" s="453">
        <f>U28/$B28</f>
        <v>19073.892571428572</v>
      </c>
      <c r="W28" s="458">
        <f>U28/(U$28+U$29)</f>
        <v>0.37884892564492806</v>
      </c>
      <c r="X28" s="57">
        <f>$E$5*$G$7*Y24</f>
        <v>286108.38857142854</v>
      </c>
      <c r="Y28" s="453">
        <f>X28/$B28</f>
        <v>14305.419428571427</v>
      </c>
      <c r="Z28" s="454">
        <f>X28/(X$28+X$29)</f>
        <v>0.37884892564492806</v>
      </c>
      <c r="AA28" s="469">
        <f>$E$5*$G$7*AB24</f>
        <v>238423.65714285712</v>
      </c>
      <c r="AB28" s="453">
        <f>AA28/$B28</f>
        <v>11921.182857142856</v>
      </c>
      <c r="AC28" s="458">
        <f>AA28/(AA$28+AA$29)</f>
        <v>0.37884892564492811</v>
      </c>
      <c r="AD28" s="57">
        <f>$E$5*$G$7*AE24</f>
        <v>214581.29142857142</v>
      </c>
      <c r="AE28" s="453">
        <f>AD28/$B28</f>
        <v>10729.064571428571</v>
      </c>
      <c r="AF28" s="454">
        <f>AD28/(AD$28+AD$29)</f>
        <v>0.37884892564492811</v>
      </c>
      <c r="AG28" s="469">
        <f>$E$5*$G$7*AH24</f>
        <v>143054.19428571427</v>
      </c>
      <c r="AH28" s="453">
        <f>AG28/$B28</f>
        <v>7152.7097142857137</v>
      </c>
      <c r="AI28" s="458">
        <f>AG28/(AG$28+AG$29)</f>
        <v>0.37884892564492806</v>
      </c>
      <c r="AJ28" s="57">
        <f>$E$5*$G$7*AK24</f>
        <v>190738.92571428572</v>
      </c>
      <c r="AK28" s="453">
        <f>AJ28/$B28</f>
        <v>9536.9462857142862</v>
      </c>
      <c r="AL28" s="458">
        <f>AJ28/(AJ$28+AJ$29)</f>
        <v>0.37884892564492806</v>
      </c>
    </row>
    <row r="29" spans="1:38" s="44" customFormat="1" x14ac:dyDescent="0.3">
      <c r="A29" s="459" t="str">
        <f>Hipótesis!$A$79</f>
        <v>Servicios</v>
      </c>
      <c r="B29" s="49">
        <f>Hipótesis!$D$53</f>
        <v>60</v>
      </c>
      <c r="C29" s="470">
        <f>$E$6*$G$7*D24</f>
        <v>234548.02285714285</v>
      </c>
      <c r="D29" s="51">
        <f>C29/$B29</f>
        <v>3909.1337142857142</v>
      </c>
      <c r="E29" s="460">
        <f>C29/(C$28+C$29)</f>
        <v>0.62115107435507189</v>
      </c>
      <c r="F29" s="470">
        <f>$E$6*$G$7*G24</f>
        <v>156365.34857142859</v>
      </c>
      <c r="G29" s="51">
        <f>F29/$B29</f>
        <v>2606.0891428571431</v>
      </c>
      <c r="H29" s="460">
        <f>F29/(F$28+F$29)</f>
        <v>0.62115107435507189</v>
      </c>
      <c r="I29" s="470">
        <f>$E$6*$G$7*J24</f>
        <v>156365.34857142859</v>
      </c>
      <c r="J29" s="51">
        <f>I29/$B29</f>
        <v>2606.0891428571431</v>
      </c>
      <c r="K29" s="460">
        <f>I29/(I$28+I$29)</f>
        <v>0.62115107435507189</v>
      </c>
      <c r="L29" s="470">
        <f>$E$6*$G$7*M24</f>
        <v>234548.02285714285</v>
      </c>
      <c r="M29" s="51">
        <f>L29/$B29</f>
        <v>3909.1337142857142</v>
      </c>
      <c r="N29" s="460">
        <f>L29/(L$28+L$29)</f>
        <v>0.62115107435507189</v>
      </c>
      <c r="O29" s="470">
        <f>$E$6*$G$7*P24</f>
        <v>390913.37142857141</v>
      </c>
      <c r="P29" s="51">
        <f>O29/$B29</f>
        <v>6515.2228571428568</v>
      </c>
      <c r="Q29" s="460">
        <f>O29/(O$28+O$29)</f>
        <v>0.62115107435507189</v>
      </c>
      <c r="R29" s="470">
        <f>$E$6*$G$7*S24</f>
        <v>547278.72</v>
      </c>
      <c r="S29" s="51">
        <f>R29/$B29</f>
        <v>9121.3119999999999</v>
      </c>
      <c r="T29" s="460">
        <f>R29/(R$28+R$29)</f>
        <v>0.62115107435507189</v>
      </c>
      <c r="U29" s="470">
        <f>$E$6*$G$7*V24</f>
        <v>625461.39428571437</v>
      </c>
      <c r="V29" s="51">
        <f>U29/$B29</f>
        <v>10424.356571428572</v>
      </c>
      <c r="W29" s="460">
        <f>U29/(U$28+U$29)</f>
        <v>0.62115107435507189</v>
      </c>
      <c r="X29" s="50">
        <f>$E$6*$G$7*Y24</f>
        <v>469096.04571428569</v>
      </c>
      <c r="Y29" s="51">
        <f>X29/$B29</f>
        <v>7818.2674285714284</v>
      </c>
      <c r="Z29" s="52">
        <f>X29/(X$28+X$29)</f>
        <v>0.62115107435507189</v>
      </c>
      <c r="AA29" s="470">
        <f>$E$6*$G$7*AB24</f>
        <v>390913.37142857141</v>
      </c>
      <c r="AB29" s="51">
        <f>AA29/$B29</f>
        <v>6515.2228571428568</v>
      </c>
      <c r="AC29" s="460">
        <f>AA29/(AA$28+AA$29)</f>
        <v>0.62115107435507189</v>
      </c>
      <c r="AD29" s="50">
        <f>$E$6*$G$7*AE24</f>
        <v>351822.03428571427</v>
      </c>
      <c r="AE29" s="51">
        <f>AD29/$B29</f>
        <v>5863.7005714285715</v>
      </c>
      <c r="AF29" s="52">
        <f>AD29/(AD$28+AD$29)</f>
        <v>0.62115107435507189</v>
      </c>
      <c r="AG29" s="470">
        <f>$E$6*$G$7*AH24</f>
        <v>234548.02285714285</v>
      </c>
      <c r="AH29" s="51">
        <f>AG29/$B29</f>
        <v>3909.1337142857142</v>
      </c>
      <c r="AI29" s="460">
        <f>AG29/(AG$28+AG$29)</f>
        <v>0.62115107435507189</v>
      </c>
      <c r="AJ29" s="50">
        <f>$E$6*$G$7*AK24</f>
        <v>312730.69714285719</v>
      </c>
      <c r="AK29" s="51">
        <f>AJ29/$B29</f>
        <v>5212.1782857142862</v>
      </c>
      <c r="AL29" s="460">
        <f>AJ29/(AJ$28+AJ$29)</f>
        <v>0.62115107435507189</v>
      </c>
    </row>
    <row r="30" spans="1:38" s="53" customFormat="1" x14ac:dyDescent="0.3">
      <c r="A30" s="422" t="s">
        <v>115</v>
      </c>
      <c r="B30" s="461"/>
      <c r="C30" s="471">
        <f>SUM(C28:C29)</f>
        <v>377602.21714285715</v>
      </c>
      <c r="D30" s="463">
        <f>SUM(D27:D29)</f>
        <v>15303.755999999999</v>
      </c>
      <c r="E30" s="472">
        <f t="shared" ref="E30:AL30" si="0">SUM(E28:E29)</f>
        <v>1</v>
      </c>
      <c r="F30" s="471">
        <f t="shared" si="0"/>
        <v>251734.81142857147</v>
      </c>
      <c r="G30" s="463">
        <f>SUM(G27:G29)</f>
        <v>10202.504000000001</v>
      </c>
      <c r="H30" s="472">
        <f t="shared" si="0"/>
        <v>1</v>
      </c>
      <c r="I30" s="471">
        <f t="shared" si="0"/>
        <v>251734.81142857147</v>
      </c>
      <c r="J30" s="463">
        <f>SUM(J27:J29)</f>
        <v>10202.504000000001</v>
      </c>
      <c r="K30" s="472">
        <f t="shared" si="0"/>
        <v>1</v>
      </c>
      <c r="L30" s="471">
        <f t="shared" si="0"/>
        <v>377602.21714285715</v>
      </c>
      <c r="M30" s="463">
        <f>SUM(M27:M29)</f>
        <v>15303.755999999999</v>
      </c>
      <c r="N30" s="472">
        <f t="shared" si="0"/>
        <v>1</v>
      </c>
      <c r="O30" s="471">
        <f t="shared" si="0"/>
        <v>629337.0285714285</v>
      </c>
      <c r="P30" s="463">
        <f>SUM(P27:P29)</f>
        <v>25506.26</v>
      </c>
      <c r="Q30" s="472">
        <f t="shared" si="0"/>
        <v>1</v>
      </c>
      <c r="R30" s="471">
        <f t="shared" si="0"/>
        <v>881071.84</v>
      </c>
      <c r="S30" s="463">
        <f>SUM(S27:S29)</f>
        <v>35708.763999999996</v>
      </c>
      <c r="T30" s="472">
        <f t="shared" si="0"/>
        <v>1</v>
      </c>
      <c r="U30" s="471">
        <f t="shared" si="0"/>
        <v>1006939.2457142859</v>
      </c>
      <c r="V30" s="463">
        <f>SUM(V27:V29)</f>
        <v>40810.016000000003</v>
      </c>
      <c r="W30" s="472">
        <f t="shared" si="0"/>
        <v>1</v>
      </c>
      <c r="X30" s="462">
        <f t="shared" si="0"/>
        <v>755204.43428571429</v>
      </c>
      <c r="Y30" s="463">
        <f>SUM(Y27:Y29)</f>
        <v>30607.511999999999</v>
      </c>
      <c r="Z30" s="464">
        <f t="shared" si="0"/>
        <v>1</v>
      </c>
      <c r="AA30" s="471">
        <f t="shared" si="0"/>
        <v>629337.0285714285</v>
      </c>
      <c r="AB30" s="463">
        <f>SUM(AB27:AB29)</f>
        <v>25506.26</v>
      </c>
      <c r="AC30" s="472">
        <f t="shared" si="0"/>
        <v>1</v>
      </c>
      <c r="AD30" s="462">
        <f t="shared" si="0"/>
        <v>566403.32571428572</v>
      </c>
      <c r="AE30" s="463">
        <f>SUM(AE27:AE29)</f>
        <v>22955.633999999998</v>
      </c>
      <c r="AF30" s="464">
        <f t="shared" si="0"/>
        <v>1</v>
      </c>
      <c r="AG30" s="471">
        <f t="shared" si="0"/>
        <v>377602.21714285715</v>
      </c>
      <c r="AH30" s="463">
        <f>SUM(AH27:AH29)</f>
        <v>15303.755999999999</v>
      </c>
      <c r="AI30" s="466">
        <f t="shared" si="0"/>
        <v>1</v>
      </c>
      <c r="AJ30" s="462">
        <f t="shared" si="0"/>
        <v>503469.62285714294</v>
      </c>
      <c r="AK30" s="463">
        <f>SUM(AK27:AK29)</f>
        <v>20405.008000000002</v>
      </c>
      <c r="AL30" s="466">
        <f t="shared" si="0"/>
        <v>1</v>
      </c>
    </row>
    <row r="31" spans="1:38" s="53" customFormat="1" x14ac:dyDescent="0.3">
      <c r="A31" s="474"/>
      <c r="B31" s="475"/>
      <c r="C31" s="478"/>
      <c r="D31" s="479"/>
      <c r="E31" s="480"/>
      <c r="F31" s="478"/>
      <c r="G31" s="479"/>
      <c r="H31" s="480"/>
      <c r="I31" s="478"/>
      <c r="J31" s="479"/>
      <c r="K31" s="480"/>
      <c r="L31" s="478"/>
      <c r="M31" s="479"/>
      <c r="N31" s="480"/>
      <c r="O31" s="478"/>
      <c r="P31" s="479"/>
      <c r="Q31" s="480"/>
      <c r="R31" s="478"/>
      <c r="S31" s="479"/>
      <c r="T31" s="480"/>
      <c r="U31" s="478"/>
      <c r="V31" s="479"/>
      <c r="W31" s="480"/>
      <c r="X31" s="478"/>
      <c r="Y31" s="479"/>
      <c r="Z31" s="480"/>
      <c r="AA31" s="478"/>
      <c r="AB31" s="479"/>
      <c r="AC31" s="480"/>
      <c r="AD31" s="478"/>
      <c r="AE31" s="479"/>
      <c r="AF31" s="480"/>
      <c r="AG31" s="478"/>
      <c r="AH31" s="479"/>
      <c r="AI31" s="481"/>
      <c r="AJ31" s="478"/>
      <c r="AK31" s="479"/>
      <c r="AL31" s="482"/>
    </row>
    <row r="32" spans="1:38" s="60" customFormat="1" x14ac:dyDescent="0.3">
      <c r="A32" s="420" t="s">
        <v>108</v>
      </c>
      <c r="B32" s="56"/>
      <c r="C32" s="57"/>
      <c r="D32" s="58"/>
      <c r="E32" s="59"/>
      <c r="F32" s="58"/>
      <c r="G32" s="59"/>
      <c r="H32" s="58"/>
      <c r="I32" s="59"/>
      <c r="J32" s="58"/>
      <c r="K32" s="59"/>
      <c r="L32" s="58"/>
      <c r="M32" s="59"/>
      <c r="N32" s="58"/>
      <c r="O32" s="59"/>
      <c r="P32" s="58"/>
      <c r="Q32" s="59"/>
      <c r="R32" s="58"/>
      <c r="S32" s="59"/>
      <c r="T32" s="58"/>
      <c r="U32" s="59"/>
      <c r="V32" s="58"/>
      <c r="W32" s="59"/>
      <c r="X32" s="58"/>
      <c r="Y32" s="59"/>
      <c r="Z32" s="58"/>
      <c r="AL32" s="483"/>
    </row>
    <row r="33" spans="1:38" s="44" customFormat="1" hidden="1" x14ac:dyDescent="0.3">
      <c r="A33" s="459"/>
      <c r="B33" s="49"/>
      <c r="C33" s="50"/>
      <c r="D33" s="61">
        <f>((D27*Hipótesis!$D$57+D28*Hipótesis!$D$58+D29*Hipótesis!$D$59)/1024)/1000</f>
        <v>1.2624575172991073</v>
      </c>
      <c r="E33" s="55"/>
      <c r="F33" s="54"/>
      <c r="G33" s="61">
        <f>((G27*Hipótesis!$D$57+G28*Hipótesis!$D$58+G29*Hipótesis!$D$59)/1024)/1000</f>
        <v>0.84163834486607148</v>
      </c>
      <c r="H33" s="54"/>
      <c r="I33" s="55"/>
      <c r="J33" s="61">
        <f>((J27*Hipótesis!$D$57+J28*Hipótesis!$D$58+J29*Hipótesis!$D$59)/1024)/1000</f>
        <v>0.84163834486607148</v>
      </c>
      <c r="K33" s="55"/>
      <c r="L33" s="54"/>
      <c r="M33" s="61">
        <f>((M27*Hipótesis!$D$57+M28*Hipótesis!$D$58+M29*Hipótesis!$D$59)/1024)/1000</f>
        <v>1.2624575172991073</v>
      </c>
      <c r="N33" s="54"/>
      <c r="O33" s="55"/>
      <c r="P33" s="61">
        <f>((P27*Hipótesis!$D$57+P28*Hipótesis!$D$58+P29*Hipótesis!$D$59)/1024)/1000</f>
        <v>2.1040958621651784</v>
      </c>
      <c r="Q33" s="55"/>
      <c r="R33" s="54"/>
      <c r="S33" s="61">
        <f>((S27*Hipótesis!$D$57+S28*Hipótesis!$D$58+S29*Hipótesis!$D$59)/1024)/1000</f>
        <v>2.9457342070312502</v>
      </c>
      <c r="T33" s="54"/>
      <c r="U33" s="55"/>
      <c r="V33" s="61">
        <f>((V27*Hipótesis!$D$57+V28*Hipótesis!$D$58+V29*Hipótesis!$D$59)/1024)/1000</f>
        <v>3.3665533794642859</v>
      </c>
      <c r="W33" s="55"/>
      <c r="X33" s="54"/>
      <c r="Y33" s="61">
        <f>((Y27*Hipótesis!$D$57+Y28*Hipótesis!$D$58+Y29*Hipótesis!$D$59)/1024)/1000</f>
        <v>2.5249150345982145</v>
      </c>
      <c r="Z33" s="54"/>
      <c r="AB33" s="61">
        <f>((AB27*Hipótesis!$D$57+AB28*Hipótesis!$D$58+AB29*Hipótesis!$D$59)/1024)/1000</f>
        <v>2.1040958621651784</v>
      </c>
      <c r="AE33" s="61">
        <f>((AE27*Hipótesis!$D$57+AE28*Hipótesis!$D$58+AE29*Hipótesis!$D$59)/1024)/1000</f>
        <v>1.8936862759486608</v>
      </c>
      <c r="AH33" s="61">
        <f>((AH27*Hipótesis!$D$57+AH28*Hipótesis!$D$58+AH29*Hipótesis!$D$59)/1024)/1000</f>
        <v>1.2624575172991073</v>
      </c>
      <c r="AK33" s="61">
        <f>((AK27*Hipótesis!$D$57+AK28*Hipótesis!$D$58+AK29*Hipótesis!$D$59)/1024)/1000</f>
        <v>1.683276689732143</v>
      </c>
      <c r="AL33" s="249"/>
    </row>
    <row r="34" spans="1:38" s="44" customFormat="1" x14ac:dyDescent="0.3">
      <c r="A34" s="459" t="s">
        <v>277</v>
      </c>
      <c r="B34" s="118"/>
      <c r="C34" s="118"/>
      <c r="D34" s="118"/>
      <c r="E34" s="118"/>
      <c r="F34" s="54"/>
      <c r="G34" s="61"/>
      <c r="H34" s="54"/>
      <c r="I34" s="55"/>
      <c r="J34" s="61"/>
      <c r="K34" s="55"/>
      <c r="L34" s="54"/>
      <c r="M34" s="61"/>
      <c r="N34" s="54"/>
      <c r="O34" s="61"/>
      <c r="Q34" s="55"/>
      <c r="R34" s="62"/>
      <c r="T34" s="62"/>
      <c r="U34" s="55"/>
      <c r="V34" s="61"/>
      <c r="W34" s="55"/>
      <c r="X34" s="54"/>
      <c r="Y34" s="61"/>
      <c r="Z34" s="54"/>
      <c r="AB34" s="61"/>
      <c r="AE34" s="61"/>
      <c r="AH34" s="61"/>
      <c r="AK34" s="61"/>
      <c r="AL34" s="249"/>
    </row>
    <row r="35" spans="1:38" s="44" customFormat="1" x14ac:dyDescent="0.3">
      <c r="A35" s="459" t="s">
        <v>109</v>
      </c>
      <c r="B35" s="49"/>
      <c r="C35" s="50"/>
      <c r="D35" s="61"/>
      <c r="E35" s="55"/>
      <c r="F35" s="54"/>
      <c r="G35" s="61"/>
      <c r="H35" s="54"/>
      <c r="I35" s="55"/>
      <c r="J35" s="61"/>
      <c r="K35" s="55"/>
      <c r="L35" s="54"/>
      <c r="M35" s="61"/>
      <c r="N35" s="54"/>
      <c r="O35" s="55"/>
      <c r="P35" s="61"/>
      <c r="Q35" s="55"/>
      <c r="R35" s="44" t="s">
        <v>113</v>
      </c>
      <c r="T35" s="62"/>
      <c r="U35" s="55"/>
      <c r="V35" s="61"/>
      <c r="W35" s="55"/>
      <c r="X35" s="54"/>
      <c r="Y35" s="61"/>
      <c r="Z35" s="54"/>
      <c r="AB35" s="61"/>
      <c r="AE35" s="61"/>
      <c r="AH35" s="61"/>
      <c r="AJ35" s="44" t="s">
        <v>116</v>
      </c>
      <c r="AK35" s="61"/>
      <c r="AL35" s="249"/>
    </row>
    <row r="36" spans="1:38" s="44" customFormat="1" x14ac:dyDescent="0.3">
      <c r="A36" s="459" t="s">
        <v>64</v>
      </c>
      <c r="B36" s="49"/>
      <c r="C36" s="50"/>
      <c r="D36" s="61"/>
      <c r="E36" s="55"/>
      <c r="F36" s="54"/>
      <c r="G36" s="55"/>
      <c r="H36" s="54"/>
      <c r="I36" s="55"/>
      <c r="J36" s="54"/>
      <c r="K36" s="55"/>
      <c r="L36" s="54"/>
      <c r="M36" s="55"/>
      <c r="N36" s="54"/>
      <c r="O36" s="55"/>
      <c r="P36" s="54"/>
      <c r="Q36" s="55"/>
      <c r="R36" s="62">
        <v>1</v>
      </c>
      <c r="T36" s="62"/>
      <c r="U36" s="55"/>
      <c r="V36" s="54"/>
      <c r="W36" s="55"/>
      <c r="X36" s="54"/>
      <c r="Y36" s="55"/>
      <c r="Z36" s="54"/>
      <c r="AJ36" s="46">
        <v>1</v>
      </c>
      <c r="AL36" s="249"/>
    </row>
    <row r="37" spans="1:38" s="44" customFormat="1" x14ac:dyDescent="0.3">
      <c r="A37" s="459" t="s">
        <v>110</v>
      </c>
      <c r="B37" s="49"/>
      <c r="C37" s="50"/>
      <c r="D37" s="54"/>
      <c r="E37" s="55"/>
      <c r="F37" s="54"/>
      <c r="G37" s="55"/>
      <c r="H37" s="54"/>
      <c r="I37" s="55"/>
      <c r="J37" s="54"/>
      <c r="K37" s="55"/>
      <c r="L37" s="54"/>
      <c r="M37" s="55"/>
      <c r="N37" s="54"/>
      <c r="O37" s="55"/>
      <c r="P37" s="54"/>
      <c r="Q37" s="55"/>
      <c r="R37" s="62">
        <v>1</v>
      </c>
      <c r="T37" s="62"/>
      <c r="U37" s="55"/>
      <c r="V37" s="54"/>
      <c r="W37" s="55"/>
      <c r="X37" s="54"/>
      <c r="Y37" s="55"/>
      <c r="Z37" s="54"/>
      <c r="AJ37" s="46">
        <v>1</v>
      </c>
      <c r="AL37" s="249"/>
    </row>
    <row r="38" spans="1:38" s="44" customFormat="1" x14ac:dyDescent="0.3">
      <c r="A38" s="484" t="s">
        <v>111</v>
      </c>
      <c r="B38" s="485"/>
      <c r="C38" s="486"/>
      <c r="D38" s="487"/>
      <c r="E38" s="488"/>
      <c r="F38" s="487"/>
      <c r="G38" s="488"/>
      <c r="H38" s="487"/>
      <c r="I38" s="488"/>
      <c r="J38" s="487"/>
      <c r="K38" s="488"/>
      <c r="L38" s="487"/>
      <c r="M38" s="488"/>
      <c r="N38" s="487"/>
      <c r="O38" s="488"/>
      <c r="P38" s="487"/>
      <c r="Q38" s="488"/>
      <c r="R38" s="489">
        <v>1</v>
      </c>
      <c r="S38" s="187"/>
      <c r="T38" s="489"/>
      <c r="U38" s="488"/>
      <c r="V38" s="487"/>
      <c r="W38" s="488"/>
      <c r="X38" s="487"/>
      <c r="Y38" s="488"/>
      <c r="Z38" s="487"/>
      <c r="AA38" s="187"/>
      <c r="AB38" s="187"/>
      <c r="AC38" s="187"/>
      <c r="AD38" s="187"/>
      <c r="AE38" s="187"/>
      <c r="AF38" s="187"/>
      <c r="AG38" s="187"/>
      <c r="AH38" s="187"/>
      <c r="AI38" s="187"/>
      <c r="AJ38" s="490">
        <v>1</v>
      </c>
      <c r="AK38" s="187"/>
      <c r="AL38" s="491"/>
    </row>
    <row r="39" spans="1:38" s="44" customFormat="1" x14ac:dyDescent="0.3">
      <c r="A39" s="48"/>
      <c r="B39" s="49"/>
      <c r="C39" s="50"/>
      <c r="D39" s="54"/>
      <c r="E39" s="55"/>
      <c r="F39" s="54"/>
      <c r="G39" s="55"/>
      <c r="H39" s="54"/>
      <c r="I39" s="55"/>
      <c r="J39" s="54"/>
      <c r="K39" s="55"/>
      <c r="L39" s="54"/>
      <c r="M39" s="55"/>
      <c r="N39" s="54"/>
      <c r="O39" s="55"/>
      <c r="P39" s="54"/>
      <c r="Q39" s="55"/>
      <c r="R39" s="62"/>
      <c r="T39" s="62"/>
      <c r="U39" s="55"/>
      <c r="V39" s="54"/>
      <c r="W39" s="55"/>
      <c r="X39" s="54"/>
      <c r="Y39" s="55"/>
      <c r="Z39" s="54"/>
    </row>
    <row r="40" spans="1:38" x14ac:dyDescent="0.3">
      <c r="A40" s="19"/>
      <c r="B40" s="20"/>
      <c r="C40" s="23"/>
      <c r="D40" s="24"/>
      <c r="E40" s="22"/>
      <c r="F40" s="24"/>
      <c r="G40" s="22"/>
      <c r="H40" s="24"/>
      <c r="I40" s="22"/>
      <c r="J40" s="24"/>
      <c r="K40" s="22"/>
      <c r="L40" s="24"/>
      <c r="M40" s="22"/>
      <c r="N40" s="24"/>
      <c r="O40" s="22"/>
      <c r="P40" s="24"/>
      <c r="Q40" s="22"/>
      <c r="R40" s="24"/>
      <c r="S40" s="22"/>
      <c r="T40" s="24"/>
      <c r="U40" s="22"/>
      <c r="V40" s="24"/>
      <c r="W40" s="22"/>
      <c r="X40" s="24"/>
      <c r="Y40" s="22"/>
      <c r="Z40" s="24"/>
    </row>
    <row r="41" spans="1:38" s="37" customFormat="1" x14ac:dyDescent="0.3">
      <c r="A41" s="39" t="s">
        <v>102</v>
      </c>
      <c r="D41" s="38">
        <v>5.7142857142857141E-2</v>
      </c>
      <c r="G41" s="38">
        <v>3.8095238095238099E-2</v>
      </c>
      <c r="J41" s="38">
        <v>3.8095238095238099E-2</v>
      </c>
      <c r="M41" s="38">
        <v>5.7142857142857141E-2</v>
      </c>
      <c r="P41" s="38">
        <v>9.5238095238095233E-2</v>
      </c>
      <c r="S41" s="38">
        <v>0.13333333333333333</v>
      </c>
      <c r="T41" s="38"/>
      <c r="U41" s="38"/>
      <c r="V41" s="38">
        <v>0.15238095238095239</v>
      </c>
      <c r="W41" s="38"/>
      <c r="X41" s="38"/>
      <c r="Y41" s="38">
        <v>0.11428571428571428</v>
      </c>
      <c r="Z41" s="38"/>
      <c r="AA41" s="38"/>
      <c r="AB41" s="38">
        <v>9.5238095238095233E-2</v>
      </c>
      <c r="AE41" s="38">
        <v>8.5714285714285715E-2</v>
      </c>
      <c r="AH41" s="38">
        <v>5.7142857142857141E-2</v>
      </c>
      <c r="AK41" s="38">
        <v>7.6190476190476197E-2</v>
      </c>
    </row>
    <row r="42" spans="1:38" s="44" customFormat="1" x14ac:dyDescent="0.3">
      <c r="A42" s="81"/>
      <c r="B42" s="81"/>
      <c r="C42" s="735" t="s">
        <v>51</v>
      </c>
      <c r="D42" s="736"/>
      <c r="E42" s="736"/>
      <c r="F42" s="734" t="s">
        <v>52</v>
      </c>
      <c r="G42" s="734"/>
      <c r="H42" s="734"/>
      <c r="I42" s="726" t="s">
        <v>53</v>
      </c>
      <c r="J42" s="726"/>
      <c r="K42" s="726"/>
      <c r="L42" s="734" t="s">
        <v>54</v>
      </c>
      <c r="M42" s="734"/>
      <c r="N42" s="734"/>
      <c r="O42" s="726" t="s">
        <v>55</v>
      </c>
      <c r="P42" s="726"/>
      <c r="Q42" s="726"/>
      <c r="R42" s="734" t="s">
        <v>56</v>
      </c>
      <c r="S42" s="734"/>
      <c r="T42" s="734"/>
      <c r="U42" s="726" t="s">
        <v>57</v>
      </c>
      <c r="V42" s="726"/>
      <c r="W42" s="726"/>
      <c r="X42" s="734" t="s">
        <v>58</v>
      </c>
      <c r="Y42" s="734"/>
      <c r="Z42" s="734"/>
      <c r="AA42" s="726" t="s">
        <v>59</v>
      </c>
      <c r="AB42" s="726"/>
      <c r="AC42" s="726"/>
      <c r="AD42" s="734" t="s">
        <v>60</v>
      </c>
      <c r="AE42" s="734"/>
      <c r="AF42" s="734"/>
      <c r="AG42" s="726" t="s">
        <v>61</v>
      </c>
      <c r="AH42" s="726"/>
      <c r="AI42" s="726"/>
      <c r="AJ42" s="727" t="s">
        <v>62</v>
      </c>
      <c r="AK42" s="727"/>
      <c r="AL42" s="728"/>
    </row>
    <row r="43" spans="1:38" s="44" customFormat="1" x14ac:dyDescent="0.3">
      <c r="A43" s="492" t="s">
        <v>76</v>
      </c>
      <c r="B43" s="493" t="str">
        <f>Hipótesis!$C$76</f>
        <v>$AR</v>
      </c>
      <c r="C43" s="493" t="s">
        <v>78</v>
      </c>
      <c r="D43" s="494" t="s">
        <v>79</v>
      </c>
      <c r="E43" s="493" t="s">
        <v>100</v>
      </c>
      <c r="F43" s="495" t="s">
        <v>78</v>
      </c>
      <c r="G43" s="494" t="s">
        <v>79</v>
      </c>
      <c r="H43" s="496" t="s">
        <v>100</v>
      </c>
      <c r="I43" s="493" t="s">
        <v>78</v>
      </c>
      <c r="J43" s="494" t="s">
        <v>79</v>
      </c>
      <c r="K43" s="493" t="s">
        <v>100</v>
      </c>
      <c r="L43" s="495" t="s">
        <v>78</v>
      </c>
      <c r="M43" s="494" t="s">
        <v>79</v>
      </c>
      <c r="N43" s="496" t="s">
        <v>100</v>
      </c>
      <c r="O43" s="493" t="s">
        <v>78</v>
      </c>
      <c r="P43" s="494" t="s">
        <v>79</v>
      </c>
      <c r="Q43" s="493" t="s">
        <v>100</v>
      </c>
      <c r="R43" s="495" t="s">
        <v>78</v>
      </c>
      <c r="S43" s="494" t="s">
        <v>79</v>
      </c>
      <c r="T43" s="496" t="s">
        <v>100</v>
      </c>
      <c r="U43" s="493" t="s">
        <v>78</v>
      </c>
      <c r="V43" s="494" t="s">
        <v>79</v>
      </c>
      <c r="W43" s="493" t="s">
        <v>100</v>
      </c>
      <c r="X43" s="495" t="s">
        <v>78</v>
      </c>
      <c r="Y43" s="494" t="s">
        <v>79</v>
      </c>
      <c r="Z43" s="493" t="s">
        <v>100</v>
      </c>
      <c r="AA43" s="495" t="s">
        <v>78</v>
      </c>
      <c r="AB43" s="494" t="s">
        <v>79</v>
      </c>
      <c r="AC43" s="493" t="s">
        <v>100</v>
      </c>
      <c r="AD43" s="495" t="s">
        <v>78</v>
      </c>
      <c r="AE43" s="494" t="s">
        <v>79</v>
      </c>
      <c r="AF43" s="493" t="s">
        <v>100</v>
      </c>
      <c r="AG43" s="495" t="s">
        <v>78</v>
      </c>
      <c r="AH43" s="494" t="s">
        <v>79</v>
      </c>
      <c r="AI43" s="493" t="s">
        <v>100</v>
      </c>
      <c r="AJ43" s="495" t="s">
        <v>78</v>
      </c>
      <c r="AK43" s="494" t="s">
        <v>79</v>
      </c>
      <c r="AL43" s="496" t="s">
        <v>100</v>
      </c>
    </row>
    <row r="44" spans="1:38" s="47" customFormat="1" x14ac:dyDescent="0.3">
      <c r="A44" s="455" t="s">
        <v>107</v>
      </c>
      <c r="B44" s="45">
        <f>Hipótesis!D68</f>
        <v>0</v>
      </c>
      <c r="C44" s="45"/>
      <c r="D44" s="46">
        <f>Hipótesis!$F$28*D41*$H$7</f>
        <v>7069.8542857142857</v>
      </c>
      <c r="E44" s="45"/>
      <c r="F44" s="468"/>
      <c r="G44" s="46">
        <f>Hipótesis!$F$28*G41*$H$7</f>
        <v>4713.236190476191</v>
      </c>
      <c r="H44" s="456"/>
      <c r="I44" s="45"/>
      <c r="J44" s="46">
        <f>Hipótesis!$F$28*J41*$H$7</f>
        <v>4713.236190476191</v>
      </c>
      <c r="K44" s="45"/>
      <c r="L44" s="468"/>
      <c r="M44" s="46">
        <f>Hipótesis!$F$28*M41*$H$7</f>
        <v>7069.8542857142857</v>
      </c>
      <c r="N44" s="456"/>
      <c r="O44" s="45"/>
      <c r="P44" s="46">
        <f>Hipótesis!$F$28*P41*$H$7</f>
        <v>11783.090476190475</v>
      </c>
      <c r="Q44" s="45"/>
      <c r="R44" s="468"/>
      <c r="S44" s="46">
        <f>Hipótesis!$F$28*S41*$H$7</f>
        <v>16496.326666666668</v>
      </c>
      <c r="T44" s="456"/>
      <c r="U44" s="45"/>
      <c r="V44" s="46">
        <f>Hipótesis!$F$28*V41*$H$7</f>
        <v>18852.944761904764</v>
      </c>
      <c r="W44" s="45"/>
      <c r="X44" s="468"/>
      <c r="Y44" s="46">
        <f>Hipótesis!$F$28*Y41*$H$7</f>
        <v>14139.708571428571</v>
      </c>
      <c r="Z44" s="45"/>
      <c r="AA44" s="468"/>
      <c r="AB44" s="46">
        <f>Hipótesis!$F$28*AB41*$H$7</f>
        <v>11783.090476190475</v>
      </c>
      <c r="AC44" s="45"/>
      <c r="AD44" s="468"/>
      <c r="AE44" s="46">
        <f>Hipótesis!$F$28*AE41*$H$7</f>
        <v>10604.781428571428</v>
      </c>
      <c r="AF44" s="45"/>
      <c r="AG44" s="468"/>
      <c r="AH44" s="46">
        <f>Hipótesis!$F$28*AH41*$H$7</f>
        <v>7069.8542857142857</v>
      </c>
      <c r="AI44" s="45"/>
      <c r="AJ44" s="468"/>
      <c r="AK44" s="46">
        <f>Hipótesis!$F$28*AK41*$H$7</f>
        <v>9426.4723809523821</v>
      </c>
      <c r="AL44" s="456"/>
    </row>
    <row r="45" spans="1:38" s="44" customFormat="1" x14ac:dyDescent="0.3">
      <c r="A45" s="457" t="str">
        <f>Hipótesis!$A$78</f>
        <v>Experiencias</v>
      </c>
      <c r="B45" s="56">
        <f>Hipótesis!$D$52</f>
        <v>20</v>
      </c>
      <c r="C45" s="57">
        <f>$E$5*$H$7*D41</f>
        <v>238423.65714285715</v>
      </c>
      <c r="D45" s="453">
        <f>C45/$B45</f>
        <v>11921.182857142858</v>
      </c>
      <c r="E45" s="454">
        <f>C45/(C$45+C$46)</f>
        <v>0.37884892564492817</v>
      </c>
      <c r="F45" s="469">
        <f>$E$5*$H$7*G41</f>
        <v>158949.10476190477</v>
      </c>
      <c r="G45" s="453">
        <f>F45/$B45</f>
        <v>7947.4552380952391</v>
      </c>
      <c r="H45" s="458">
        <f>F45/(F$45+F$46)</f>
        <v>0.37884892564492811</v>
      </c>
      <c r="I45" s="57">
        <f>$E$5*$H$7*J41</f>
        <v>158949.10476190477</v>
      </c>
      <c r="J45" s="453">
        <f>I45/$B45</f>
        <v>7947.4552380952391</v>
      </c>
      <c r="K45" s="454">
        <f>I45/(I$45+I$46)</f>
        <v>0.37884892564492811</v>
      </c>
      <c r="L45" s="469">
        <f>$E$5*$H$7*M41</f>
        <v>238423.65714285715</v>
      </c>
      <c r="M45" s="453">
        <f>L45/$B45</f>
        <v>11921.182857142858</v>
      </c>
      <c r="N45" s="458">
        <f>L45/(L$45+L$46)</f>
        <v>0.37884892564492817</v>
      </c>
      <c r="O45" s="57">
        <f>$E$5*$H$7*P41</f>
        <v>397372.76190476189</v>
      </c>
      <c r="P45" s="453">
        <f>O45/$B45</f>
        <v>19868.638095238093</v>
      </c>
      <c r="Q45" s="454">
        <f>O45/(O$45+O$46)</f>
        <v>0.37884892564492811</v>
      </c>
      <c r="R45" s="469">
        <f>$E$5*$H$7*S41</f>
        <v>556321.8666666667</v>
      </c>
      <c r="S45" s="453">
        <f>R45/$B45</f>
        <v>27816.093333333334</v>
      </c>
      <c r="T45" s="458">
        <f>R45/(R$45+R$46)</f>
        <v>0.37884892564492811</v>
      </c>
      <c r="U45" s="57">
        <f>$E$5*$H$7*V41</f>
        <v>635796.4190476191</v>
      </c>
      <c r="V45" s="453">
        <f>U45/$B45</f>
        <v>31789.820952380956</v>
      </c>
      <c r="W45" s="454">
        <f>U45/(U$45+U$46)</f>
        <v>0.37884892564492811</v>
      </c>
      <c r="X45" s="469">
        <f>$E$5*$H$7*Y41</f>
        <v>476847.3142857143</v>
      </c>
      <c r="Y45" s="453">
        <f>X45/$B45</f>
        <v>23842.365714285716</v>
      </c>
      <c r="Z45" s="454">
        <f>X45/(X$45+X$46)</f>
        <v>0.37884892564492817</v>
      </c>
      <c r="AA45" s="469">
        <f>$E$5*$H$7*AB41</f>
        <v>397372.76190476189</v>
      </c>
      <c r="AB45" s="453">
        <f>AA45/$B45</f>
        <v>19868.638095238093</v>
      </c>
      <c r="AC45" s="454">
        <f>AA45/(AA$45+AA$46)</f>
        <v>0.37884892564492811</v>
      </c>
      <c r="AD45" s="469">
        <f>$E$5*$H$7*AE41</f>
        <v>357635.48571428569</v>
      </c>
      <c r="AE45" s="453">
        <f>AD45/$B45</f>
        <v>17881.774285714284</v>
      </c>
      <c r="AF45" s="454">
        <f>AD45/(AD$45+AD$46)</f>
        <v>0.37884892564492811</v>
      </c>
      <c r="AG45" s="469">
        <f>$E$5*$H$7*AH41</f>
        <v>238423.65714285715</v>
      </c>
      <c r="AH45" s="453">
        <f>AG45/$B45</f>
        <v>11921.182857142858</v>
      </c>
      <c r="AI45" s="454">
        <f>AG45/(AG$45+AG$46)</f>
        <v>0.37884892564492817</v>
      </c>
      <c r="AJ45" s="469">
        <f>$E$5*$H$7*AK41</f>
        <v>317898.20952380955</v>
      </c>
      <c r="AK45" s="453">
        <f>AJ45/$B45</f>
        <v>15894.910476190478</v>
      </c>
      <c r="AL45" s="458">
        <f>AJ45/(AJ$45+AJ$46)</f>
        <v>0.37884892564492811</v>
      </c>
    </row>
    <row r="46" spans="1:38" s="44" customFormat="1" x14ac:dyDescent="0.3">
      <c r="A46" s="459" t="str">
        <f>Hipótesis!$A$79</f>
        <v>Servicios</v>
      </c>
      <c r="B46" s="49">
        <f>Hipótesis!$D$53</f>
        <v>60</v>
      </c>
      <c r="C46" s="50">
        <f>$E$6*$H$7*D41</f>
        <v>390913.37142857141</v>
      </c>
      <c r="D46" s="51">
        <f>C46/$B46</f>
        <v>6515.2228571428568</v>
      </c>
      <c r="E46" s="52">
        <f>C46/(C$45+C$46)</f>
        <v>0.62115107435507189</v>
      </c>
      <c r="F46" s="470">
        <f>$E$6*$H$7*G41</f>
        <v>260608.9142857143</v>
      </c>
      <c r="G46" s="51">
        <f>F46/$B46</f>
        <v>4343.4819047619048</v>
      </c>
      <c r="H46" s="460">
        <f>F46/(F$45+F$46)</f>
        <v>0.62115107435507189</v>
      </c>
      <c r="I46" s="50">
        <f>$E$6*$H$7*J41</f>
        <v>260608.9142857143</v>
      </c>
      <c r="J46" s="51">
        <f>I46/$B46</f>
        <v>4343.4819047619048</v>
      </c>
      <c r="K46" s="52">
        <f>I46/(I$45+I$46)</f>
        <v>0.62115107435507189</v>
      </c>
      <c r="L46" s="470">
        <f>$E$6*$H$7*M41</f>
        <v>390913.37142857141</v>
      </c>
      <c r="M46" s="51">
        <f>L46/$B46</f>
        <v>6515.2228571428568</v>
      </c>
      <c r="N46" s="460">
        <f>L46/(L$45+L$46)</f>
        <v>0.62115107435507189</v>
      </c>
      <c r="O46" s="50">
        <f>$E$6*$H$7*P41</f>
        <v>651522.28571428568</v>
      </c>
      <c r="P46" s="51">
        <f>O46/$B46</f>
        <v>10858.704761904761</v>
      </c>
      <c r="Q46" s="52">
        <f>O46/(O$45+O$46)</f>
        <v>0.62115107435507189</v>
      </c>
      <c r="R46" s="470">
        <f>$E$6*$H$7*S41</f>
        <v>912131.2</v>
      </c>
      <c r="S46" s="51">
        <f>R46/$B46</f>
        <v>15202.186666666666</v>
      </c>
      <c r="T46" s="460">
        <f>R46/(R$45+R$46)</f>
        <v>0.62115107435507189</v>
      </c>
      <c r="U46" s="50">
        <f>$E$6*$H$7*V41</f>
        <v>1042435.6571428572</v>
      </c>
      <c r="V46" s="51">
        <f>U46/$B46</f>
        <v>17373.927619047619</v>
      </c>
      <c r="W46" s="52">
        <f>U46/(U$45+U$46)</f>
        <v>0.62115107435507189</v>
      </c>
      <c r="X46" s="470">
        <f>$E$6*$H$7*Y41</f>
        <v>781826.74285714282</v>
      </c>
      <c r="Y46" s="51">
        <f>X46/$B46</f>
        <v>13030.445714285714</v>
      </c>
      <c r="Z46" s="52">
        <f>X46/(X$45+X$46)</f>
        <v>0.62115107435507189</v>
      </c>
      <c r="AA46" s="470">
        <f>$E$6*$H$7*AB41</f>
        <v>651522.28571428568</v>
      </c>
      <c r="AB46" s="51">
        <f>AA46/$B46</f>
        <v>10858.704761904761</v>
      </c>
      <c r="AC46" s="52">
        <f>AA46/(AA$45+AA$46)</f>
        <v>0.62115107435507189</v>
      </c>
      <c r="AD46" s="470">
        <f>$E$6*$H$7*AE41</f>
        <v>586370.05714285711</v>
      </c>
      <c r="AE46" s="51">
        <f>AD46/$B46</f>
        <v>9772.8342857142852</v>
      </c>
      <c r="AF46" s="52">
        <f>AD46/(AD$45+AD$46)</f>
        <v>0.62115107435507189</v>
      </c>
      <c r="AG46" s="470">
        <f>$E$6*$H$7*AH41</f>
        <v>390913.37142857141</v>
      </c>
      <c r="AH46" s="51">
        <f>AG46/$B46</f>
        <v>6515.2228571428568</v>
      </c>
      <c r="AI46" s="52">
        <f>AG46/(AG$45+AG$46)</f>
        <v>0.62115107435507189</v>
      </c>
      <c r="AJ46" s="470">
        <f>$E$6*$H$7*AK41</f>
        <v>521217.8285714286</v>
      </c>
      <c r="AK46" s="51">
        <f>AJ46/$B46</f>
        <v>8686.9638095238097</v>
      </c>
      <c r="AL46" s="460">
        <f>AJ46/(AJ$45+AJ$46)</f>
        <v>0.62115107435507189</v>
      </c>
    </row>
    <row r="47" spans="1:38" s="53" customFormat="1" x14ac:dyDescent="0.3">
      <c r="A47" s="422" t="s">
        <v>115</v>
      </c>
      <c r="B47" s="461"/>
      <c r="C47" s="462">
        <f>SUM(C45:C46)</f>
        <v>629337.0285714285</v>
      </c>
      <c r="D47" s="463">
        <f>SUM(D44:D46)</f>
        <v>25506.260000000002</v>
      </c>
      <c r="E47" s="464">
        <f t="shared" ref="E47" si="1">SUM(E45:E46)</f>
        <v>1</v>
      </c>
      <c r="F47" s="471">
        <f t="shared" ref="F47" si="2">SUM(F45:F46)</f>
        <v>419558.01904761908</v>
      </c>
      <c r="G47" s="463">
        <f>SUM(G44:G46)</f>
        <v>17004.173333333336</v>
      </c>
      <c r="H47" s="472">
        <f t="shared" ref="H47" si="3">SUM(H45:H46)</f>
        <v>1</v>
      </c>
      <c r="I47" s="462">
        <f t="shared" ref="I47" si="4">SUM(I45:I46)</f>
        <v>419558.01904761908</v>
      </c>
      <c r="J47" s="463">
        <f>SUM(J44:J46)</f>
        <v>17004.173333333336</v>
      </c>
      <c r="K47" s="464">
        <f t="shared" ref="K47" si="5">SUM(K45:K46)</f>
        <v>1</v>
      </c>
      <c r="L47" s="471">
        <f t="shared" ref="L47" si="6">SUM(L45:L46)</f>
        <v>629337.0285714285</v>
      </c>
      <c r="M47" s="463">
        <f>SUM(M44:M46)</f>
        <v>25506.260000000002</v>
      </c>
      <c r="N47" s="472">
        <f t="shared" ref="N47" si="7">SUM(N45:N46)</f>
        <v>1</v>
      </c>
      <c r="O47" s="462">
        <f t="shared" ref="O47" si="8">SUM(O45:O46)</f>
        <v>1048895.0476190476</v>
      </c>
      <c r="P47" s="463">
        <f>SUM(P44:P46)</f>
        <v>42510.433333333327</v>
      </c>
      <c r="Q47" s="464">
        <f t="shared" ref="Q47" si="9">SUM(Q45:Q46)</f>
        <v>1</v>
      </c>
      <c r="R47" s="471">
        <f t="shared" ref="R47" si="10">SUM(R45:R46)</f>
        <v>1468453.0666666667</v>
      </c>
      <c r="S47" s="463">
        <f>SUM(S44:S46)</f>
        <v>59514.606666666667</v>
      </c>
      <c r="T47" s="472">
        <f t="shared" ref="T47" si="11">SUM(T45:T46)</f>
        <v>1</v>
      </c>
      <c r="U47" s="462">
        <f t="shared" ref="U47" si="12">SUM(U45:U46)</f>
        <v>1678232.0761904763</v>
      </c>
      <c r="V47" s="463">
        <f>SUM(V44:V46)</f>
        <v>68016.693333333344</v>
      </c>
      <c r="W47" s="464">
        <f t="shared" ref="W47" si="13">SUM(W45:W46)</f>
        <v>1</v>
      </c>
      <c r="X47" s="471">
        <f t="shared" ref="X47" si="14">SUM(X45:X46)</f>
        <v>1258674.057142857</v>
      </c>
      <c r="Y47" s="463">
        <f>SUM(Y44:Y46)</f>
        <v>51012.520000000004</v>
      </c>
      <c r="Z47" s="464">
        <f t="shared" ref="Z47" si="15">SUM(Z45:Z46)</f>
        <v>1</v>
      </c>
      <c r="AA47" s="471">
        <f t="shared" ref="AA47" si="16">SUM(AA45:AA46)</f>
        <v>1048895.0476190476</v>
      </c>
      <c r="AB47" s="463">
        <f>SUM(AB44:AB46)</f>
        <v>42510.433333333327</v>
      </c>
      <c r="AC47" s="464">
        <f t="shared" ref="AC47" si="17">SUM(AC45:AC46)</f>
        <v>1</v>
      </c>
      <c r="AD47" s="471">
        <f t="shared" ref="AD47" si="18">SUM(AD45:AD46)</f>
        <v>944005.54285714286</v>
      </c>
      <c r="AE47" s="463">
        <f>SUM(AE44:AE46)</f>
        <v>38259.39</v>
      </c>
      <c r="AF47" s="464">
        <f t="shared" ref="AF47" si="19">SUM(AF45:AF46)</f>
        <v>1</v>
      </c>
      <c r="AG47" s="471">
        <f t="shared" ref="AG47" si="20">SUM(AG45:AG46)</f>
        <v>629337.0285714285</v>
      </c>
      <c r="AH47" s="463">
        <f>SUM(AH44:AH46)</f>
        <v>25506.260000000002</v>
      </c>
      <c r="AI47" s="465">
        <f t="shared" ref="AI47" si="21">SUM(AI45:AI46)</f>
        <v>1</v>
      </c>
      <c r="AJ47" s="471">
        <f t="shared" ref="AJ47" si="22">SUM(AJ45:AJ46)</f>
        <v>839116.03809523815</v>
      </c>
      <c r="AK47" s="463">
        <f>SUM(AK44:AK46)</f>
        <v>34008.346666666672</v>
      </c>
      <c r="AL47" s="466">
        <f t="shared" ref="AL47" si="23">SUM(AL45:AL46)</f>
        <v>1</v>
      </c>
    </row>
    <row r="48" spans="1:38" s="53" customFormat="1" x14ac:dyDescent="0.3">
      <c r="A48" s="474"/>
      <c r="B48" s="475"/>
      <c r="C48" s="478"/>
      <c r="D48" s="479"/>
      <c r="E48" s="480"/>
      <c r="F48" s="478"/>
      <c r="G48" s="479"/>
      <c r="H48" s="480"/>
      <c r="I48" s="478"/>
      <c r="J48" s="479"/>
      <c r="K48" s="480"/>
      <c r="L48" s="478"/>
      <c r="M48" s="479"/>
      <c r="N48" s="480"/>
      <c r="O48" s="478"/>
      <c r="P48" s="479"/>
      <c r="Q48" s="480"/>
      <c r="R48" s="478"/>
      <c r="S48" s="479"/>
      <c r="T48" s="480"/>
      <c r="U48" s="478"/>
      <c r="V48" s="479"/>
      <c r="W48" s="480"/>
      <c r="X48" s="478"/>
      <c r="Y48" s="479"/>
      <c r="Z48" s="480"/>
      <c r="AA48" s="478"/>
      <c r="AB48" s="479"/>
      <c r="AC48" s="480"/>
      <c r="AD48" s="478"/>
      <c r="AE48" s="479"/>
      <c r="AF48" s="480"/>
      <c r="AG48" s="478"/>
      <c r="AH48" s="479"/>
      <c r="AI48" s="481"/>
      <c r="AJ48" s="478"/>
      <c r="AK48" s="479"/>
      <c r="AL48" s="482"/>
    </row>
    <row r="49" spans="1:38" s="44" customFormat="1" x14ac:dyDescent="0.3">
      <c r="A49" s="418" t="s">
        <v>108</v>
      </c>
      <c r="B49" s="49"/>
      <c r="C49" s="50"/>
      <c r="D49" s="51"/>
      <c r="E49" s="52"/>
      <c r="F49" s="50"/>
      <c r="G49" s="51"/>
      <c r="H49" s="52"/>
      <c r="I49" s="50"/>
      <c r="J49" s="51"/>
      <c r="K49" s="52"/>
      <c r="L49" s="50"/>
      <c r="M49" s="51"/>
      <c r="N49" s="52"/>
      <c r="O49" s="50"/>
      <c r="P49" s="51"/>
      <c r="Q49" s="52"/>
      <c r="R49" s="50"/>
      <c r="S49" s="51"/>
      <c r="T49" s="52"/>
      <c r="U49" s="50"/>
      <c r="V49" s="51"/>
      <c r="W49" s="52"/>
      <c r="X49" s="50"/>
      <c r="Y49" s="51"/>
      <c r="Z49" s="52"/>
      <c r="AA49" s="50"/>
      <c r="AB49" s="51"/>
      <c r="AC49" s="52"/>
      <c r="AD49" s="50"/>
      <c r="AE49" s="51"/>
      <c r="AF49" s="52"/>
      <c r="AG49" s="50"/>
      <c r="AH49" s="51"/>
      <c r="AI49" s="52"/>
      <c r="AJ49" s="50"/>
      <c r="AK49" s="51"/>
      <c r="AL49" s="460"/>
    </row>
    <row r="50" spans="1:38" s="44" customFormat="1" hidden="1" x14ac:dyDescent="0.3">
      <c r="A50" s="248"/>
      <c r="B50" s="49"/>
      <c r="C50" s="50"/>
      <c r="D50" s="61">
        <f>((D44*Hipótesis!$D$57+D45*Hipótesis!$D$58+D46*Hipótesis!$D$59)/1024)/1000</f>
        <v>2.1040958621651784</v>
      </c>
      <c r="E50" s="52"/>
      <c r="F50" s="50"/>
      <c r="G50" s="61">
        <f>((G44*Hipótesis!$D$57+G45*Hipótesis!$D$58+G46*Hipótesis!$D$59)/1024)/1000</f>
        <v>1.4027305747767858</v>
      </c>
      <c r="H50" s="52"/>
      <c r="I50" s="50"/>
      <c r="J50" s="61">
        <f>((J44*Hipótesis!$D$57+J45*Hipótesis!$D$58+J46*Hipótesis!$D$59)/1024)/1000</f>
        <v>1.4027305747767858</v>
      </c>
      <c r="K50" s="52"/>
      <c r="L50" s="50"/>
      <c r="M50" s="61">
        <f>((M44*Hipótesis!$D$57+M45*Hipótesis!$D$58+M46*Hipótesis!$D$59)/1024)/1000</f>
        <v>2.1040958621651784</v>
      </c>
      <c r="N50" s="52"/>
      <c r="O50" s="50"/>
      <c r="P50" s="61">
        <f>((P44*Hipótesis!$D$57+P45*Hipótesis!$D$58+P46*Hipótesis!$D$59)/1024)/1000</f>
        <v>3.5068264369419642</v>
      </c>
      <c r="Q50" s="52"/>
      <c r="R50" s="50"/>
      <c r="S50" s="61">
        <f>((S44*Hipótesis!$D$57+S45*Hipótesis!$D$58+S46*Hipótesis!$D$59)/1024)/1000</f>
        <v>4.9095570117187499</v>
      </c>
      <c r="T50" s="52"/>
      <c r="U50" s="50"/>
      <c r="V50" s="61">
        <f>((V44*Hipótesis!$D$57+V45*Hipótesis!$D$58+V46*Hipótesis!$D$59)/1024)/1000</f>
        <v>5.610922299107143</v>
      </c>
      <c r="W50" s="52"/>
      <c r="X50" s="50"/>
      <c r="Y50" s="61">
        <f>((Y44*Hipótesis!$D$57+Y45*Hipótesis!$D$58+Y46*Hipótesis!$D$59)/1024)/1000</f>
        <v>4.2081917243303568</v>
      </c>
      <c r="Z50" s="52"/>
      <c r="AA50" s="50"/>
      <c r="AB50" s="61">
        <f>((AB44*Hipótesis!$D$57+AB45*Hipótesis!$D$58+AB46*Hipótesis!$D$59)/1024)/1000</f>
        <v>3.5068264369419642</v>
      </c>
      <c r="AC50" s="52"/>
      <c r="AD50" s="50"/>
      <c r="AE50" s="61">
        <f>((AE44*Hipótesis!$D$57+AE45*Hipótesis!$D$58+AE46*Hipótesis!$D$59)/1024)/1000</f>
        <v>3.1561437932477676</v>
      </c>
      <c r="AF50" s="52"/>
      <c r="AG50" s="50"/>
      <c r="AH50" s="61">
        <f>((AH44*Hipótesis!$D$57+AH45*Hipótesis!$D$58+AH46*Hipótesis!$D$59)/1024)/1000</f>
        <v>2.1040958621651784</v>
      </c>
      <c r="AI50" s="52"/>
      <c r="AJ50" s="50"/>
      <c r="AK50" s="61">
        <f>((AK44*Hipótesis!$D$57+AK45*Hipótesis!$D$58+AK46*Hipótesis!$D$59)/1024)/1000</f>
        <v>2.8054611495535715</v>
      </c>
      <c r="AL50" s="460"/>
    </row>
    <row r="51" spans="1:38" s="44" customFormat="1" x14ac:dyDescent="0.3">
      <c r="A51" s="459" t="s">
        <v>277</v>
      </c>
      <c r="B51" s="49"/>
      <c r="C51" s="61"/>
      <c r="E51" s="55"/>
      <c r="F51" s="54"/>
      <c r="G51" s="61"/>
      <c r="H51" s="54"/>
      <c r="I51" s="55"/>
      <c r="J51" s="61"/>
      <c r="K51" s="55"/>
      <c r="L51" s="54"/>
      <c r="M51" s="61"/>
      <c r="N51" s="54"/>
      <c r="O51" s="61"/>
      <c r="Q51" s="55"/>
      <c r="R51" s="62"/>
      <c r="T51" s="62"/>
      <c r="U51" s="55"/>
      <c r="V51" s="61"/>
      <c r="W51" s="55"/>
      <c r="X51" s="54"/>
      <c r="Y51" s="61"/>
      <c r="Z51" s="54"/>
      <c r="AB51" s="61"/>
      <c r="AE51" s="61"/>
      <c r="AH51" s="61"/>
      <c r="AK51" s="61"/>
      <c r="AL51" s="249"/>
    </row>
    <row r="52" spans="1:38" s="44" customFormat="1" x14ac:dyDescent="0.3">
      <c r="A52" s="459" t="s">
        <v>109</v>
      </c>
      <c r="B52" s="49"/>
      <c r="E52" s="55"/>
      <c r="F52" s="54"/>
      <c r="G52" s="61"/>
      <c r="H52" s="54"/>
      <c r="I52" s="55"/>
      <c r="J52" s="61"/>
      <c r="K52" s="55"/>
      <c r="L52" s="54" t="s">
        <v>114</v>
      </c>
      <c r="M52" s="61" t="s">
        <v>155</v>
      </c>
      <c r="N52" s="54" t="s">
        <v>66</v>
      </c>
      <c r="Q52" s="55"/>
      <c r="T52" s="62"/>
      <c r="U52" s="55"/>
      <c r="V52" s="61"/>
      <c r="W52" s="55"/>
      <c r="X52" s="54"/>
      <c r="Y52" s="61"/>
      <c r="Z52" s="54"/>
      <c r="AB52" s="61"/>
      <c r="AE52" s="61"/>
      <c r="AH52" s="61"/>
      <c r="AJ52" s="54" t="s">
        <v>65</v>
      </c>
      <c r="AK52" s="61"/>
      <c r="AL52" s="249"/>
    </row>
    <row r="53" spans="1:38" s="44" customFormat="1" x14ac:dyDescent="0.3">
      <c r="A53" s="459" t="s">
        <v>64</v>
      </c>
      <c r="B53" s="49"/>
      <c r="E53" s="55"/>
      <c r="F53" s="54"/>
      <c r="G53" s="55"/>
      <c r="H53" s="54"/>
      <c r="I53" s="55"/>
      <c r="J53" s="54"/>
      <c r="K53" s="55"/>
      <c r="L53" s="62">
        <v>1</v>
      </c>
      <c r="M53" s="51">
        <v>1</v>
      </c>
      <c r="N53" s="54">
        <v>1</v>
      </c>
      <c r="Q53" s="55"/>
      <c r="R53" s="62"/>
      <c r="T53" s="62"/>
      <c r="U53" s="55"/>
      <c r="V53" s="54"/>
      <c r="W53" s="55"/>
      <c r="X53" s="54"/>
      <c r="Y53" s="55"/>
      <c r="Z53" s="54"/>
      <c r="AJ53" s="54">
        <v>1</v>
      </c>
      <c r="AL53" s="249"/>
    </row>
    <row r="54" spans="1:38" s="44" customFormat="1" x14ac:dyDescent="0.3">
      <c r="A54" s="459" t="s">
        <v>110</v>
      </c>
      <c r="B54" s="49"/>
      <c r="E54" s="55"/>
      <c r="F54" s="54"/>
      <c r="G54" s="55"/>
      <c r="H54" s="54"/>
      <c r="I54" s="55"/>
      <c r="J54" s="54"/>
      <c r="K54" s="55"/>
      <c r="L54" s="62">
        <v>1</v>
      </c>
      <c r="M54" s="51">
        <v>1</v>
      </c>
      <c r="N54" s="54">
        <v>1</v>
      </c>
      <c r="Q54" s="55"/>
      <c r="R54" s="62"/>
      <c r="T54" s="62"/>
      <c r="U54" s="55"/>
      <c r="V54" s="54"/>
      <c r="W54" s="55"/>
      <c r="X54" s="54"/>
      <c r="Y54" s="55"/>
      <c r="Z54" s="54"/>
      <c r="AJ54" s="54">
        <v>1</v>
      </c>
      <c r="AL54" s="249"/>
    </row>
    <row r="55" spans="1:38" s="44" customFormat="1" x14ac:dyDescent="0.3">
      <c r="A55" s="484" t="s">
        <v>111</v>
      </c>
      <c r="B55" s="485"/>
      <c r="C55" s="187"/>
      <c r="D55" s="187"/>
      <c r="E55" s="488"/>
      <c r="F55" s="487"/>
      <c r="G55" s="488"/>
      <c r="H55" s="487"/>
      <c r="I55" s="488"/>
      <c r="J55" s="487"/>
      <c r="K55" s="488"/>
      <c r="L55" s="489">
        <v>1</v>
      </c>
      <c r="M55" s="498">
        <v>1</v>
      </c>
      <c r="N55" s="487">
        <v>1</v>
      </c>
      <c r="O55" s="187"/>
      <c r="P55" s="187"/>
      <c r="Q55" s="488"/>
      <c r="R55" s="489"/>
      <c r="S55" s="187"/>
      <c r="T55" s="489"/>
      <c r="U55" s="488"/>
      <c r="V55" s="487"/>
      <c r="W55" s="488"/>
      <c r="X55" s="487"/>
      <c r="Y55" s="488"/>
      <c r="Z55" s="487"/>
      <c r="AA55" s="187"/>
      <c r="AB55" s="187"/>
      <c r="AC55" s="187"/>
      <c r="AD55" s="187"/>
      <c r="AE55" s="187"/>
      <c r="AF55" s="187"/>
      <c r="AG55" s="187"/>
      <c r="AH55" s="187"/>
      <c r="AI55" s="187"/>
      <c r="AJ55" s="487">
        <v>1</v>
      </c>
      <c r="AK55" s="187"/>
      <c r="AL55" s="491"/>
    </row>
    <row r="56" spans="1:38" x14ac:dyDescent="0.3">
      <c r="A56" s="19"/>
      <c r="B56" s="20"/>
      <c r="C56" s="23"/>
      <c r="D56" s="43"/>
      <c r="E56" s="22"/>
      <c r="F56" s="26"/>
      <c r="G56" s="43"/>
      <c r="H56" s="26"/>
      <c r="I56" s="22"/>
      <c r="J56" s="43"/>
      <c r="K56" s="22"/>
      <c r="L56" s="26"/>
      <c r="M56" s="43"/>
      <c r="N56" s="26"/>
      <c r="O56" s="22"/>
      <c r="P56" s="43"/>
      <c r="Q56" s="22"/>
      <c r="R56" s="26"/>
      <c r="S56" s="43"/>
      <c r="T56" s="26"/>
      <c r="U56" s="22"/>
      <c r="V56" s="43"/>
      <c r="W56" s="22"/>
      <c r="X56" s="26"/>
      <c r="Y56" s="43"/>
      <c r="Z56" s="26"/>
      <c r="AB56" s="43"/>
      <c r="AE56" s="43"/>
      <c r="AH56" s="43"/>
      <c r="AK56" s="43"/>
    </row>
    <row r="57" spans="1:38" x14ac:dyDescent="0.3">
      <c r="A57" s="19"/>
      <c r="B57" s="20"/>
      <c r="C57" s="23"/>
      <c r="D57" s="40"/>
      <c r="E57" s="41"/>
      <c r="F57" s="23"/>
      <c r="G57" s="40"/>
      <c r="H57" s="41"/>
      <c r="I57" s="23"/>
      <c r="J57" s="40"/>
      <c r="K57" s="41"/>
      <c r="L57" s="23"/>
      <c r="M57" s="40"/>
      <c r="N57" s="41"/>
      <c r="O57" s="23"/>
      <c r="P57" s="40"/>
      <c r="Q57" s="41"/>
      <c r="R57" s="23"/>
      <c r="S57" s="40"/>
      <c r="T57" s="41"/>
      <c r="U57" s="23"/>
      <c r="V57" s="40"/>
      <c r="W57" s="41"/>
      <c r="X57" s="23"/>
      <c r="Y57" s="40"/>
      <c r="Z57" s="41"/>
      <c r="AA57" s="23"/>
      <c r="AB57" s="40"/>
      <c r="AC57" s="41"/>
      <c r="AD57" s="23"/>
      <c r="AE57" s="40"/>
      <c r="AF57" s="41"/>
      <c r="AG57" s="23"/>
      <c r="AH57" s="40"/>
      <c r="AI57" s="41"/>
      <c r="AJ57" s="23"/>
      <c r="AK57" s="40"/>
      <c r="AL57" s="41"/>
    </row>
    <row r="58" spans="1:38" s="37" customFormat="1" x14ac:dyDescent="0.3">
      <c r="A58" s="39" t="s">
        <v>102</v>
      </c>
      <c r="D58" s="38">
        <v>5.7142857142857141E-2</v>
      </c>
      <c r="G58" s="38">
        <v>3.8095238095238099E-2</v>
      </c>
      <c r="J58" s="38">
        <v>3.8095238095238099E-2</v>
      </c>
      <c r="M58" s="38">
        <v>5.7142857142857141E-2</v>
      </c>
      <c r="P58" s="38">
        <v>9.5238095238095233E-2</v>
      </c>
      <c r="S58" s="38">
        <v>0.13333333333333333</v>
      </c>
      <c r="T58" s="38"/>
      <c r="U58" s="38"/>
      <c r="V58" s="38">
        <v>0.15238095238095239</v>
      </c>
      <c r="W58" s="38"/>
      <c r="X58" s="38"/>
      <c r="Y58" s="38">
        <v>0.11428571428571428</v>
      </c>
      <c r="Z58" s="38"/>
      <c r="AA58" s="38"/>
      <c r="AB58" s="38">
        <v>9.5238095238095233E-2</v>
      </c>
      <c r="AE58" s="38">
        <v>8.5714285714285715E-2</v>
      </c>
      <c r="AH58" s="38">
        <v>5.7142857142857141E-2</v>
      </c>
      <c r="AK58" s="38">
        <v>7.6190476190476197E-2</v>
      </c>
    </row>
    <row r="59" spans="1:38" x14ac:dyDescent="0.3">
      <c r="A59" s="4"/>
      <c r="B59" s="4"/>
      <c r="C59" s="729" t="s">
        <v>51</v>
      </c>
      <c r="D59" s="730"/>
      <c r="E59" s="730"/>
      <c r="F59" s="731" t="s">
        <v>52</v>
      </c>
      <c r="G59" s="731"/>
      <c r="H59" s="731"/>
      <c r="I59" s="732" t="s">
        <v>53</v>
      </c>
      <c r="J59" s="732"/>
      <c r="K59" s="732"/>
      <c r="L59" s="731" t="s">
        <v>54</v>
      </c>
      <c r="M59" s="731"/>
      <c r="N59" s="731"/>
      <c r="O59" s="732" t="s">
        <v>55</v>
      </c>
      <c r="P59" s="732"/>
      <c r="Q59" s="732"/>
      <c r="R59" s="731" t="s">
        <v>56</v>
      </c>
      <c r="S59" s="731"/>
      <c r="T59" s="731"/>
      <c r="U59" s="732" t="s">
        <v>57</v>
      </c>
      <c r="V59" s="732"/>
      <c r="W59" s="732"/>
      <c r="X59" s="731" t="s">
        <v>58</v>
      </c>
      <c r="Y59" s="731"/>
      <c r="Z59" s="731"/>
      <c r="AA59" s="732" t="s">
        <v>59</v>
      </c>
      <c r="AB59" s="732"/>
      <c r="AC59" s="732"/>
      <c r="AD59" s="731" t="s">
        <v>60</v>
      </c>
      <c r="AE59" s="731"/>
      <c r="AF59" s="731"/>
      <c r="AG59" s="732" t="s">
        <v>61</v>
      </c>
      <c r="AH59" s="732"/>
      <c r="AI59" s="732"/>
      <c r="AJ59" s="731" t="s">
        <v>62</v>
      </c>
      <c r="AK59" s="731"/>
      <c r="AL59" s="733"/>
    </row>
    <row r="60" spans="1:38" x14ac:dyDescent="0.3">
      <c r="A60" s="492" t="s">
        <v>76</v>
      </c>
      <c r="B60" s="493" t="str">
        <f>Hipótesis!$C$76</f>
        <v>$AR</v>
      </c>
      <c r="C60" s="493" t="s">
        <v>78</v>
      </c>
      <c r="D60" s="494" t="s">
        <v>79</v>
      </c>
      <c r="E60" s="493" t="s">
        <v>100</v>
      </c>
      <c r="F60" s="493" t="s">
        <v>78</v>
      </c>
      <c r="G60" s="494" t="s">
        <v>79</v>
      </c>
      <c r="H60" s="493" t="s">
        <v>100</v>
      </c>
      <c r="I60" s="493" t="s">
        <v>78</v>
      </c>
      <c r="J60" s="494" t="s">
        <v>79</v>
      </c>
      <c r="K60" s="493" t="s">
        <v>100</v>
      </c>
      <c r="L60" s="493" t="s">
        <v>78</v>
      </c>
      <c r="M60" s="494" t="s">
        <v>79</v>
      </c>
      <c r="N60" s="493" t="s">
        <v>100</v>
      </c>
      <c r="O60" s="493" t="s">
        <v>78</v>
      </c>
      <c r="P60" s="494" t="s">
        <v>79</v>
      </c>
      <c r="Q60" s="493" t="s">
        <v>100</v>
      </c>
      <c r="R60" s="493" t="s">
        <v>78</v>
      </c>
      <c r="S60" s="494" t="s">
        <v>79</v>
      </c>
      <c r="T60" s="493" t="s">
        <v>100</v>
      </c>
      <c r="U60" s="493" t="s">
        <v>78</v>
      </c>
      <c r="V60" s="494" t="s">
        <v>79</v>
      </c>
      <c r="W60" s="493" t="s">
        <v>100</v>
      </c>
      <c r="X60" s="493" t="s">
        <v>78</v>
      </c>
      <c r="Y60" s="494" t="s">
        <v>79</v>
      </c>
      <c r="Z60" s="493" t="s">
        <v>100</v>
      </c>
      <c r="AA60" s="493" t="s">
        <v>78</v>
      </c>
      <c r="AB60" s="494" t="s">
        <v>79</v>
      </c>
      <c r="AC60" s="493" t="s">
        <v>100</v>
      </c>
      <c r="AD60" s="493" t="s">
        <v>78</v>
      </c>
      <c r="AE60" s="494" t="s">
        <v>79</v>
      </c>
      <c r="AF60" s="493" t="s">
        <v>100</v>
      </c>
      <c r="AG60" s="493" t="s">
        <v>78</v>
      </c>
      <c r="AH60" s="494" t="s">
        <v>79</v>
      </c>
      <c r="AI60" s="493" t="s">
        <v>100</v>
      </c>
      <c r="AJ60" s="493" t="s">
        <v>78</v>
      </c>
      <c r="AK60" s="494" t="s">
        <v>79</v>
      </c>
      <c r="AL60" s="496" t="s">
        <v>100</v>
      </c>
    </row>
    <row r="61" spans="1:38" x14ac:dyDescent="0.3">
      <c r="A61" s="455" t="s">
        <v>107</v>
      </c>
      <c r="B61" s="45">
        <f>Hipótesis!D85</f>
        <v>0</v>
      </c>
      <c r="C61" s="475"/>
      <c r="D61" s="499">
        <f>Hipótesis!$F$28*D58*$I$7</f>
        <v>9897.7960000000003</v>
      </c>
      <c r="E61" s="475"/>
      <c r="F61" s="475"/>
      <c r="G61" s="499">
        <f>Hipótesis!$F$28*G58*$I$7</f>
        <v>6598.5306666666675</v>
      </c>
      <c r="H61" s="475"/>
      <c r="I61" s="475"/>
      <c r="J61" s="499">
        <f>Hipótesis!$F$28*J58*$I$7</f>
        <v>6598.5306666666675</v>
      </c>
      <c r="K61" s="475"/>
      <c r="L61" s="475"/>
      <c r="M61" s="499">
        <f>Hipótesis!$F$28*M58*$I$7</f>
        <v>9897.7960000000003</v>
      </c>
      <c r="N61" s="475"/>
      <c r="O61" s="475"/>
      <c r="P61" s="499">
        <f>Hipótesis!$F$28*P58*$I$7</f>
        <v>16496.326666666668</v>
      </c>
      <c r="Q61" s="475"/>
      <c r="R61" s="475"/>
      <c r="S61" s="499">
        <f>Hipótesis!$F$28*S58*$I$7</f>
        <v>23094.857333333333</v>
      </c>
      <c r="T61" s="475"/>
      <c r="U61" s="475"/>
      <c r="V61" s="499">
        <f>Hipótesis!$F$28*V58*$I$7</f>
        <v>26394.12266666667</v>
      </c>
      <c r="W61" s="475"/>
      <c r="X61" s="475"/>
      <c r="Y61" s="499">
        <f>Hipótesis!$F$28*Y58*$I$7</f>
        <v>19795.592000000001</v>
      </c>
      <c r="Z61" s="475"/>
      <c r="AA61" s="475"/>
      <c r="AB61" s="499">
        <f>Hipótesis!$F$28*AB58*$I$7</f>
        <v>16496.326666666668</v>
      </c>
      <c r="AC61" s="475"/>
      <c r="AD61" s="475"/>
      <c r="AE61" s="499">
        <f>Hipótesis!$F$28*AE58*$I$7</f>
        <v>14846.694000000001</v>
      </c>
      <c r="AF61" s="475"/>
      <c r="AG61" s="475"/>
      <c r="AH61" s="499">
        <f>Hipótesis!$F$28*AH58*$I$7</f>
        <v>9897.7960000000003</v>
      </c>
      <c r="AI61" s="475"/>
      <c r="AJ61" s="475"/>
      <c r="AK61" s="499">
        <f>Hipótesis!$F$28*AK58*$I$7</f>
        <v>13197.061333333335</v>
      </c>
      <c r="AL61" s="467"/>
    </row>
    <row r="62" spans="1:38" x14ac:dyDescent="0.3">
      <c r="A62" s="457" t="str">
        <f>Hipótesis!$A$78</f>
        <v>Experiencias</v>
      </c>
      <c r="B62" s="56">
        <f>Hipótesis!$D$52</f>
        <v>20</v>
      </c>
      <c r="C62" s="57">
        <f>$E$5*$I$7*D58</f>
        <v>333793.12</v>
      </c>
      <c r="D62" s="453">
        <f>C62/$B62</f>
        <v>16689.655999999999</v>
      </c>
      <c r="E62" s="454">
        <f>C62/(C$62+C$63)</f>
        <v>0.37884892564492806</v>
      </c>
      <c r="F62" s="57">
        <f>$E$5*$I$7*G58</f>
        <v>222528.7466666667</v>
      </c>
      <c r="G62" s="453">
        <f>F62/$B62</f>
        <v>11126.437333333335</v>
      </c>
      <c r="H62" s="454">
        <f>F62/(F$62+F$63)</f>
        <v>0.37884892564492811</v>
      </c>
      <c r="I62" s="57">
        <f>$E$5*$I$7*J58</f>
        <v>222528.7466666667</v>
      </c>
      <c r="J62" s="453">
        <f>I62/$B62</f>
        <v>11126.437333333335</v>
      </c>
      <c r="K62" s="454">
        <f>I62/(I$62+I$63)</f>
        <v>0.37884892564492811</v>
      </c>
      <c r="L62" s="57">
        <f>$E$5*$I$7*M58</f>
        <v>333793.12</v>
      </c>
      <c r="M62" s="453">
        <f>L62/$B62</f>
        <v>16689.655999999999</v>
      </c>
      <c r="N62" s="454">
        <f>L62/(L$62+L$63)</f>
        <v>0.37884892564492806</v>
      </c>
      <c r="O62" s="57">
        <f>$E$5*$I$7*P58</f>
        <v>556321.8666666667</v>
      </c>
      <c r="P62" s="453">
        <f>O62/$B62</f>
        <v>27816.093333333334</v>
      </c>
      <c r="Q62" s="454">
        <f>O62/(O$62+O$63)</f>
        <v>0.37884892564492806</v>
      </c>
      <c r="R62" s="57">
        <f>$E$5*$I$7*S58</f>
        <v>778850.6133333334</v>
      </c>
      <c r="S62" s="453">
        <f>R62/$B62</f>
        <v>38942.530666666673</v>
      </c>
      <c r="T62" s="454">
        <f>R62/(R$62+R$63)</f>
        <v>0.37884892564492811</v>
      </c>
      <c r="U62" s="57">
        <f>$E$5*$I$7*V58</f>
        <v>890114.98666666681</v>
      </c>
      <c r="V62" s="453">
        <f>U62/$B62</f>
        <v>44505.74933333334</v>
      </c>
      <c r="W62" s="454">
        <f>U62/(U$62+U$63)</f>
        <v>0.37884892564492811</v>
      </c>
      <c r="X62" s="57">
        <f>$E$5*$I$7*Y58</f>
        <v>667586.24</v>
      </c>
      <c r="Y62" s="453">
        <f>X62/$B62</f>
        <v>33379.311999999998</v>
      </c>
      <c r="Z62" s="454">
        <f>X62/(X$62+X$63)</f>
        <v>0.37884892564492806</v>
      </c>
      <c r="AA62" s="57">
        <f>$E$5*$I$7*AB58</f>
        <v>556321.8666666667</v>
      </c>
      <c r="AB62" s="453">
        <f>AA62/$B62</f>
        <v>27816.093333333334</v>
      </c>
      <c r="AC62" s="454">
        <f>AA62/(AA$62+AA$63)</f>
        <v>0.37884892564492806</v>
      </c>
      <c r="AD62" s="57">
        <f>$E$5*$I$7*AE58</f>
        <v>500689.68000000005</v>
      </c>
      <c r="AE62" s="453">
        <f>AD62/$B62</f>
        <v>25034.484000000004</v>
      </c>
      <c r="AF62" s="454">
        <f>AD62/(AD$62+AD$63)</f>
        <v>0.37884892564492806</v>
      </c>
      <c r="AG62" s="57">
        <f>$E$5*$I$7*AH58</f>
        <v>333793.12</v>
      </c>
      <c r="AH62" s="453">
        <f>AG62/$B62</f>
        <v>16689.655999999999</v>
      </c>
      <c r="AI62" s="454">
        <f>AG62/(AG$62+AG$63)</f>
        <v>0.37884892564492806</v>
      </c>
      <c r="AJ62" s="57">
        <f>$E$5*$I$7*AK58</f>
        <v>445057.4933333334</v>
      </c>
      <c r="AK62" s="453">
        <f>AJ62/$B62</f>
        <v>22252.87466666667</v>
      </c>
      <c r="AL62" s="458">
        <f>AJ62/(AJ$62+AJ$63)</f>
        <v>0.37884892564492811</v>
      </c>
    </row>
    <row r="63" spans="1:38" x14ac:dyDescent="0.3">
      <c r="A63" s="459" t="str">
        <f>Hipótesis!$A$79</f>
        <v>Servicios</v>
      </c>
      <c r="B63" s="49">
        <f>Hipótesis!$D$53</f>
        <v>60</v>
      </c>
      <c r="C63" s="50">
        <f>$E$6*$I$7*D58</f>
        <v>547278.72000000009</v>
      </c>
      <c r="D63" s="51">
        <f>C63/$B63</f>
        <v>9121.3120000000017</v>
      </c>
      <c r="E63" s="52">
        <f>C63/(C$62+C$63)</f>
        <v>0.62115107435507189</v>
      </c>
      <c r="F63" s="50">
        <f>$E$6*$I$7*G58</f>
        <v>364852.4800000001</v>
      </c>
      <c r="G63" s="51">
        <f>F63/$B63</f>
        <v>6080.8746666666684</v>
      </c>
      <c r="H63" s="52">
        <f>F63/(F$62+F$63)</f>
        <v>0.62115107435507189</v>
      </c>
      <c r="I63" s="50">
        <f>$E$6*$I$7*J58</f>
        <v>364852.4800000001</v>
      </c>
      <c r="J63" s="51">
        <f>I63/$B63</f>
        <v>6080.8746666666684</v>
      </c>
      <c r="K63" s="52">
        <f>I63/(I$62+I$63)</f>
        <v>0.62115107435507189</v>
      </c>
      <c r="L63" s="50">
        <f>$E$6*$I$7*M58</f>
        <v>547278.72000000009</v>
      </c>
      <c r="M63" s="51">
        <f>L63/$B63</f>
        <v>9121.3120000000017</v>
      </c>
      <c r="N63" s="52">
        <f>L63/(L$62+L$63)</f>
        <v>0.62115107435507189</v>
      </c>
      <c r="O63" s="50">
        <f>$E$6*$I$7*P58</f>
        <v>912131.20000000007</v>
      </c>
      <c r="P63" s="51">
        <f>O63/$B63</f>
        <v>15202.186666666668</v>
      </c>
      <c r="Q63" s="52">
        <f>O63/(O$62+O$63)</f>
        <v>0.62115107435507189</v>
      </c>
      <c r="R63" s="50">
        <f>$E$6*$I$7*S58</f>
        <v>1276983.6800000002</v>
      </c>
      <c r="S63" s="51">
        <f>R63/$B63</f>
        <v>21283.061333333335</v>
      </c>
      <c r="T63" s="52">
        <f>R63/(R$62+R$63)</f>
        <v>0.62115107435507189</v>
      </c>
      <c r="U63" s="50">
        <f>$E$6*$I$7*V58</f>
        <v>1459409.9200000004</v>
      </c>
      <c r="V63" s="51">
        <f>U63/$B63</f>
        <v>24323.498666666674</v>
      </c>
      <c r="W63" s="52">
        <f>U63/(U$62+U$63)</f>
        <v>0.62115107435507189</v>
      </c>
      <c r="X63" s="50">
        <f>$E$6*$I$7*Y58</f>
        <v>1094557.4400000002</v>
      </c>
      <c r="Y63" s="51">
        <f>X63/$B63</f>
        <v>18242.624000000003</v>
      </c>
      <c r="Z63" s="52">
        <f>X63/(X$62+X$63)</f>
        <v>0.62115107435507189</v>
      </c>
      <c r="AA63" s="50">
        <f>$E$6*$I$7*AB58</f>
        <v>912131.20000000007</v>
      </c>
      <c r="AB63" s="51">
        <f>AA63/$B63</f>
        <v>15202.186666666668</v>
      </c>
      <c r="AC63" s="52">
        <f>AA63/(AA$62+AA$63)</f>
        <v>0.62115107435507189</v>
      </c>
      <c r="AD63" s="50">
        <f>$E$6*$I$7*AE58</f>
        <v>820918.08000000019</v>
      </c>
      <c r="AE63" s="51">
        <f>AD63/$B63</f>
        <v>13681.968000000003</v>
      </c>
      <c r="AF63" s="52">
        <f>AD63/(AD$62+AD$63)</f>
        <v>0.62115107435507189</v>
      </c>
      <c r="AG63" s="50">
        <f>$E$6*$I$7*AH58</f>
        <v>547278.72000000009</v>
      </c>
      <c r="AH63" s="51">
        <f>AG63/$B63</f>
        <v>9121.3120000000017</v>
      </c>
      <c r="AI63" s="52">
        <f>AG63/(AG$62+AG$63)</f>
        <v>0.62115107435507189</v>
      </c>
      <c r="AJ63" s="50">
        <f>$E$6*$I$7*AK58</f>
        <v>729704.9600000002</v>
      </c>
      <c r="AK63" s="51">
        <f>AJ63/$B63</f>
        <v>12161.749333333337</v>
      </c>
      <c r="AL63" s="460">
        <f>AJ63/(AJ$62+AJ$63)</f>
        <v>0.62115107435507189</v>
      </c>
    </row>
    <row r="64" spans="1:38" s="53" customFormat="1" x14ac:dyDescent="0.3">
      <c r="A64" s="422" t="s">
        <v>115</v>
      </c>
      <c r="B64" s="461"/>
      <c r="C64" s="462">
        <f>SUM(C62:C63)</f>
        <v>881071.84000000008</v>
      </c>
      <c r="D64" s="463">
        <f>SUM(D61:D63)</f>
        <v>35708.763999999996</v>
      </c>
      <c r="E64" s="464">
        <f t="shared" ref="E64" si="24">SUM(E62:E63)</f>
        <v>1</v>
      </c>
      <c r="F64" s="462">
        <f t="shared" ref="F64" si="25">SUM(F62:F63)</f>
        <v>587381.2266666668</v>
      </c>
      <c r="G64" s="463">
        <f>SUM(G61:G63)</f>
        <v>23805.842666666671</v>
      </c>
      <c r="H64" s="464">
        <f t="shared" ref="H64" si="26">SUM(H62:H63)</f>
        <v>1</v>
      </c>
      <c r="I64" s="462">
        <f t="shared" ref="I64" si="27">SUM(I62:I63)</f>
        <v>587381.2266666668</v>
      </c>
      <c r="J64" s="463">
        <f>SUM(J61:J63)</f>
        <v>23805.842666666671</v>
      </c>
      <c r="K64" s="464">
        <f t="shared" ref="K64" si="28">SUM(K62:K63)</f>
        <v>1</v>
      </c>
      <c r="L64" s="462">
        <f t="shared" ref="L64" si="29">SUM(L62:L63)</f>
        <v>881071.84000000008</v>
      </c>
      <c r="M64" s="463">
        <f>SUM(M61:M63)</f>
        <v>35708.763999999996</v>
      </c>
      <c r="N64" s="464">
        <f t="shared" ref="N64" si="30">SUM(N62:N63)</f>
        <v>1</v>
      </c>
      <c r="O64" s="462">
        <f t="shared" ref="O64" si="31">SUM(O62:O63)</f>
        <v>1468453.0666666669</v>
      </c>
      <c r="P64" s="463">
        <f>SUM(P61:P63)</f>
        <v>59514.606666666667</v>
      </c>
      <c r="Q64" s="464">
        <f t="shared" ref="Q64" si="32">SUM(Q62:Q63)</f>
        <v>1</v>
      </c>
      <c r="R64" s="462">
        <f t="shared" ref="R64" si="33">SUM(R62:R63)</f>
        <v>2055834.2933333335</v>
      </c>
      <c r="S64" s="463">
        <f>SUM(S61:S63)</f>
        <v>83320.449333333338</v>
      </c>
      <c r="T64" s="464">
        <f t="shared" ref="T64" si="34">SUM(T62:T63)</f>
        <v>1</v>
      </c>
      <c r="U64" s="462">
        <f t="shared" ref="U64" si="35">SUM(U62:U63)</f>
        <v>2349524.9066666672</v>
      </c>
      <c r="V64" s="463">
        <f>SUM(V61:V63)</f>
        <v>95223.370666666684</v>
      </c>
      <c r="W64" s="464">
        <f t="shared" ref="W64" si="36">SUM(W62:W63)</f>
        <v>1</v>
      </c>
      <c r="X64" s="462">
        <f t="shared" ref="X64" si="37">SUM(X62:X63)</f>
        <v>1762143.6800000002</v>
      </c>
      <c r="Y64" s="463">
        <f>SUM(Y61:Y63)</f>
        <v>71417.527999999991</v>
      </c>
      <c r="Z64" s="464">
        <f t="shared" ref="Z64" si="38">SUM(Z62:Z63)</f>
        <v>1</v>
      </c>
      <c r="AA64" s="462">
        <f t="shared" ref="AA64" si="39">SUM(AA62:AA63)</f>
        <v>1468453.0666666669</v>
      </c>
      <c r="AB64" s="463">
        <f>SUM(AB61:AB63)</f>
        <v>59514.606666666667</v>
      </c>
      <c r="AC64" s="464">
        <f t="shared" ref="AC64" si="40">SUM(AC62:AC63)</f>
        <v>1</v>
      </c>
      <c r="AD64" s="462">
        <f t="shared" ref="AD64" si="41">SUM(AD62:AD63)</f>
        <v>1321607.7600000002</v>
      </c>
      <c r="AE64" s="463">
        <f>SUM(AE61:AE63)</f>
        <v>53563.146000000008</v>
      </c>
      <c r="AF64" s="464">
        <f t="shared" ref="AF64" si="42">SUM(AF62:AF63)</f>
        <v>1</v>
      </c>
      <c r="AG64" s="462">
        <f t="shared" ref="AG64" si="43">SUM(AG62:AG63)</f>
        <v>881071.84000000008</v>
      </c>
      <c r="AH64" s="463">
        <f>SUM(AH61:AH63)</f>
        <v>35708.763999999996</v>
      </c>
      <c r="AI64" s="465">
        <f t="shared" ref="AI64" si="44">SUM(AI62:AI63)</f>
        <v>1</v>
      </c>
      <c r="AJ64" s="462">
        <f t="shared" ref="AJ64" si="45">SUM(AJ62:AJ63)</f>
        <v>1174762.4533333336</v>
      </c>
      <c r="AK64" s="463">
        <f>SUM(AK61:AK63)</f>
        <v>47611.685333333342</v>
      </c>
      <c r="AL64" s="466">
        <f t="shared" ref="AL64" si="46">SUM(AL62:AL63)</f>
        <v>1</v>
      </c>
    </row>
    <row r="65" spans="1:38" x14ac:dyDescent="0.3">
      <c r="A65" s="459"/>
      <c r="B65" s="49"/>
      <c r="C65" s="50"/>
      <c r="D65" s="51"/>
      <c r="E65" s="52"/>
      <c r="F65" s="50"/>
      <c r="G65" s="51"/>
      <c r="H65" s="52"/>
      <c r="I65" s="50"/>
      <c r="J65" s="51"/>
      <c r="K65" s="52"/>
      <c r="L65" s="50"/>
      <c r="M65" s="51"/>
      <c r="N65" s="52"/>
      <c r="O65" s="50"/>
      <c r="P65" s="51"/>
      <c r="Q65" s="52"/>
      <c r="R65" s="50"/>
      <c r="S65" s="51"/>
      <c r="T65" s="52"/>
      <c r="U65" s="50"/>
      <c r="V65" s="51"/>
      <c r="W65" s="52"/>
      <c r="X65" s="50"/>
      <c r="Y65" s="51"/>
      <c r="Z65" s="52"/>
      <c r="AA65" s="50"/>
      <c r="AB65" s="51"/>
      <c r="AC65" s="52"/>
      <c r="AD65" s="50"/>
      <c r="AE65" s="51"/>
      <c r="AF65" s="52"/>
      <c r="AG65" s="50"/>
      <c r="AH65" s="51"/>
      <c r="AI65" s="52"/>
      <c r="AJ65" s="50"/>
      <c r="AK65" s="51"/>
      <c r="AL65" s="460"/>
    </row>
    <row r="66" spans="1:38" x14ac:dyDescent="0.3">
      <c r="A66" s="418" t="s">
        <v>108</v>
      </c>
      <c r="B66" s="49"/>
      <c r="C66" s="50"/>
      <c r="D66" s="51"/>
      <c r="E66" s="52"/>
      <c r="F66" s="50"/>
      <c r="G66" s="51"/>
      <c r="H66" s="52"/>
      <c r="I66" s="50"/>
      <c r="J66" s="51"/>
      <c r="K66" s="52"/>
      <c r="L66" s="50"/>
      <c r="M66" s="51"/>
      <c r="N66" s="52"/>
      <c r="O66" s="50"/>
      <c r="P66" s="51"/>
      <c r="Q66" s="52"/>
      <c r="R66" s="50"/>
      <c r="S66" s="51"/>
      <c r="T66" s="52"/>
      <c r="U66" s="50"/>
      <c r="V66" s="51"/>
      <c r="W66" s="52"/>
      <c r="X66" s="50"/>
      <c r="Y66" s="51"/>
      <c r="Z66" s="52"/>
      <c r="AA66" s="50"/>
      <c r="AB66" s="51"/>
      <c r="AC66" s="52"/>
      <c r="AD66" s="50"/>
      <c r="AE66" s="51"/>
      <c r="AF66" s="52"/>
      <c r="AG66" s="50"/>
      <c r="AH66" s="51"/>
      <c r="AI66" s="52"/>
      <c r="AJ66" s="50"/>
      <c r="AK66" s="51"/>
      <c r="AL66" s="460"/>
    </row>
    <row r="67" spans="1:38" hidden="1" x14ac:dyDescent="0.3">
      <c r="A67" s="459"/>
      <c r="B67" s="49"/>
      <c r="C67" s="50"/>
      <c r="D67" s="61">
        <f>((D61*Hipótesis!$D$57+D62*Hipótesis!$D$58+D63*Hipótesis!$D$59)/1024)/1000</f>
        <v>2.9457342070312507</v>
      </c>
      <c r="E67" s="50"/>
      <c r="F67" s="50"/>
      <c r="G67" s="61">
        <f>((G61*Hipótesis!$D$57+G62*Hipótesis!$D$58+G63*Hipótesis!$D$59)/1024)/1000</f>
        <v>1.9638228046875006</v>
      </c>
      <c r="H67" s="50"/>
      <c r="I67" s="50"/>
      <c r="J67" s="61">
        <f>((J61*Hipótesis!$D$57+J62*Hipótesis!$D$58+J63*Hipótesis!$D$59)/1024)/1000</f>
        <v>1.9638228046875006</v>
      </c>
      <c r="K67" s="50"/>
      <c r="L67" s="50"/>
      <c r="M67" s="61">
        <f>((M61*Hipótesis!$D$57+M62*Hipótesis!$D$58+M63*Hipótesis!$D$59)/1024)/1000</f>
        <v>2.9457342070312507</v>
      </c>
      <c r="N67" s="50"/>
      <c r="O67" s="55"/>
      <c r="P67" s="61">
        <f>((P61*Hipótesis!$D$57+P62*Hipótesis!$D$58+P63*Hipótesis!$D$59)/1024)/1000</f>
        <v>4.9095570117187508</v>
      </c>
      <c r="Q67" s="55"/>
      <c r="R67" s="54"/>
      <c r="S67" s="61">
        <f>((S61*Hipótesis!$D$57+S62*Hipótesis!$D$58+S63*Hipótesis!$D$59)/1024)/1000</f>
        <v>6.8733798164062501</v>
      </c>
      <c r="T67" s="54"/>
      <c r="U67" s="55"/>
      <c r="V67" s="61">
        <f>((V61*Hipótesis!$D$57+V62*Hipótesis!$D$58+V63*Hipótesis!$D$59)/1024)/1000</f>
        <v>7.8552912187500024</v>
      </c>
      <c r="W67" s="55"/>
      <c r="X67" s="54"/>
      <c r="Y67" s="61">
        <f>((Y61*Hipótesis!$D$57+Y62*Hipótesis!$D$58+Y63*Hipótesis!$D$59)/1024)/1000</f>
        <v>5.8914684140625013</v>
      </c>
      <c r="Z67" s="54"/>
      <c r="AA67" s="44"/>
      <c r="AB67" s="61">
        <f>((AB61*Hipótesis!$D$57+AB62*Hipótesis!$D$58+AB63*Hipótesis!$D$59)/1024)/1000</f>
        <v>4.9095570117187508</v>
      </c>
      <c r="AC67" s="44"/>
      <c r="AD67" s="44"/>
      <c r="AE67" s="61">
        <f>((AE61*Hipótesis!$D$57+AE62*Hipótesis!$D$58+AE63*Hipótesis!$D$59)/1024)/1000</f>
        <v>4.4186013105468751</v>
      </c>
      <c r="AF67" s="44"/>
      <c r="AG67" s="44"/>
      <c r="AH67" s="61">
        <f>((AH61*Hipótesis!$D$57+AH62*Hipótesis!$D$58+AH63*Hipótesis!$D$59)/1024)/1000</f>
        <v>2.9457342070312507</v>
      </c>
      <c r="AI67" s="44"/>
      <c r="AJ67" s="44"/>
      <c r="AK67" s="61">
        <f>((AK61*Hipótesis!$D$57+AK62*Hipótesis!$D$58+AK63*Hipótesis!$D$59)/1024)/1000</f>
        <v>3.9276456093750012</v>
      </c>
      <c r="AL67" s="249"/>
    </row>
    <row r="68" spans="1:38" x14ac:dyDescent="0.3">
      <c r="A68" s="459" t="s">
        <v>277</v>
      </c>
      <c r="B68" s="49"/>
      <c r="C68" s="50"/>
      <c r="D68" s="61"/>
      <c r="E68" s="55"/>
      <c r="F68" s="54"/>
      <c r="G68" s="61"/>
      <c r="H68" s="54"/>
      <c r="I68" s="55"/>
      <c r="J68" s="61"/>
      <c r="K68" s="55"/>
      <c r="L68" s="54"/>
      <c r="M68" s="61"/>
      <c r="N68" s="54"/>
      <c r="O68" s="55"/>
      <c r="P68" s="61"/>
      <c r="Q68" s="55"/>
      <c r="R68" s="54"/>
      <c r="S68" s="61"/>
      <c r="T68" s="54"/>
      <c r="U68" s="55"/>
      <c r="V68" s="61"/>
      <c r="W68" s="55"/>
      <c r="X68" s="54"/>
      <c r="Y68" s="61"/>
      <c r="Z68" s="54"/>
      <c r="AA68" s="44"/>
      <c r="AB68" s="61"/>
      <c r="AC68" s="44"/>
      <c r="AD68" s="44"/>
      <c r="AE68" s="61"/>
      <c r="AF68" s="44"/>
      <c r="AG68" s="44"/>
      <c r="AH68" s="61"/>
      <c r="AI68" s="44"/>
      <c r="AJ68" s="44"/>
      <c r="AK68" s="61"/>
      <c r="AL68" s="249"/>
    </row>
    <row r="69" spans="1:38" s="44" customFormat="1" x14ac:dyDescent="0.3">
      <c r="A69" s="459" t="s">
        <v>109</v>
      </c>
      <c r="B69" s="49"/>
      <c r="E69" s="55"/>
      <c r="F69" s="54"/>
      <c r="G69" s="61"/>
      <c r="H69" s="54"/>
      <c r="I69" s="55"/>
      <c r="J69" s="61"/>
      <c r="K69" s="55"/>
      <c r="L69" s="54" t="s">
        <v>154</v>
      </c>
      <c r="M69" s="54" t="s">
        <v>114</v>
      </c>
      <c r="N69" s="54"/>
      <c r="Q69" s="55"/>
      <c r="T69" s="62"/>
      <c r="V69" s="61"/>
      <c r="W69" s="55"/>
      <c r="X69" s="54"/>
      <c r="Y69" s="61"/>
      <c r="Z69" s="54"/>
      <c r="AB69" s="61"/>
      <c r="AD69" s="54" t="s">
        <v>114</v>
      </c>
      <c r="AH69" s="61"/>
      <c r="AK69" s="61"/>
      <c r="AL69" s="249"/>
    </row>
    <row r="70" spans="1:38" s="44" customFormat="1" x14ac:dyDescent="0.3">
      <c r="A70" s="459" t="s">
        <v>64</v>
      </c>
      <c r="B70" s="49"/>
      <c r="E70" s="55"/>
      <c r="F70" s="54"/>
      <c r="G70" s="55"/>
      <c r="H70" s="54"/>
      <c r="I70" s="55"/>
      <c r="J70" s="54"/>
      <c r="K70" s="55"/>
      <c r="L70" s="62">
        <v>1</v>
      </c>
      <c r="M70" s="62">
        <v>1</v>
      </c>
      <c r="N70" s="54"/>
      <c r="Q70" s="55"/>
      <c r="R70" s="62"/>
      <c r="T70" s="62"/>
      <c r="V70" s="54"/>
      <c r="W70" s="55"/>
      <c r="X70" s="54"/>
      <c r="Y70" s="55"/>
      <c r="Z70" s="54"/>
      <c r="AD70" s="62">
        <v>1</v>
      </c>
      <c r="AL70" s="249"/>
    </row>
    <row r="71" spans="1:38" s="44" customFormat="1" x14ac:dyDescent="0.3">
      <c r="A71" s="459" t="s">
        <v>110</v>
      </c>
      <c r="B71" s="49"/>
      <c r="E71" s="55"/>
      <c r="F71" s="54"/>
      <c r="G71" s="55"/>
      <c r="H71" s="54"/>
      <c r="I71" s="55"/>
      <c r="J71" s="54"/>
      <c r="K71" s="55"/>
      <c r="L71" s="62">
        <v>1</v>
      </c>
      <c r="M71" s="62">
        <v>1</v>
      </c>
      <c r="N71" s="54"/>
      <c r="Q71" s="55"/>
      <c r="R71" s="62"/>
      <c r="T71" s="62"/>
      <c r="V71" s="54"/>
      <c r="W71" s="55"/>
      <c r="X71" s="54"/>
      <c r="Y71" s="55"/>
      <c r="Z71" s="54"/>
      <c r="AD71" s="62">
        <v>1</v>
      </c>
      <c r="AL71" s="249"/>
    </row>
    <row r="72" spans="1:38" s="44" customFormat="1" x14ac:dyDescent="0.3">
      <c r="A72" s="484" t="s">
        <v>111</v>
      </c>
      <c r="B72" s="485"/>
      <c r="C72" s="187"/>
      <c r="D72" s="187"/>
      <c r="E72" s="488"/>
      <c r="F72" s="487"/>
      <c r="G72" s="488"/>
      <c r="H72" s="487"/>
      <c r="I72" s="488"/>
      <c r="J72" s="487"/>
      <c r="K72" s="488"/>
      <c r="L72" s="489">
        <v>1</v>
      </c>
      <c r="M72" s="489">
        <v>1</v>
      </c>
      <c r="N72" s="487"/>
      <c r="O72" s="187"/>
      <c r="P72" s="187"/>
      <c r="Q72" s="488"/>
      <c r="R72" s="489"/>
      <c r="S72" s="187"/>
      <c r="T72" s="489"/>
      <c r="U72" s="187"/>
      <c r="V72" s="487"/>
      <c r="W72" s="488"/>
      <c r="X72" s="487"/>
      <c r="Y72" s="488"/>
      <c r="Z72" s="487"/>
      <c r="AA72" s="187"/>
      <c r="AB72" s="187"/>
      <c r="AC72" s="187"/>
      <c r="AD72" s="489">
        <v>1</v>
      </c>
      <c r="AE72" s="187"/>
      <c r="AF72" s="187"/>
      <c r="AG72" s="187"/>
      <c r="AH72" s="187"/>
      <c r="AI72" s="187"/>
      <c r="AJ72" s="187"/>
      <c r="AK72" s="187"/>
      <c r="AL72" s="491"/>
    </row>
    <row r="74" spans="1:38" x14ac:dyDescent="0.3">
      <c r="A74" s="6" t="s">
        <v>451</v>
      </c>
    </row>
    <row r="75" spans="1:38" ht="43.2" x14ac:dyDescent="0.3">
      <c r="A75" s="628" t="s">
        <v>373</v>
      </c>
      <c r="B75" s="629" t="s">
        <v>374</v>
      </c>
      <c r="C75" s="629" t="s">
        <v>375</v>
      </c>
      <c r="D75" s="629" t="s">
        <v>460</v>
      </c>
      <c r="E75" s="629" t="s">
        <v>376</v>
      </c>
      <c r="F75" s="629" t="s">
        <v>377</v>
      </c>
      <c r="G75" s="629" t="s">
        <v>378</v>
      </c>
      <c r="H75" s="710" t="s">
        <v>142</v>
      </c>
      <c r="I75" s="711"/>
      <c r="J75" s="711"/>
      <c r="K75" s="712"/>
      <c r="M75" s="6" t="s">
        <v>409</v>
      </c>
    </row>
    <row r="76" spans="1:38" x14ac:dyDescent="0.3">
      <c r="A76" s="713" t="s">
        <v>221</v>
      </c>
      <c r="B76" s="715" t="s">
        <v>379</v>
      </c>
      <c r="C76" s="619" t="s">
        <v>380</v>
      </c>
      <c r="D76" s="622">
        <v>1</v>
      </c>
      <c r="E76" s="622">
        <v>1</v>
      </c>
      <c r="F76" s="622">
        <v>5000</v>
      </c>
      <c r="G76" s="622">
        <f>D76*E76*F76</f>
        <v>5000</v>
      </c>
      <c r="H76" s="248"/>
      <c r="I76" s="44"/>
      <c r="J76" s="44"/>
      <c r="K76" s="249"/>
      <c r="M76" t="s">
        <v>395</v>
      </c>
    </row>
    <row r="77" spans="1:38" x14ac:dyDescent="0.3">
      <c r="A77" s="713"/>
      <c r="B77" s="715"/>
      <c r="C77" s="619" t="s">
        <v>381</v>
      </c>
      <c r="D77" s="623">
        <v>1</v>
      </c>
      <c r="E77" s="623">
        <v>3</v>
      </c>
      <c r="F77" s="623">
        <v>4500</v>
      </c>
      <c r="G77" s="623">
        <f>D77*E77*F77</f>
        <v>13500</v>
      </c>
      <c r="H77" s="248"/>
      <c r="I77" s="44"/>
      <c r="J77" s="44"/>
      <c r="K77" s="249"/>
      <c r="M77" t="s">
        <v>396</v>
      </c>
    </row>
    <row r="78" spans="1:38" x14ac:dyDescent="0.3">
      <c r="A78" s="713"/>
      <c r="B78" s="715"/>
      <c r="C78" s="619" t="s">
        <v>382</v>
      </c>
      <c r="D78" s="623">
        <v>1</v>
      </c>
      <c r="E78" s="623">
        <v>4</v>
      </c>
      <c r="F78" s="623">
        <v>3000</v>
      </c>
      <c r="G78" s="623">
        <f>D78*E78*F78</f>
        <v>12000</v>
      </c>
      <c r="H78" s="248"/>
      <c r="I78" s="44"/>
      <c r="J78" s="44"/>
      <c r="K78" s="249"/>
      <c r="M78" t="s">
        <v>397</v>
      </c>
    </row>
    <row r="79" spans="1:38" x14ac:dyDescent="0.3">
      <c r="A79" s="713"/>
      <c r="B79" s="715"/>
      <c r="C79" s="620"/>
      <c r="D79" s="624"/>
      <c r="E79" s="624"/>
      <c r="F79" s="624"/>
      <c r="G79" s="625">
        <f>SUM(G76:G78)</f>
        <v>30500</v>
      </c>
      <c r="H79" s="248"/>
      <c r="I79" s="44"/>
      <c r="J79" s="44"/>
      <c r="K79" s="249"/>
      <c r="M79" t="s">
        <v>398</v>
      </c>
    </row>
    <row r="80" spans="1:38" x14ac:dyDescent="0.3">
      <c r="A80" s="248"/>
      <c r="B80" s="619"/>
      <c r="C80" s="619"/>
      <c r="D80" s="623"/>
      <c r="E80" s="623"/>
      <c r="F80" s="623"/>
      <c r="G80" s="623"/>
      <c r="H80" s="248"/>
      <c r="I80" s="44"/>
      <c r="J80" s="44"/>
      <c r="K80" s="249"/>
      <c r="M80" t="s">
        <v>399</v>
      </c>
    </row>
    <row r="81" spans="1:13" ht="14.4" customHeight="1" x14ac:dyDescent="0.3">
      <c r="A81" s="713" t="s">
        <v>383</v>
      </c>
      <c r="B81" s="715" t="s">
        <v>384</v>
      </c>
      <c r="C81" s="619" t="s">
        <v>381</v>
      </c>
      <c r="D81" s="623">
        <v>1</v>
      </c>
      <c r="E81" s="623">
        <v>3</v>
      </c>
      <c r="F81" s="623">
        <v>4500</v>
      </c>
      <c r="G81" s="623">
        <f>D81*E81*F81</f>
        <v>13500</v>
      </c>
      <c r="H81" s="717" t="s">
        <v>385</v>
      </c>
      <c r="I81" s="718"/>
      <c r="J81" s="718"/>
      <c r="K81" s="616"/>
      <c r="M81" t="s">
        <v>400</v>
      </c>
    </row>
    <row r="82" spans="1:13" x14ac:dyDescent="0.3">
      <c r="A82" s="713"/>
      <c r="B82" s="715"/>
      <c r="C82" s="620"/>
      <c r="D82" s="624"/>
      <c r="E82" s="624"/>
      <c r="F82" s="624"/>
      <c r="G82" s="625">
        <f>G79+G81</f>
        <v>44000</v>
      </c>
      <c r="H82" s="717"/>
      <c r="I82" s="718"/>
      <c r="J82" s="718"/>
      <c r="K82" s="616"/>
      <c r="M82" t="s">
        <v>401</v>
      </c>
    </row>
    <row r="83" spans="1:13" x14ac:dyDescent="0.3">
      <c r="A83" s="248"/>
      <c r="B83" s="619"/>
      <c r="C83" s="619"/>
      <c r="D83" s="623"/>
      <c r="E83" s="623"/>
      <c r="F83" s="623"/>
      <c r="G83" s="623"/>
      <c r="H83" s="618"/>
      <c r="I83" s="617"/>
      <c r="J83" s="617"/>
      <c r="K83" s="616"/>
      <c r="M83" t="s">
        <v>402</v>
      </c>
    </row>
    <row r="84" spans="1:13" ht="14.4" customHeight="1" x14ac:dyDescent="0.3">
      <c r="A84" s="713" t="s">
        <v>386</v>
      </c>
      <c r="B84" s="715" t="s">
        <v>387</v>
      </c>
      <c r="C84" s="619" t="s">
        <v>381</v>
      </c>
      <c r="D84" s="623">
        <v>1</v>
      </c>
      <c r="E84" s="623">
        <v>3</v>
      </c>
      <c r="F84" s="623">
        <v>4500</v>
      </c>
      <c r="G84" s="623">
        <f>D84*E84*F84</f>
        <v>13500</v>
      </c>
      <c r="H84" s="717" t="s">
        <v>388</v>
      </c>
      <c r="I84" s="718"/>
      <c r="J84" s="718"/>
      <c r="K84" s="719"/>
      <c r="M84" t="s">
        <v>403</v>
      </c>
    </row>
    <row r="85" spans="1:13" x14ac:dyDescent="0.3">
      <c r="A85" s="713"/>
      <c r="B85" s="715"/>
      <c r="C85" s="619" t="s">
        <v>382</v>
      </c>
      <c r="D85" s="623">
        <v>1</v>
      </c>
      <c r="E85" s="623">
        <v>4</v>
      </c>
      <c r="F85" s="623">
        <v>3000</v>
      </c>
      <c r="G85" s="623">
        <f>D85*E85*F85</f>
        <v>12000</v>
      </c>
      <c r="H85" s="717"/>
      <c r="I85" s="718"/>
      <c r="J85" s="718"/>
      <c r="K85" s="719"/>
      <c r="M85" t="s">
        <v>404</v>
      </c>
    </row>
    <row r="86" spans="1:13" x14ac:dyDescent="0.3">
      <c r="A86" s="713"/>
      <c r="B86" s="715"/>
      <c r="C86" s="620"/>
      <c r="D86" s="624"/>
      <c r="E86" s="624"/>
      <c r="F86" s="624"/>
      <c r="G86" s="625">
        <f>SUM(G82:G85)</f>
        <v>69500</v>
      </c>
      <c r="H86" s="717"/>
      <c r="I86" s="718"/>
      <c r="J86" s="718"/>
      <c r="K86" s="719"/>
      <c r="M86" t="s">
        <v>405</v>
      </c>
    </row>
    <row r="87" spans="1:13" x14ac:dyDescent="0.3">
      <c r="A87" s="248"/>
      <c r="B87" s="619"/>
      <c r="C87" s="619"/>
      <c r="D87" s="623"/>
      <c r="E87" s="623"/>
      <c r="F87" s="623"/>
      <c r="G87" s="623"/>
      <c r="H87" s="618"/>
      <c r="I87" s="617"/>
      <c r="J87" s="617"/>
      <c r="K87" s="616"/>
      <c r="M87" t="s">
        <v>406</v>
      </c>
    </row>
    <row r="88" spans="1:13" ht="14.4" customHeight="1" x14ac:dyDescent="0.3">
      <c r="A88" s="713" t="s">
        <v>386</v>
      </c>
      <c r="B88" s="715"/>
      <c r="C88" s="619" t="s">
        <v>382</v>
      </c>
      <c r="D88" s="623">
        <v>1</v>
      </c>
      <c r="E88" s="623">
        <v>4</v>
      </c>
      <c r="F88" s="623">
        <v>3000</v>
      </c>
      <c r="G88" s="623">
        <f>D88*E88*F88</f>
        <v>12000</v>
      </c>
      <c r="H88" s="717" t="s">
        <v>389</v>
      </c>
      <c r="I88" s="718"/>
      <c r="J88" s="718"/>
      <c r="K88" s="719"/>
      <c r="M88" t="s">
        <v>407</v>
      </c>
    </row>
    <row r="89" spans="1:13" x14ac:dyDescent="0.3">
      <c r="A89" s="713"/>
      <c r="B89" s="715"/>
      <c r="C89" s="619" t="s">
        <v>381</v>
      </c>
      <c r="D89" s="623">
        <v>1</v>
      </c>
      <c r="E89" s="623">
        <v>3</v>
      </c>
      <c r="F89" s="623">
        <v>4500</v>
      </c>
      <c r="G89" s="623">
        <f>D89*E89*F89</f>
        <v>13500</v>
      </c>
      <c r="H89" s="717"/>
      <c r="I89" s="718"/>
      <c r="J89" s="718"/>
      <c r="K89" s="719"/>
      <c r="M89" t="s">
        <v>408</v>
      </c>
    </row>
    <row r="90" spans="1:13" x14ac:dyDescent="0.3">
      <c r="A90" s="713"/>
      <c r="B90" s="715"/>
      <c r="C90" s="620"/>
      <c r="D90" s="624"/>
      <c r="E90" s="624"/>
      <c r="F90" s="624"/>
      <c r="G90" s="625">
        <f>SUM(G86:G89)</f>
        <v>95000</v>
      </c>
      <c r="H90" s="717"/>
      <c r="I90" s="718"/>
      <c r="J90" s="718"/>
      <c r="K90" s="719"/>
    </row>
    <row r="91" spans="1:13" x14ac:dyDescent="0.3">
      <c r="A91" s="248"/>
      <c r="B91" s="619"/>
      <c r="C91" s="619"/>
      <c r="D91" s="623"/>
      <c r="E91" s="623"/>
      <c r="F91" s="623"/>
      <c r="G91" s="623"/>
      <c r="H91" s="618"/>
      <c r="I91" s="617"/>
      <c r="J91" s="617"/>
      <c r="K91" s="616"/>
    </row>
    <row r="92" spans="1:13" x14ac:dyDescent="0.3">
      <c r="A92" s="248"/>
      <c r="B92" s="619"/>
      <c r="C92" s="619"/>
      <c r="D92" s="623"/>
      <c r="E92" s="623"/>
      <c r="F92" s="623"/>
      <c r="G92" s="623"/>
      <c r="H92" s="618"/>
      <c r="I92" s="617"/>
      <c r="J92" s="617"/>
      <c r="K92" s="616"/>
    </row>
    <row r="93" spans="1:13" x14ac:dyDescent="0.3">
      <c r="A93" s="713" t="s">
        <v>390</v>
      </c>
      <c r="B93" s="715"/>
      <c r="C93" s="619" t="s">
        <v>381</v>
      </c>
      <c r="D93" s="623">
        <v>1</v>
      </c>
      <c r="E93" s="623">
        <v>3</v>
      </c>
      <c r="F93" s="623">
        <v>4500</v>
      </c>
      <c r="G93" s="623">
        <f>D93*E93*F93</f>
        <v>13500</v>
      </c>
      <c r="H93" s="720" t="s">
        <v>394</v>
      </c>
      <c r="I93" s="721"/>
      <c r="J93" s="721"/>
      <c r="K93" s="722"/>
    </row>
    <row r="94" spans="1:13" x14ac:dyDescent="0.3">
      <c r="A94" s="714"/>
      <c r="B94" s="716"/>
      <c r="C94" s="621"/>
      <c r="D94" s="626"/>
      <c r="E94" s="626"/>
      <c r="F94" s="626"/>
      <c r="G94" s="627">
        <f>SUM(G90:G93)</f>
        <v>108500</v>
      </c>
      <c r="H94" s="723"/>
      <c r="I94" s="724"/>
      <c r="J94" s="724"/>
      <c r="K94" s="725"/>
    </row>
    <row r="97" spans="1:1" x14ac:dyDescent="0.3">
      <c r="A97" t="s">
        <v>391</v>
      </c>
    </row>
    <row r="98" spans="1:1" x14ac:dyDescent="0.3">
      <c r="A98" t="s">
        <v>392</v>
      </c>
    </row>
    <row r="99" spans="1:1" x14ac:dyDescent="0.3">
      <c r="A99" t="s">
        <v>393</v>
      </c>
    </row>
  </sheetData>
  <mergeCells count="56">
    <mergeCell ref="A1:M1"/>
    <mergeCell ref="F2:G2"/>
    <mergeCell ref="A11:G11"/>
    <mergeCell ref="C25:E25"/>
    <mergeCell ref="F25:H25"/>
    <mergeCell ref="I25:K25"/>
    <mergeCell ref="B18:I18"/>
    <mergeCell ref="B19:I19"/>
    <mergeCell ref="AA25:AC25"/>
    <mergeCell ref="AD25:AF25"/>
    <mergeCell ref="AG25:AI25"/>
    <mergeCell ref="AJ25:AL25"/>
    <mergeCell ref="L25:N25"/>
    <mergeCell ref="O25:Q25"/>
    <mergeCell ref="R25:T25"/>
    <mergeCell ref="U25:W25"/>
    <mergeCell ref="X25:Z25"/>
    <mergeCell ref="X42:Z42"/>
    <mergeCell ref="AA42:AC42"/>
    <mergeCell ref="AD42:AF42"/>
    <mergeCell ref="C42:E42"/>
    <mergeCell ref="F42:H42"/>
    <mergeCell ref="I42:K42"/>
    <mergeCell ref="L42:N42"/>
    <mergeCell ref="O42:Q42"/>
    <mergeCell ref="AG42:AI42"/>
    <mergeCell ref="AJ42:AL42"/>
    <mergeCell ref="C59:E59"/>
    <mergeCell ref="F59:H59"/>
    <mergeCell ref="I59:K59"/>
    <mergeCell ref="L59:N59"/>
    <mergeCell ref="O59:Q59"/>
    <mergeCell ref="R59:T59"/>
    <mergeCell ref="U59:W59"/>
    <mergeCell ref="X59:Z59"/>
    <mergeCell ref="AA59:AC59"/>
    <mergeCell ref="AD59:AF59"/>
    <mergeCell ref="AG59:AI59"/>
    <mergeCell ref="AJ59:AL59"/>
    <mergeCell ref="R42:T42"/>
    <mergeCell ref="U42:W42"/>
    <mergeCell ref="H75:K75"/>
    <mergeCell ref="A93:A94"/>
    <mergeCell ref="B93:B94"/>
    <mergeCell ref="H88:K90"/>
    <mergeCell ref="H81:J82"/>
    <mergeCell ref="H84:K86"/>
    <mergeCell ref="H93:K94"/>
    <mergeCell ref="A84:A86"/>
    <mergeCell ref="B84:B86"/>
    <mergeCell ref="A88:A90"/>
    <mergeCell ref="B88:B90"/>
    <mergeCell ref="A76:A79"/>
    <mergeCell ref="B76:B79"/>
    <mergeCell ref="A81:A82"/>
    <mergeCell ref="B81:B82"/>
  </mergeCells>
  <hyperlinks>
    <hyperlink ref="F2" location="Índice!A1" display="Regresar al índice" xr:uid="{1E2CCDA7-35DB-4612-9C1B-21616EA652C6}"/>
    <hyperlink ref="I14" location="'Estructura de costos RRHH'!A29" display=" (ver Estructura RRHH)." xr:uid="{74570879-93D4-498C-9ACA-BCA759B1EB7A}"/>
    <hyperlink ref="D15" location="'Modelo de inversión'!A5" display="Modelo de inversión." xr:uid="{3AE7920D-632D-485A-AD15-33E474D4E32D}"/>
    <hyperlink ref="A2" location="Hipótesis!A1" display="[Hipótesis]" xr:uid="{09588E76-3188-449C-B792-629528AB1EC4}"/>
    <hyperlink ref="M2" location="'Modelo de ingresos'!A1" display="[M. Ingreso]" xr:uid="{4A0F37E0-BC07-4438-A160-142CA432E9D1}"/>
  </hyperlinks>
  <pageMargins left="0.7" right="0.7" top="0.75" bottom="0.75" header="0.3" footer="0.3"/>
  <pageSetup paperSize="9" orientation="portrait" horizontalDpi="0" verticalDpi="0"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564CC2-E797-4FB0-9975-4886F88A29D6}">
  <dimension ref="A1:M7"/>
  <sheetViews>
    <sheetView showGridLines="0" zoomScaleNormal="100" workbookViewId="0">
      <pane ySplit="2" topLeftCell="A3" activePane="bottomLeft" state="frozen"/>
      <selection pane="bottomLeft" activeCell="J11" sqref="J11"/>
    </sheetView>
  </sheetViews>
  <sheetFormatPr baseColWidth="10" defaultRowHeight="14.4" x14ac:dyDescent="0.3"/>
  <cols>
    <col min="2" max="2" width="13" bestFit="1" customWidth="1"/>
    <col min="3" max="3" width="22.21875" bestFit="1" customWidth="1"/>
    <col min="4" max="4" width="14" bestFit="1" customWidth="1"/>
    <col min="5" max="5" width="14" customWidth="1"/>
    <col min="6" max="6" width="17.33203125" customWidth="1"/>
    <col min="7" max="7" width="1.33203125" customWidth="1"/>
    <col min="8" max="8" width="14" bestFit="1" customWidth="1"/>
  </cols>
  <sheetData>
    <row r="1" spans="1:13" ht="21" x14ac:dyDescent="0.4">
      <c r="A1" s="686" t="s">
        <v>117</v>
      </c>
      <c r="B1" s="686"/>
      <c r="C1" s="686"/>
      <c r="D1" s="686"/>
      <c r="E1" s="686"/>
      <c r="F1" s="686"/>
      <c r="G1" s="686"/>
      <c r="H1" s="686"/>
      <c r="I1" s="686"/>
      <c r="J1" s="686"/>
      <c r="K1" s="686"/>
      <c r="L1" s="686"/>
      <c r="M1" s="686"/>
    </row>
    <row r="2" spans="1:13" ht="19.8" customHeight="1" x14ac:dyDescent="0.65">
      <c r="A2" s="502" t="s">
        <v>292</v>
      </c>
      <c r="C2" s="12"/>
      <c r="D2" s="12"/>
      <c r="E2" s="12"/>
      <c r="F2" s="740" t="s">
        <v>35</v>
      </c>
      <c r="G2" s="740"/>
      <c r="M2" s="502" t="s">
        <v>294</v>
      </c>
    </row>
    <row r="4" spans="1:13" x14ac:dyDescent="0.3">
      <c r="C4" s="64"/>
      <c r="D4" s="65" t="s">
        <v>47</v>
      </c>
      <c r="E4" s="65" t="s">
        <v>48</v>
      </c>
      <c r="F4" s="65" t="s">
        <v>49</v>
      </c>
      <c r="G4" s="64"/>
      <c r="H4" s="64"/>
    </row>
    <row r="5" spans="1:13" x14ac:dyDescent="0.3">
      <c r="C5" s="66" t="str">
        <f>Hipótesis!B52</f>
        <v>Experiencias de inmersión</v>
      </c>
      <c r="D5" s="67">
        <f>'Proyección de ventas'!C28+'Proyección de ventas'!F28+'Proyección de ventas'!I28+'Proyección de ventas'!L28+'Proyección de ventas'!O28+'Proyección de ventas'!R28+'Proyección de ventas'!U28+'Proyección de ventas'!X28+'Proyección de ventas'!AA28+'Proyección de ventas'!AD28+'Proyección de ventas'!AG28+'Proyección de ventas'!AJ28</f>
        <v>2503448.3999999994</v>
      </c>
      <c r="E5" s="68">
        <f>'Proyección de ventas'!C45+'Proyección de ventas'!F45+'Proyección de ventas'!I45+'Proyección de ventas'!L45+'Proyección de ventas'!O45+'Proyección de ventas'!R45+'Proyección de ventas'!U45+'Proyección de ventas'!X45+'Proyección de ventas'!AA45+'Proyección de ventas'!AD45+'Proyección de ventas'!AG45+'Proyección de ventas'!AJ45</f>
        <v>4172413.9999999995</v>
      </c>
      <c r="F5" s="68">
        <f>'Proyección de ventas'!C62+'Proyección de ventas'!F62+'Proyección de ventas'!I62+'Proyección de ventas'!L62+'Proyección de ventas'!O62+'Proyección de ventas'!R62+'Proyección de ventas'!U62+'Proyección de ventas'!X62+'Proyección de ventas'!AA62+'Proyección de ventas'!AD62+'Proyección de ventas'!AG62+'Proyección de ventas'!AJ62</f>
        <v>5841379.5999999996</v>
      </c>
      <c r="G5" s="64"/>
      <c r="H5" s="69">
        <f>SUM(D5:G5)/H7</f>
        <v>0.378848925644928</v>
      </c>
    </row>
    <row r="6" spans="1:13" ht="15" thickBot="1" x14ac:dyDescent="0.35">
      <c r="C6" s="42" t="str">
        <f>Hipótesis!B53</f>
        <v>Servicios adicionales</v>
      </c>
      <c r="D6" s="70">
        <f>'Proyección de ventas'!C29+'Proyección de ventas'!F29+'Proyección de ventas'!I29+'Proyección de ventas'!L29+'Proyección de ventas'!O29+'Proyección de ventas'!R29+'Proyección de ventas'!U29+'Proyección de ventas'!X29+'Proyección de ventas'!AA29+'Proyección de ventas'!AD29+'Proyección de ventas'!AG29+'Proyección de ventas'!AJ29</f>
        <v>4104590.4000000004</v>
      </c>
      <c r="E6" s="71">
        <f>'Proyección de ventas'!C46+'Proyección de ventas'!F46+'Proyección de ventas'!I46+'Proyección de ventas'!L46+'Proyección de ventas'!O46+'Proyección de ventas'!R46+'Proyección de ventas'!U46+'Proyección de ventas'!X46+'Proyección de ventas'!AA46+'Proyección de ventas'!AD46+'Proyección de ventas'!AG46+'Proyección de ventas'!AJ46</f>
        <v>6840984</v>
      </c>
      <c r="F6" s="71">
        <f>'Proyección de ventas'!C63+'Proyección de ventas'!F63+'Proyección de ventas'!I63+'Proyección de ventas'!L63+'Proyección de ventas'!O63+'Proyección de ventas'!R63+'Proyección de ventas'!U63+'Proyección de ventas'!X63+'Proyección de ventas'!AA63+'Proyección de ventas'!AD63+'Proyección de ventas'!AG63+'Proyección de ventas'!AJ63</f>
        <v>9577377.6000000034</v>
      </c>
      <c r="G6" s="72"/>
      <c r="H6" s="73">
        <f>SUM(D6:F6)/H7</f>
        <v>0.62115107435507189</v>
      </c>
    </row>
    <row r="7" spans="1:13" x14ac:dyDescent="0.3">
      <c r="C7" s="64"/>
      <c r="D7" s="67">
        <f>SUM(D5:D6)</f>
        <v>6608038.7999999998</v>
      </c>
      <c r="E7" s="68">
        <f>SUM(E5:E6)</f>
        <v>11013398</v>
      </c>
      <c r="F7" s="68">
        <f>SUM(F5:F6)</f>
        <v>15418757.200000003</v>
      </c>
      <c r="G7" s="64"/>
      <c r="H7" s="74">
        <f>SUM(D7:G7)</f>
        <v>33040194.000000004</v>
      </c>
    </row>
  </sheetData>
  <mergeCells count="2">
    <mergeCell ref="A1:M1"/>
    <mergeCell ref="F2:G2"/>
  </mergeCells>
  <hyperlinks>
    <hyperlink ref="F2" location="Índice!A1" display="Regresar al índice" xr:uid="{59513C33-2B36-4FF4-9E67-46252FCDB540}"/>
    <hyperlink ref="A2" location="'Proyección de ventas'!A1" display="[Proy. Vta.]" xr:uid="{25825C4A-AF05-4177-BDC7-ECB70C1FE4C7}"/>
    <hyperlink ref="M2" location="'Estructura de costos fijos'!A1" display="[Costos fijos]" xr:uid="{144ADC2F-5E3A-4843-A29A-2CF67728708C}"/>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2A465-E4A2-4319-9110-22711369FFB7}">
  <dimension ref="A1:O96"/>
  <sheetViews>
    <sheetView showGridLines="0" zoomScaleNormal="100" workbookViewId="0">
      <pane ySplit="2" topLeftCell="A3" activePane="bottomLeft" state="frozen"/>
      <selection pane="bottomLeft" activeCell="C89" sqref="C89:N89"/>
    </sheetView>
  </sheetViews>
  <sheetFormatPr baseColWidth="10" defaultRowHeight="14.4" x14ac:dyDescent="0.3"/>
  <cols>
    <col min="1" max="1" width="13.5546875" bestFit="1" customWidth="1"/>
    <col min="2" max="2" width="17.33203125" bestFit="1" customWidth="1"/>
    <col min="3" max="3" width="10.77734375" bestFit="1" customWidth="1"/>
    <col min="4" max="4" width="13.88671875" bestFit="1" customWidth="1"/>
    <col min="5" max="5" width="15.5546875" bestFit="1" customWidth="1"/>
    <col min="6" max="6" width="17.77734375" bestFit="1" customWidth="1"/>
    <col min="7" max="7" width="13.44140625" bestFit="1" customWidth="1"/>
    <col min="8" max="8" width="17.77734375" bestFit="1" customWidth="1"/>
    <col min="9" max="9" width="14.44140625" bestFit="1" customWidth="1"/>
    <col min="10" max="11" width="10.77734375" bestFit="1" customWidth="1"/>
    <col min="12" max="12" width="17.77734375" bestFit="1" customWidth="1"/>
    <col min="13" max="13" width="10.77734375" bestFit="1" customWidth="1"/>
    <col min="14" max="14" width="17.77734375" bestFit="1" customWidth="1"/>
    <col min="15" max="15" width="255.77734375" bestFit="1" customWidth="1"/>
  </cols>
  <sheetData>
    <row r="1" spans="1:15" ht="21" x14ac:dyDescent="0.4">
      <c r="A1" s="686" t="s">
        <v>119</v>
      </c>
      <c r="B1" s="686"/>
      <c r="C1" s="686"/>
      <c r="D1" s="686"/>
      <c r="E1" s="686"/>
      <c r="F1" s="686"/>
      <c r="G1" s="686"/>
      <c r="H1" s="686"/>
      <c r="I1" s="686"/>
      <c r="J1" s="686"/>
      <c r="K1" s="686"/>
      <c r="L1" s="686"/>
      <c r="M1" s="686"/>
    </row>
    <row r="2" spans="1:15" ht="19.8" customHeight="1" x14ac:dyDescent="0.65">
      <c r="A2" s="502" t="s">
        <v>295</v>
      </c>
      <c r="C2" s="12"/>
      <c r="D2" s="12"/>
      <c r="E2" s="12"/>
      <c r="F2" s="740" t="s">
        <v>35</v>
      </c>
      <c r="G2" s="740"/>
      <c r="M2" s="502" t="s">
        <v>296</v>
      </c>
    </row>
    <row r="4" spans="1:15" x14ac:dyDescent="0.3">
      <c r="D4" s="435" t="s">
        <v>50</v>
      </c>
      <c r="E4" s="436">
        <f>'Proyección de ventas'!E4</f>
        <v>220267960</v>
      </c>
      <c r="F4" s="382"/>
      <c r="G4" s="437" t="s">
        <v>47</v>
      </c>
      <c r="H4" s="437" t="s">
        <v>48</v>
      </c>
      <c r="I4" s="438" t="s">
        <v>49</v>
      </c>
    </row>
    <row r="5" spans="1:15" x14ac:dyDescent="0.3">
      <c r="D5" s="439" t="s">
        <v>20</v>
      </c>
      <c r="E5" s="434">
        <f>'Proyección de ventas'!E5</f>
        <v>83448280</v>
      </c>
      <c r="F5" s="385"/>
      <c r="G5" s="430"/>
      <c r="H5" s="430"/>
      <c r="I5" s="440"/>
    </row>
    <row r="6" spans="1:15" x14ac:dyDescent="0.3">
      <c r="D6" s="439" t="s">
        <v>21</v>
      </c>
      <c r="E6" s="434">
        <f>'Proyección de ventas'!E6</f>
        <v>136819680</v>
      </c>
      <c r="F6" s="385"/>
      <c r="G6" s="430"/>
      <c r="H6" s="430"/>
      <c r="I6" s="440"/>
    </row>
    <row r="7" spans="1:15" x14ac:dyDescent="0.3">
      <c r="D7" s="441" t="s">
        <v>80</v>
      </c>
      <c r="E7" s="431">
        <f>'Proyección de ventas'!E7</f>
        <v>7.0000000000000007E-2</v>
      </c>
      <c r="F7" s="385"/>
      <c r="G7" s="433">
        <f>'Proyección de ventas'!G7</f>
        <v>0.03</v>
      </c>
      <c r="H7" s="433">
        <f>'Proyección de ventas'!H7</f>
        <v>0.05</v>
      </c>
      <c r="I7" s="442">
        <f>'Proyección de ventas'!I7</f>
        <v>7.0000000000000007E-2</v>
      </c>
    </row>
    <row r="8" spans="1:15" x14ac:dyDescent="0.3">
      <c r="D8" s="443" t="s">
        <v>83</v>
      </c>
      <c r="E8" s="444">
        <f>'Proyección de ventas'!E8</f>
        <v>15418757.200000001</v>
      </c>
      <c r="F8" s="445"/>
      <c r="G8" s="446">
        <f>'Proyección de ventas'!G8</f>
        <v>6608038.7999999998</v>
      </c>
      <c r="H8" s="446">
        <f>'Proyección de ventas'!H8</f>
        <v>11013398</v>
      </c>
      <c r="I8" s="447">
        <f>'Proyección de ventas'!I8</f>
        <v>15418757.200000001</v>
      </c>
    </row>
    <row r="9" spans="1:15" x14ac:dyDescent="0.3">
      <c r="A9" s="13"/>
      <c r="B9" s="13"/>
      <c r="C9" s="13"/>
      <c r="D9" s="75"/>
      <c r="E9" s="76"/>
      <c r="F9" s="14"/>
      <c r="G9" s="77"/>
      <c r="H9" s="77"/>
      <c r="I9" s="77"/>
      <c r="J9" s="13"/>
    </row>
    <row r="10" spans="1:15" x14ac:dyDescent="0.3">
      <c r="A10" s="13"/>
      <c r="B10" s="13"/>
      <c r="C10" s="13"/>
      <c r="D10" s="75"/>
      <c r="E10" s="76"/>
      <c r="F10" s="14"/>
      <c r="G10" s="77"/>
      <c r="H10" s="77"/>
      <c r="I10" s="77"/>
      <c r="J10" s="13"/>
    </row>
    <row r="11" spans="1:15" x14ac:dyDescent="0.3">
      <c r="A11" s="746" t="s">
        <v>47</v>
      </c>
      <c r="B11" s="747"/>
      <c r="C11" s="747"/>
      <c r="D11" s="747"/>
      <c r="E11" s="747"/>
      <c r="F11" s="747"/>
      <c r="G11" s="747"/>
      <c r="H11" s="747"/>
      <c r="I11" s="747"/>
      <c r="J11" s="747"/>
      <c r="K11" s="747"/>
      <c r="L11" s="747"/>
      <c r="M11" s="747"/>
      <c r="N11" s="748"/>
    </row>
    <row r="12" spans="1:15" x14ac:dyDescent="0.3">
      <c r="A12" s="135" t="s">
        <v>120</v>
      </c>
      <c r="B12" s="136" t="s">
        <v>121</v>
      </c>
      <c r="C12" s="136" t="s">
        <v>51</v>
      </c>
      <c r="D12" s="136" t="s">
        <v>52</v>
      </c>
      <c r="E12" s="136" t="s">
        <v>53</v>
      </c>
      <c r="F12" s="136" t="s">
        <v>54</v>
      </c>
      <c r="G12" s="136" t="s">
        <v>55</v>
      </c>
      <c r="H12" s="136" t="s">
        <v>56</v>
      </c>
      <c r="I12" s="136" t="s">
        <v>57</v>
      </c>
      <c r="J12" s="136" t="s">
        <v>58</v>
      </c>
      <c r="K12" s="136" t="s">
        <v>59</v>
      </c>
      <c r="L12" s="136" t="s">
        <v>60</v>
      </c>
      <c r="M12" s="136" t="s">
        <v>61</v>
      </c>
      <c r="N12" s="137" t="s">
        <v>62</v>
      </c>
      <c r="O12" s="78" t="s">
        <v>142</v>
      </c>
    </row>
    <row r="13" spans="1:15" x14ac:dyDescent="0.3">
      <c r="A13" s="749" t="s">
        <v>21</v>
      </c>
      <c r="B13" s="94" t="s">
        <v>67</v>
      </c>
      <c r="C13" s="109">
        <v>2000</v>
      </c>
      <c r="D13" s="95">
        <v>2000</v>
      </c>
      <c r="E13" s="95">
        <v>2000</v>
      </c>
      <c r="F13" s="95">
        <v>2000</v>
      </c>
      <c r="G13" s="95">
        <v>2000</v>
      </c>
      <c r="H13" s="95">
        <v>2000</v>
      </c>
      <c r="I13" s="95">
        <v>2000</v>
      </c>
      <c r="J13" s="95">
        <v>2000</v>
      </c>
      <c r="K13" s="95">
        <v>2000</v>
      </c>
      <c r="L13" s="95">
        <v>2000</v>
      </c>
      <c r="M13" s="95">
        <v>2000</v>
      </c>
      <c r="N13" s="100">
        <v>2000</v>
      </c>
      <c r="O13" t="s">
        <v>139</v>
      </c>
    </row>
    <row r="14" spans="1:15" x14ac:dyDescent="0.3">
      <c r="A14" s="750"/>
      <c r="B14" s="82" t="s">
        <v>68</v>
      </c>
      <c r="C14" s="110">
        <v>3500</v>
      </c>
      <c r="D14" s="83">
        <v>3500</v>
      </c>
      <c r="E14" s="83">
        <v>3500</v>
      </c>
      <c r="F14" s="83">
        <v>3500</v>
      </c>
      <c r="G14" s="83">
        <v>3500</v>
      </c>
      <c r="H14" s="83">
        <v>3500</v>
      </c>
      <c r="I14" s="83">
        <v>3500</v>
      </c>
      <c r="J14" s="83">
        <v>3500</v>
      </c>
      <c r="K14" s="83">
        <v>3500</v>
      </c>
      <c r="L14" s="83">
        <v>3500</v>
      </c>
      <c r="M14" s="83">
        <v>3500</v>
      </c>
      <c r="N14" s="101">
        <v>3500</v>
      </c>
      <c r="O14" s="13" t="s">
        <v>139</v>
      </c>
    </row>
    <row r="15" spans="1:15" x14ac:dyDescent="0.3">
      <c r="A15" s="750"/>
      <c r="B15" s="48" t="s">
        <v>122</v>
      </c>
      <c r="C15" s="79">
        <v>2000</v>
      </c>
      <c r="D15" s="81">
        <v>2000</v>
      </c>
      <c r="E15" s="81">
        <v>2000</v>
      </c>
      <c r="F15" s="81">
        <v>2000</v>
      </c>
      <c r="G15" s="81">
        <v>2000</v>
      </c>
      <c r="H15" s="81">
        <v>2000</v>
      </c>
      <c r="I15" s="81">
        <v>2000</v>
      </c>
      <c r="J15" s="81">
        <v>2000</v>
      </c>
      <c r="K15" s="81">
        <v>2000</v>
      </c>
      <c r="L15" s="81">
        <v>2000</v>
      </c>
      <c r="M15" s="81">
        <v>2000</v>
      </c>
      <c r="N15" s="102">
        <v>2000</v>
      </c>
      <c r="O15" s="13"/>
    </row>
    <row r="16" spans="1:15" ht="28.8" x14ac:dyDescent="0.3">
      <c r="A16" s="750"/>
      <c r="B16" s="84" t="s">
        <v>145</v>
      </c>
      <c r="C16" s="111">
        <f>250*Hipótesis!$D$72</f>
        <v>10000</v>
      </c>
      <c r="D16" s="85">
        <f>250*Hipótesis!$D$72</f>
        <v>10000</v>
      </c>
      <c r="E16" s="85">
        <f>250*Hipótesis!$D$72</f>
        <v>10000</v>
      </c>
      <c r="F16" s="85">
        <f>250*Hipótesis!$D$72</f>
        <v>10000</v>
      </c>
      <c r="G16" s="85">
        <f>250*Hipótesis!$D$72</f>
        <v>10000</v>
      </c>
      <c r="H16" s="85">
        <f>250*Hipótesis!$D$72</f>
        <v>10000</v>
      </c>
      <c r="I16" s="85">
        <f>250*Hipótesis!$D$72</f>
        <v>10000</v>
      </c>
      <c r="J16" s="85">
        <f>250*Hipótesis!$D$72</f>
        <v>10000</v>
      </c>
      <c r="K16" s="85">
        <f>250*Hipótesis!$D$72</f>
        <v>10000</v>
      </c>
      <c r="L16" s="85">
        <f>250*Hipótesis!$D$72</f>
        <v>10000</v>
      </c>
      <c r="M16" s="85">
        <f>250*Hipótesis!$D$72</f>
        <v>10000</v>
      </c>
      <c r="N16" s="103">
        <f>250*Hipótesis!$D$72</f>
        <v>10000</v>
      </c>
      <c r="O16" s="80" t="s">
        <v>146</v>
      </c>
    </row>
    <row r="17" spans="1:15" x14ac:dyDescent="0.3">
      <c r="A17" s="750"/>
      <c r="B17" s="48" t="s">
        <v>137</v>
      </c>
      <c r="C17" s="79">
        <v>1500</v>
      </c>
      <c r="D17" s="81">
        <v>1500</v>
      </c>
      <c r="E17" s="81">
        <v>1500</v>
      </c>
      <c r="F17" s="81">
        <v>1500</v>
      </c>
      <c r="G17" s="81">
        <v>1500</v>
      </c>
      <c r="H17" s="81">
        <v>1500</v>
      </c>
      <c r="I17" s="81">
        <v>1500</v>
      </c>
      <c r="J17" s="81">
        <v>1500</v>
      </c>
      <c r="K17" s="81">
        <v>1500</v>
      </c>
      <c r="L17" s="81">
        <v>1500</v>
      </c>
      <c r="M17" s="81">
        <v>1500</v>
      </c>
      <c r="N17" s="102">
        <v>1500</v>
      </c>
      <c r="O17" s="13" t="s">
        <v>136</v>
      </c>
    </row>
    <row r="18" spans="1:15" x14ac:dyDescent="0.3">
      <c r="A18" s="750"/>
      <c r="B18" s="86" t="s">
        <v>138</v>
      </c>
      <c r="C18" s="110">
        <v>1500</v>
      </c>
      <c r="D18" s="83">
        <v>1500</v>
      </c>
      <c r="E18" s="83">
        <v>1500</v>
      </c>
      <c r="F18" s="83">
        <v>1500</v>
      </c>
      <c r="G18" s="83">
        <v>1500</v>
      </c>
      <c r="H18" s="83">
        <v>1500</v>
      </c>
      <c r="I18" s="83">
        <v>1500</v>
      </c>
      <c r="J18" s="83">
        <v>1500</v>
      </c>
      <c r="K18" s="83">
        <v>1500</v>
      </c>
      <c r="L18" s="83">
        <v>1500</v>
      </c>
      <c r="M18" s="83">
        <v>1500</v>
      </c>
      <c r="N18" s="101">
        <v>1500</v>
      </c>
      <c r="O18" s="13"/>
    </row>
    <row r="19" spans="1:15" x14ac:dyDescent="0.3">
      <c r="A19" s="750"/>
      <c r="B19" s="87" t="s">
        <v>125</v>
      </c>
      <c r="C19" s="79">
        <v>2000</v>
      </c>
      <c r="D19" s="81">
        <v>2000</v>
      </c>
      <c r="E19" s="81">
        <v>2000</v>
      </c>
      <c r="F19" s="81">
        <v>2000</v>
      </c>
      <c r="G19" s="81">
        <v>2000</v>
      </c>
      <c r="H19" s="81">
        <v>2000</v>
      </c>
      <c r="I19" s="81">
        <v>2000</v>
      </c>
      <c r="J19" s="81">
        <v>2000</v>
      </c>
      <c r="K19" s="81">
        <v>2000</v>
      </c>
      <c r="L19" s="81">
        <v>2000</v>
      </c>
      <c r="M19" s="81">
        <v>2000</v>
      </c>
      <c r="N19" s="102">
        <v>2000</v>
      </c>
      <c r="O19" s="13" t="s">
        <v>139</v>
      </c>
    </row>
    <row r="20" spans="1:15" x14ac:dyDescent="0.3">
      <c r="A20" s="750"/>
      <c r="B20" s="86" t="s">
        <v>161</v>
      </c>
      <c r="C20" s="110">
        <v>500</v>
      </c>
      <c r="D20" s="83">
        <v>500</v>
      </c>
      <c r="E20" s="83">
        <v>500</v>
      </c>
      <c r="F20" s="83">
        <v>500</v>
      </c>
      <c r="G20" s="83">
        <v>500</v>
      </c>
      <c r="H20" s="83">
        <v>500</v>
      </c>
      <c r="I20" s="83">
        <v>500</v>
      </c>
      <c r="J20" s="83">
        <v>500</v>
      </c>
      <c r="K20" s="83">
        <v>500</v>
      </c>
      <c r="L20" s="83">
        <v>500</v>
      </c>
      <c r="M20" s="83">
        <v>500</v>
      </c>
      <c r="N20" s="101">
        <v>500</v>
      </c>
      <c r="O20" s="13" t="s">
        <v>139</v>
      </c>
    </row>
    <row r="21" spans="1:15" x14ac:dyDescent="0.3">
      <c r="A21" s="750"/>
      <c r="B21" s="87" t="s">
        <v>305</v>
      </c>
      <c r="C21" s="79">
        <v>500</v>
      </c>
      <c r="D21" s="81">
        <v>500</v>
      </c>
      <c r="E21" s="81">
        <v>500</v>
      </c>
      <c r="F21" s="81">
        <v>500</v>
      </c>
      <c r="G21" s="81">
        <v>500</v>
      </c>
      <c r="H21" s="81">
        <v>500</v>
      </c>
      <c r="I21" s="81">
        <v>500</v>
      </c>
      <c r="J21" s="81">
        <v>500</v>
      </c>
      <c r="K21" s="81">
        <v>500</v>
      </c>
      <c r="L21" s="81">
        <v>500</v>
      </c>
      <c r="M21" s="81">
        <v>500</v>
      </c>
      <c r="N21" s="102">
        <v>500</v>
      </c>
      <c r="O21" s="14" t="s">
        <v>139</v>
      </c>
    </row>
    <row r="22" spans="1:15" x14ac:dyDescent="0.3">
      <c r="A22" s="750"/>
      <c r="B22" s="82" t="s">
        <v>124</v>
      </c>
      <c r="C22" s="110">
        <v>2500</v>
      </c>
      <c r="D22" s="83">
        <v>2500</v>
      </c>
      <c r="E22" s="83">
        <v>2500</v>
      </c>
      <c r="F22" s="83">
        <v>2500</v>
      </c>
      <c r="G22" s="83">
        <v>2500</v>
      </c>
      <c r="H22" s="83">
        <v>2500</v>
      </c>
      <c r="I22" s="83">
        <v>2500</v>
      </c>
      <c r="J22" s="83">
        <v>2500</v>
      </c>
      <c r="K22" s="83">
        <v>2500</v>
      </c>
      <c r="L22" s="83">
        <v>2500</v>
      </c>
      <c r="M22" s="83">
        <v>2500</v>
      </c>
      <c r="N22" s="101">
        <v>2500</v>
      </c>
      <c r="O22" s="13"/>
    </row>
    <row r="23" spans="1:15" x14ac:dyDescent="0.3">
      <c r="A23" s="751"/>
      <c r="B23" s="88" t="s">
        <v>69</v>
      </c>
      <c r="C23" s="112">
        <v>0</v>
      </c>
      <c r="D23" s="89">
        <v>0</v>
      </c>
      <c r="E23" s="89">
        <v>0</v>
      </c>
      <c r="F23" s="89">
        <v>0</v>
      </c>
      <c r="G23" s="89">
        <v>0</v>
      </c>
      <c r="H23" s="89">
        <v>0</v>
      </c>
      <c r="I23" s="89">
        <v>0</v>
      </c>
      <c r="J23" s="89">
        <v>0</v>
      </c>
      <c r="K23" s="89">
        <v>0</v>
      </c>
      <c r="L23" s="89">
        <v>0</v>
      </c>
      <c r="M23" s="89">
        <v>0</v>
      </c>
      <c r="N23" s="104">
        <v>0</v>
      </c>
      <c r="O23" s="13" t="s">
        <v>134</v>
      </c>
    </row>
    <row r="24" spans="1:15" x14ac:dyDescent="0.3">
      <c r="A24" s="749" t="s">
        <v>126</v>
      </c>
      <c r="B24" s="90" t="s">
        <v>304</v>
      </c>
      <c r="C24" s="113">
        <v>20000</v>
      </c>
      <c r="D24" s="91">
        <v>20000</v>
      </c>
      <c r="E24" s="91">
        <v>20000</v>
      </c>
      <c r="F24" s="91">
        <v>20000</v>
      </c>
      <c r="G24" s="91">
        <v>20000</v>
      </c>
      <c r="H24" s="91">
        <v>20000</v>
      </c>
      <c r="I24" s="91">
        <v>20000</v>
      </c>
      <c r="J24" s="91">
        <v>20000</v>
      </c>
      <c r="K24" s="91">
        <v>20000</v>
      </c>
      <c r="L24" s="91">
        <v>20000</v>
      </c>
      <c r="M24" s="91">
        <v>20000</v>
      </c>
      <c r="N24" s="105">
        <v>20000</v>
      </c>
      <c r="O24" s="13" t="s">
        <v>303</v>
      </c>
    </row>
    <row r="25" spans="1:15" x14ac:dyDescent="0.3">
      <c r="A25" s="751"/>
      <c r="B25" s="88" t="s">
        <v>123</v>
      </c>
      <c r="C25" s="112">
        <v>4000</v>
      </c>
      <c r="D25" s="89">
        <v>4000</v>
      </c>
      <c r="E25" s="89">
        <v>4000</v>
      </c>
      <c r="F25" s="89">
        <v>4000</v>
      </c>
      <c r="G25" s="89">
        <v>4000</v>
      </c>
      <c r="H25" s="89">
        <v>4000</v>
      </c>
      <c r="I25" s="89">
        <v>4000</v>
      </c>
      <c r="J25" s="89">
        <v>4000</v>
      </c>
      <c r="K25" s="89">
        <v>4000</v>
      </c>
      <c r="L25" s="89">
        <v>4000</v>
      </c>
      <c r="M25" s="89">
        <v>4000</v>
      </c>
      <c r="N25" s="104">
        <v>4000</v>
      </c>
      <c r="O25" s="13" t="s">
        <v>144</v>
      </c>
    </row>
    <row r="26" spans="1:15" x14ac:dyDescent="0.3">
      <c r="A26" s="108" t="s">
        <v>128</v>
      </c>
      <c r="B26" s="92" t="s">
        <v>127</v>
      </c>
      <c r="C26" s="114">
        <v>7000</v>
      </c>
      <c r="D26" s="93">
        <v>7000</v>
      </c>
      <c r="E26" s="93">
        <v>7000</v>
      </c>
      <c r="F26" s="93">
        <v>7000</v>
      </c>
      <c r="G26" s="93">
        <v>7000</v>
      </c>
      <c r="H26" s="93">
        <v>7000</v>
      </c>
      <c r="I26" s="93">
        <v>7000</v>
      </c>
      <c r="J26" s="93">
        <v>7000</v>
      </c>
      <c r="K26" s="93">
        <v>7000</v>
      </c>
      <c r="L26" s="93">
        <v>7000</v>
      </c>
      <c r="M26" s="93">
        <v>7000</v>
      </c>
      <c r="N26" s="106">
        <v>7000</v>
      </c>
      <c r="O26" s="13" t="s">
        <v>275</v>
      </c>
    </row>
    <row r="27" spans="1:15" x14ac:dyDescent="0.3">
      <c r="A27" s="749" t="s">
        <v>129</v>
      </c>
      <c r="B27" s="94" t="s">
        <v>130</v>
      </c>
      <c r="C27" s="109">
        <v>5000</v>
      </c>
      <c r="D27" s="96">
        <v>5000</v>
      </c>
      <c r="E27" s="96">
        <v>5000</v>
      </c>
      <c r="F27" s="96">
        <v>15000</v>
      </c>
      <c r="G27" s="96">
        <v>15000</v>
      </c>
      <c r="H27" s="96">
        <v>15000</v>
      </c>
      <c r="I27" s="96">
        <v>15000</v>
      </c>
      <c r="J27" s="96">
        <v>15000</v>
      </c>
      <c r="K27" s="95">
        <v>10000</v>
      </c>
      <c r="L27" s="95">
        <v>5000</v>
      </c>
      <c r="M27" s="96">
        <v>5000</v>
      </c>
      <c r="N27" s="107">
        <v>5000</v>
      </c>
      <c r="O27" s="757" t="s">
        <v>141</v>
      </c>
    </row>
    <row r="28" spans="1:15" x14ac:dyDescent="0.3">
      <c r="A28" s="750"/>
      <c r="B28" s="82" t="s">
        <v>131</v>
      </c>
      <c r="C28" s="110">
        <v>7000</v>
      </c>
      <c r="D28" s="83">
        <v>7000</v>
      </c>
      <c r="E28" s="83">
        <v>7000</v>
      </c>
      <c r="F28" s="83">
        <v>20000</v>
      </c>
      <c r="G28" s="83">
        <v>20000</v>
      </c>
      <c r="H28" s="83">
        <v>20000</v>
      </c>
      <c r="I28" s="83">
        <v>20000</v>
      </c>
      <c r="J28" s="83">
        <v>20000</v>
      </c>
      <c r="K28" s="83">
        <v>13000</v>
      </c>
      <c r="L28" s="83">
        <v>13000</v>
      </c>
      <c r="M28" s="83">
        <v>13000</v>
      </c>
      <c r="N28" s="101">
        <v>13000</v>
      </c>
      <c r="O28" s="757"/>
    </row>
    <row r="29" spans="1:15" x14ac:dyDescent="0.3">
      <c r="A29" s="750"/>
      <c r="B29" s="97" t="s">
        <v>132</v>
      </c>
      <c r="C29" s="79">
        <v>3500</v>
      </c>
      <c r="D29" s="81">
        <v>3500</v>
      </c>
      <c r="E29" s="81">
        <v>3500</v>
      </c>
      <c r="F29" s="81">
        <v>10000</v>
      </c>
      <c r="G29" s="81">
        <v>10000</v>
      </c>
      <c r="H29" s="81">
        <v>10000</v>
      </c>
      <c r="I29" s="81">
        <v>10000</v>
      </c>
      <c r="J29" s="81">
        <v>10000</v>
      </c>
      <c r="K29" s="81">
        <v>6000</v>
      </c>
      <c r="L29" s="81">
        <v>35000</v>
      </c>
      <c r="M29" s="81">
        <v>35000</v>
      </c>
      <c r="N29" s="102">
        <v>35000</v>
      </c>
      <c r="O29" s="757"/>
    </row>
    <row r="30" spans="1:15" x14ac:dyDescent="0.3">
      <c r="A30" s="750"/>
      <c r="B30" s="98" t="s">
        <v>133</v>
      </c>
      <c r="C30" s="110">
        <v>7000</v>
      </c>
      <c r="D30" s="83">
        <v>7000</v>
      </c>
      <c r="E30" s="83">
        <v>7000</v>
      </c>
      <c r="F30" s="83">
        <v>20000</v>
      </c>
      <c r="G30" s="83">
        <v>20000</v>
      </c>
      <c r="H30" s="83">
        <v>20000</v>
      </c>
      <c r="I30" s="83">
        <v>20000</v>
      </c>
      <c r="J30" s="83">
        <v>20000</v>
      </c>
      <c r="K30" s="83">
        <v>13000</v>
      </c>
      <c r="L30" s="83">
        <v>13000</v>
      </c>
      <c r="M30" s="83">
        <v>13000</v>
      </c>
      <c r="N30" s="101">
        <v>13000</v>
      </c>
      <c r="O30" s="757"/>
    </row>
    <row r="31" spans="1:15" x14ac:dyDescent="0.3">
      <c r="A31" s="751"/>
      <c r="B31" s="99" t="s">
        <v>140</v>
      </c>
      <c r="C31" s="112">
        <v>5000</v>
      </c>
      <c r="D31" s="89">
        <v>5000</v>
      </c>
      <c r="E31" s="89">
        <v>5000</v>
      </c>
      <c r="F31" s="89">
        <v>5000</v>
      </c>
      <c r="G31" s="89">
        <v>5000</v>
      </c>
      <c r="H31" s="89">
        <v>5000</v>
      </c>
      <c r="I31" s="89">
        <v>5000</v>
      </c>
      <c r="J31" s="89">
        <v>5000</v>
      </c>
      <c r="K31" s="89">
        <v>5000</v>
      </c>
      <c r="L31" s="89">
        <v>5000</v>
      </c>
      <c r="M31" s="89">
        <v>5000</v>
      </c>
      <c r="N31" s="104">
        <v>5000</v>
      </c>
      <c r="O31" s="13" t="s">
        <v>143</v>
      </c>
    </row>
    <row r="32" spans="1:15" ht="28.8" x14ac:dyDescent="0.3">
      <c r="A32" s="752" t="s">
        <v>147</v>
      </c>
      <c r="B32" s="115" t="s">
        <v>149</v>
      </c>
      <c r="C32" s="113">
        <v>0</v>
      </c>
      <c r="D32" s="91">
        <v>0</v>
      </c>
      <c r="E32" s="91">
        <v>0</v>
      </c>
      <c r="F32" s="91">
        <v>0</v>
      </c>
      <c r="G32" s="91">
        <v>0</v>
      </c>
      <c r="H32" s="123">
        <v>0</v>
      </c>
      <c r="I32" s="91">
        <v>0</v>
      </c>
      <c r="J32" s="91">
        <v>0</v>
      </c>
      <c r="K32" s="91">
        <v>0</v>
      </c>
      <c r="L32" s="91">
        <v>0</v>
      </c>
      <c r="M32" s="91">
        <v>0</v>
      </c>
      <c r="N32" s="128">
        <v>0</v>
      </c>
      <c r="O32" s="8" t="s">
        <v>156</v>
      </c>
    </row>
    <row r="33" spans="1:15" ht="28.8" x14ac:dyDescent="0.3">
      <c r="A33" s="753"/>
      <c r="B33" s="116" t="s">
        <v>148</v>
      </c>
      <c r="C33" s="117">
        <f>499*Hipótesis!$D$72</f>
        <v>19960</v>
      </c>
      <c r="D33" s="118">
        <v>0</v>
      </c>
      <c r="E33" s="118">
        <v>0</v>
      </c>
      <c r="F33" s="118">
        <v>0</v>
      </c>
      <c r="G33" s="118">
        <v>0</v>
      </c>
      <c r="H33" s="124">
        <v>0</v>
      </c>
      <c r="I33" s="118">
        <v>0</v>
      </c>
      <c r="J33" s="118">
        <v>0</v>
      </c>
      <c r="K33" s="118">
        <v>0</v>
      </c>
      <c r="L33" s="118">
        <v>0</v>
      </c>
      <c r="M33" s="118">
        <v>0</v>
      </c>
      <c r="N33" s="126">
        <v>0</v>
      </c>
      <c r="O33" s="8" t="s">
        <v>152</v>
      </c>
    </row>
    <row r="34" spans="1:15" x14ac:dyDescent="0.3">
      <c r="A34" s="753"/>
      <c r="B34" s="84" t="s">
        <v>150</v>
      </c>
      <c r="C34" s="110">
        <f>25*Hipótesis!$D$72</f>
        <v>1000</v>
      </c>
      <c r="D34" s="83">
        <f>25*Hipótesis!$D$72</f>
        <v>1000</v>
      </c>
      <c r="E34" s="83">
        <f>25*Hipótesis!$D$72</f>
        <v>1000</v>
      </c>
      <c r="F34" s="83">
        <f>25*Hipótesis!$D$72</f>
        <v>1000</v>
      </c>
      <c r="G34" s="83">
        <f>25*Hipótesis!$D$72</f>
        <v>1000</v>
      </c>
      <c r="H34" s="125">
        <f>25*Hipótesis!$D$72</f>
        <v>1000</v>
      </c>
      <c r="I34" s="83">
        <f>25*Hipótesis!$D$72</f>
        <v>1000</v>
      </c>
      <c r="J34" s="83">
        <f>25*Hipótesis!$D$72</f>
        <v>1000</v>
      </c>
      <c r="K34" s="83">
        <f>25*Hipótesis!$D$72</f>
        <v>1000</v>
      </c>
      <c r="L34" s="83">
        <f>25*Hipótesis!$D$72</f>
        <v>1000</v>
      </c>
      <c r="M34" s="83">
        <f>25*Hipótesis!$D$72</f>
        <v>1000</v>
      </c>
      <c r="N34" s="127">
        <f>25*Hipótesis!$D$72</f>
        <v>1000</v>
      </c>
      <c r="O34" t="s">
        <v>236</v>
      </c>
    </row>
    <row r="35" spans="1:15" ht="28.8" x14ac:dyDescent="0.3">
      <c r="A35" s="753"/>
      <c r="B35" s="116" t="s">
        <v>151</v>
      </c>
      <c r="C35" s="117">
        <f>10*Hipótesis!$D$72</f>
        <v>400</v>
      </c>
      <c r="D35" s="118">
        <f>10*Hipótesis!$D$72</f>
        <v>400</v>
      </c>
      <c r="E35" s="118">
        <f>10*Hipótesis!$D$72</f>
        <v>400</v>
      </c>
      <c r="F35" s="118">
        <f>10*Hipótesis!$D$72</f>
        <v>400</v>
      </c>
      <c r="G35" s="118">
        <f>10*Hipótesis!$D$72</f>
        <v>400</v>
      </c>
      <c r="H35" s="124">
        <f>10*Hipótesis!$D$72</f>
        <v>400</v>
      </c>
      <c r="I35" s="118">
        <f>10*Hipótesis!$D$72</f>
        <v>400</v>
      </c>
      <c r="J35" s="118">
        <f>10*Hipótesis!$D$72</f>
        <v>400</v>
      </c>
      <c r="K35" s="118">
        <f>10*Hipótesis!$D$72</f>
        <v>400</v>
      </c>
      <c r="L35" s="118">
        <f>10*Hipótesis!$D$72</f>
        <v>400</v>
      </c>
      <c r="M35" s="118">
        <f>10*Hipótesis!$D$72</f>
        <v>400</v>
      </c>
      <c r="N35" s="126">
        <f>10*Hipótesis!$D$72</f>
        <v>400</v>
      </c>
      <c r="O35" s="8" t="s">
        <v>153</v>
      </c>
    </row>
    <row r="36" spans="1:15" x14ac:dyDescent="0.3">
      <c r="A36" s="239"/>
      <c r="B36" s="240"/>
      <c r="C36" s="96"/>
      <c r="D36" s="96"/>
      <c r="E36" s="96"/>
      <c r="F36" s="96"/>
      <c r="G36" s="96"/>
      <c r="H36" s="123" t="s">
        <v>157</v>
      </c>
      <c r="I36" s="96"/>
      <c r="J36" s="96"/>
      <c r="K36" s="96"/>
      <c r="L36" s="96"/>
      <c r="M36" s="96"/>
      <c r="N36" s="128" t="s">
        <v>157</v>
      </c>
      <c r="O36" s="8"/>
    </row>
    <row r="37" spans="1:15" x14ac:dyDescent="0.3">
      <c r="A37" s="241"/>
      <c r="B37" s="119"/>
      <c r="C37" s="77"/>
      <c r="D37" s="77"/>
      <c r="E37" s="77"/>
      <c r="F37" s="77"/>
      <c r="G37" s="77"/>
      <c r="H37" s="77"/>
      <c r="I37" s="77"/>
      <c r="J37" s="77"/>
      <c r="K37" s="77"/>
      <c r="L37" s="77"/>
      <c r="M37" s="77"/>
      <c r="N37" s="120"/>
      <c r="O37" s="8"/>
    </row>
    <row r="38" spans="1:15" x14ac:dyDescent="0.3">
      <c r="A38" s="761" t="s">
        <v>46</v>
      </c>
      <c r="B38" s="762"/>
      <c r="C38" s="762"/>
      <c r="D38" s="762"/>
      <c r="E38" s="762"/>
      <c r="F38" s="762"/>
      <c r="G38" s="762"/>
      <c r="H38" s="762"/>
      <c r="I38" s="762"/>
      <c r="J38" s="762"/>
      <c r="K38" s="762"/>
      <c r="L38" s="762"/>
      <c r="M38" s="762"/>
      <c r="N38" s="242">
        <f>SUM(C13:N35)</f>
        <v>1413260</v>
      </c>
      <c r="O38" s="8"/>
    </row>
    <row r="40" spans="1:15" x14ac:dyDescent="0.3">
      <c r="A40" s="758" t="s">
        <v>48</v>
      </c>
      <c r="B40" s="759"/>
      <c r="C40" s="759"/>
      <c r="D40" s="759"/>
      <c r="E40" s="759"/>
      <c r="F40" s="759"/>
      <c r="G40" s="759"/>
      <c r="H40" s="759"/>
      <c r="I40" s="759"/>
      <c r="J40" s="759"/>
      <c r="K40" s="759"/>
      <c r="L40" s="759"/>
      <c r="M40" s="759"/>
      <c r="N40" s="760"/>
    </row>
    <row r="41" spans="1:15" x14ac:dyDescent="0.3">
      <c r="A41" s="138" t="s">
        <v>120</v>
      </c>
      <c r="B41" s="139" t="s">
        <v>121</v>
      </c>
      <c r="C41" s="139" t="s">
        <v>51</v>
      </c>
      <c r="D41" s="139" t="s">
        <v>52</v>
      </c>
      <c r="E41" s="139" t="s">
        <v>53</v>
      </c>
      <c r="F41" s="139" t="s">
        <v>54</v>
      </c>
      <c r="G41" s="139" t="s">
        <v>55</v>
      </c>
      <c r="H41" s="139" t="s">
        <v>56</v>
      </c>
      <c r="I41" s="139" t="s">
        <v>57</v>
      </c>
      <c r="J41" s="139" t="s">
        <v>58</v>
      </c>
      <c r="K41" s="139" t="s">
        <v>59</v>
      </c>
      <c r="L41" s="139" t="s">
        <v>60</v>
      </c>
      <c r="M41" s="139" t="s">
        <v>61</v>
      </c>
      <c r="N41" s="140" t="s">
        <v>62</v>
      </c>
    </row>
    <row r="42" spans="1:15" x14ac:dyDescent="0.3">
      <c r="A42" s="749" t="s">
        <v>21</v>
      </c>
      <c r="B42" s="94" t="s">
        <v>67</v>
      </c>
      <c r="C42" s="109">
        <v>2000</v>
      </c>
      <c r="D42" s="95">
        <v>2000</v>
      </c>
      <c r="E42" s="95">
        <v>2000</v>
      </c>
      <c r="F42" s="95">
        <v>2000</v>
      </c>
      <c r="G42" s="95">
        <v>2000</v>
      </c>
      <c r="H42" s="95">
        <v>2000</v>
      </c>
      <c r="I42" s="95">
        <v>2000</v>
      </c>
      <c r="J42" s="95">
        <v>2000</v>
      </c>
      <c r="K42" s="95">
        <v>2000</v>
      </c>
      <c r="L42" s="95">
        <v>2000</v>
      </c>
      <c r="M42" s="95">
        <v>2000</v>
      </c>
      <c r="N42" s="100">
        <v>2000</v>
      </c>
    </row>
    <row r="43" spans="1:15" x14ac:dyDescent="0.3">
      <c r="A43" s="750"/>
      <c r="B43" s="82" t="s">
        <v>68</v>
      </c>
      <c r="C43" s="110">
        <v>3500</v>
      </c>
      <c r="D43" s="83">
        <v>3500</v>
      </c>
      <c r="E43" s="83">
        <v>3500</v>
      </c>
      <c r="F43" s="83">
        <v>3500</v>
      </c>
      <c r="G43" s="83">
        <v>3500</v>
      </c>
      <c r="H43" s="83">
        <v>3500</v>
      </c>
      <c r="I43" s="83">
        <v>3500</v>
      </c>
      <c r="J43" s="83">
        <v>3500</v>
      </c>
      <c r="K43" s="83">
        <v>3500</v>
      </c>
      <c r="L43" s="83">
        <v>3500</v>
      </c>
      <c r="M43" s="83">
        <v>3500</v>
      </c>
      <c r="N43" s="101">
        <v>3500</v>
      </c>
    </row>
    <row r="44" spans="1:15" x14ac:dyDescent="0.3">
      <c r="A44" s="750"/>
      <c r="B44" s="48" t="s">
        <v>122</v>
      </c>
      <c r="C44" s="79">
        <v>2000</v>
      </c>
      <c r="D44" s="81">
        <v>2000</v>
      </c>
      <c r="E44" s="81">
        <v>2000</v>
      </c>
      <c r="F44" s="81">
        <v>2000</v>
      </c>
      <c r="G44" s="81">
        <v>2000</v>
      </c>
      <c r="H44" s="81">
        <v>2000</v>
      </c>
      <c r="I44" s="81">
        <v>2000</v>
      </c>
      <c r="J44" s="81">
        <v>2000</v>
      </c>
      <c r="K44" s="81">
        <v>2000</v>
      </c>
      <c r="L44" s="81">
        <v>2000</v>
      </c>
      <c r="M44" s="81">
        <v>2000</v>
      </c>
      <c r="N44" s="102">
        <v>2000</v>
      </c>
    </row>
    <row r="45" spans="1:15" x14ac:dyDescent="0.3">
      <c r="A45" s="750"/>
      <c r="B45" s="84" t="s">
        <v>145</v>
      </c>
      <c r="C45" s="111">
        <f>250*Hipótesis!$D$72</f>
        <v>10000</v>
      </c>
      <c r="D45" s="85">
        <f>250*Hipótesis!$D$72</f>
        <v>10000</v>
      </c>
      <c r="E45" s="85">
        <f>250*Hipótesis!$D$72</f>
        <v>10000</v>
      </c>
      <c r="F45" s="85">
        <f>250*Hipótesis!$D$72</f>
        <v>10000</v>
      </c>
      <c r="G45" s="85">
        <f>250*Hipótesis!$D$72</f>
        <v>10000</v>
      </c>
      <c r="H45" s="85">
        <f>250*Hipótesis!$D$72</f>
        <v>10000</v>
      </c>
      <c r="I45" s="85">
        <f>250*Hipótesis!$D$72</f>
        <v>10000</v>
      </c>
      <c r="J45" s="85">
        <f>250*Hipótesis!$D$72</f>
        <v>10000</v>
      </c>
      <c r="K45" s="85">
        <f>250*Hipótesis!$D$72</f>
        <v>10000</v>
      </c>
      <c r="L45" s="85">
        <f>250*Hipótesis!$D$72</f>
        <v>10000</v>
      </c>
      <c r="M45" s="85">
        <f>250*Hipótesis!$D$72</f>
        <v>10000</v>
      </c>
      <c r="N45" s="103">
        <f>250*Hipótesis!$D$72</f>
        <v>10000</v>
      </c>
    </row>
    <row r="46" spans="1:15" x14ac:dyDescent="0.3">
      <c r="A46" s="750"/>
      <c r="B46" s="48" t="s">
        <v>137</v>
      </c>
      <c r="C46" s="79">
        <v>1500</v>
      </c>
      <c r="D46" s="81">
        <v>1500</v>
      </c>
      <c r="E46" s="81">
        <v>1500</v>
      </c>
      <c r="F46" s="81">
        <v>1500</v>
      </c>
      <c r="G46" s="81">
        <v>1500</v>
      </c>
      <c r="H46" s="81">
        <v>1500</v>
      </c>
      <c r="I46" s="81">
        <v>1500</v>
      </c>
      <c r="J46" s="81">
        <v>1500</v>
      </c>
      <c r="K46" s="81">
        <v>1500</v>
      </c>
      <c r="L46" s="81">
        <v>1500</v>
      </c>
      <c r="M46" s="81">
        <v>1500</v>
      </c>
      <c r="N46" s="102">
        <v>1500</v>
      </c>
    </row>
    <row r="47" spans="1:15" x14ac:dyDescent="0.3">
      <c r="A47" s="750"/>
      <c r="B47" s="86" t="s">
        <v>138</v>
      </c>
      <c r="C47" s="110">
        <v>1500</v>
      </c>
      <c r="D47" s="83">
        <v>1500</v>
      </c>
      <c r="E47" s="83">
        <v>1500</v>
      </c>
      <c r="F47" s="83">
        <v>1500</v>
      </c>
      <c r="G47" s="83">
        <v>1500</v>
      </c>
      <c r="H47" s="83">
        <v>1500</v>
      </c>
      <c r="I47" s="83">
        <v>1500</v>
      </c>
      <c r="J47" s="83">
        <v>1500</v>
      </c>
      <c r="K47" s="83">
        <v>1500</v>
      </c>
      <c r="L47" s="83">
        <v>1500</v>
      </c>
      <c r="M47" s="83">
        <v>1500</v>
      </c>
      <c r="N47" s="101">
        <v>1500</v>
      </c>
    </row>
    <row r="48" spans="1:15" x14ac:dyDescent="0.3">
      <c r="A48" s="750"/>
      <c r="B48" s="87" t="s">
        <v>125</v>
      </c>
      <c r="C48" s="79">
        <v>2000</v>
      </c>
      <c r="D48" s="81">
        <v>2000</v>
      </c>
      <c r="E48" s="81">
        <v>2000</v>
      </c>
      <c r="F48" s="81">
        <v>2000</v>
      </c>
      <c r="G48" s="81">
        <v>2000</v>
      </c>
      <c r="H48" s="81">
        <v>2000</v>
      </c>
      <c r="I48" s="81">
        <v>2000</v>
      </c>
      <c r="J48" s="81">
        <v>2000</v>
      </c>
      <c r="K48" s="81">
        <v>2000</v>
      </c>
      <c r="L48" s="81">
        <v>2000</v>
      </c>
      <c r="M48" s="81">
        <v>2000</v>
      </c>
      <c r="N48" s="102">
        <v>2000</v>
      </c>
    </row>
    <row r="49" spans="1:14" x14ac:dyDescent="0.3">
      <c r="A49" s="750"/>
      <c r="B49" s="86" t="s">
        <v>161</v>
      </c>
      <c r="C49" s="110">
        <v>500</v>
      </c>
      <c r="D49" s="83">
        <v>500</v>
      </c>
      <c r="E49" s="83">
        <v>500</v>
      </c>
      <c r="F49" s="83">
        <v>500</v>
      </c>
      <c r="G49" s="83">
        <v>500</v>
      </c>
      <c r="H49" s="83">
        <v>500</v>
      </c>
      <c r="I49" s="83">
        <v>500</v>
      </c>
      <c r="J49" s="83">
        <v>500</v>
      </c>
      <c r="K49" s="83">
        <v>500</v>
      </c>
      <c r="L49" s="83">
        <v>500</v>
      </c>
      <c r="M49" s="83">
        <v>500</v>
      </c>
      <c r="N49" s="101">
        <v>500</v>
      </c>
    </row>
    <row r="50" spans="1:14" x14ac:dyDescent="0.3">
      <c r="A50" s="750"/>
      <c r="B50" s="87" t="s">
        <v>305</v>
      </c>
      <c r="C50" s="79">
        <v>1000</v>
      </c>
      <c r="D50" s="81">
        <v>1000</v>
      </c>
      <c r="E50" s="81">
        <v>1000</v>
      </c>
      <c r="F50" s="81">
        <v>1000</v>
      </c>
      <c r="G50" s="81">
        <v>1000</v>
      </c>
      <c r="H50" s="81">
        <v>1000</v>
      </c>
      <c r="I50" s="81">
        <v>1000</v>
      </c>
      <c r="J50" s="81">
        <v>1000</v>
      </c>
      <c r="K50" s="81">
        <v>1000</v>
      </c>
      <c r="L50" s="81">
        <v>1000</v>
      </c>
      <c r="M50" s="81">
        <v>1000</v>
      </c>
      <c r="N50" s="102">
        <v>1000</v>
      </c>
    </row>
    <row r="51" spans="1:14" x14ac:dyDescent="0.3">
      <c r="A51" s="750"/>
      <c r="B51" s="82" t="s">
        <v>124</v>
      </c>
      <c r="C51" s="110">
        <v>2500</v>
      </c>
      <c r="D51" s="83">
        <v>2500</v>
      </c>
      <c r="E51" s="83">
        <v>2500</v>
      </c>
      <c r="F51" s="83">
        <v>2500</v>
      </c>
      <c r="G51" s="83">
        <v>2500</v>
      </c>
      <c r="H51" s="83">
        <v>2500</v>
      </c>
      <c r="I51" s="83">
        <v>2500</v>
      </c>
      <c r="J51" s="83">
        <v>2500</v>
      </c>
      <c r="K51" s="83">
        <v>2500</v>
      </c>
      <c r="L51" s="83">
        <v>2500</v>
      </c>
      <c r="M51" s="83">
        <v>2500</v>
      </c>
      <c r="N51" s="101">
        <v>2500</v>
      </c>
    </row>
    <row r="52" spans="1:14" x14ac:dyDescent="0.3">
      <c r="A52" s="751"/>
      <c r="B52" s="88" t="s">
        <v>69</v>
      </c>
      <c r="C52" s="112">
        <v>0</v>
      </c>
      <c r="D52" s="89">
        <v>0</v>
      </c>
      <c r="E52" s="89">
        <v>0</v>
      </c>
      <c r="F52" s="89">
        <v>0</v>
      </c>
      <c r="G52" s="89">
        <v>0</v>
      </c>
      <c r="H52" s="89">
        <v>0</v>
      </c>
      <c r="I52" s="89">
        <v>0</v>
      </c>
      <c r="J52" s="89">
        <v>0</v>
      </c>
      <c r="K52" s="89">
        <v>0</v>
      </c>
      <c r="L52" s="89">
        <v>0</v>
      </c>
      <c r="M52" s="89">
        <v>0</v>
      </c>
      <c r="N52" s="104">
        <v>0</v>
      </c>
    </row>
    <row r="53" spans="1:14" x14ac:dyDescent="0.3">
      <c r="A53" s="749" t="s">
        <v>126</v>
      </c>
      <c r="B53" s="90" t="s">
        <v>135</v>
      </c>
      <c r="C53" s="113">
        <v>20000</v>
      </c>
      <c r="D53" s="91">
        <v>20000</v>
      </c>
      <c r="E53" s="91">
        <v>20000</v>
      </c>
      <c r="F53" s="91">
        <v>20000</v>
      </c>
      <c r="G53" s="91">
        <v>20000</v>
      </c>
      <c r="H53" s="91">
        <v>20000</v>
      </c>
      <c r="I53" s="91">
        <v>20000</v>
      </c>
      <c r="J53" s="91">
        <v>20000</v>
      </c>
      <c r="K53" s="91">
        <v>20000</v>
      </c>
      <c r="L53" s="91">
        <v>20000</v>
      </c>
      <c r="M53" s="91">
        <v>20000</v>
      </c>
      <c r="N53" s="105">
        <v>20000</v>
      </c>
    </row>
    <row r="54" spans="1:14" x14ac:dyDescent="0.3">
      <c r="A54" s="751"/>
      <c r="B54" s="88" t="s">
        <v>123</v>
      </c>
      <c r="C54" s="112">
        <v>4000</v>
      </c>
      <c r="D54" s="89">
        <v>4000</v>
      </c>
      <c r="E54" s="89">
        <v>4000</v>
      </c>
      <c r="F54" s="89">
        <v>4000</v>
      </c>
      <c r="G54" s="89">
        <v>4000</v>
      </c>
      <c r="H54" s="89">
        <v>4000</v>
      </c>
      <c r="I54" s="89">
        <v>4000</v>
      </c>
      <c r="J54" s="89">
        <v>4000</v>
      </c>
      <c r="K54" s="89">
        <v>4000</v>
      </c>
      <c r="L54" s="89">
        <v>4000</v>
      </c>
      <c r="M54" s="89">
        <v>4000</v>
      </c>
      <c r="N54" s="104">
        <v>4000</v>
      </c>
    </row>
    <row r="55" spans="1:14" x14ac:dyDescent="0.3">
      <c r="A55" s="108" t="s">
        <v>128</v>
      </c>
      <c r="B55" s="92" t="s">
        <v>127</v>
      </c>
      <c r="C55" s="113">
        <v>7000</v>
      </c>
      <c r="D55" s="91">
        <v>7000</v>
      </c>
      <c r="E55" s="91">
        <v>7000</v>
      </c>
      <c r="F55" s="91">
        <v>7000</v>
      </c>
      <c r="G55" s="91">
        <v>7000</v>
      </c>
      <c r="H55" s="91">
        <v>7000</v>
      </c>
      <c r="I55" s="91">
        <v>7000</v>
      </c>
      <c r="J55" s="91">
        <v>7000</v>
      </c>
      <c r="K55" s="91">
        <v>7000</v>
      </c>
      <c r="L55" s="91">
        <v>7000</v>
      </c>
      <c r="M55" s="91">
        <v>7000</v>
      </c>
      <c r="N55" s="105">
        <v>7000</v>
      </c>
    </row>
    <row r="56" spans="1:14" x14ac:dyDescent="0.3">
      <c r="A56" s="749" t="s">
        <v>129</v>
      </c>
      <c r="B56" s="94" t="s">
        <v>130</v>
      </c>
      <c r="C56" s="109">
        <f>C27*1.15</f>
        <v>5750</v>
      </c>
      <c r="D56" s="95">
        <f t="shared" ref="D56:N56" si="0">D27*1.15</f>
        <v>5750</v>
      </c>
      <c r="E56" s="95">
        <f t="shared" si="0"/>
        <v>5750</v>
      </c>
      <c r="F56" s="95">
        <f t="shared" si="0"/>
        <v>17250</v>
      </c>
      <c r="G56" s="95">
        <f t="shared" si="0"/>
        <v>17250</v>
      </c>
      <c r="H56" s="95">
        <f t="shared" si="0"/>
        <v>17250</v>
      </c>
      <c r="I56" s="95">
        <f t="shared" si="0"/>
        <v>17250</v>
      </c>
      <c r="J56" s="95">
        <f t="shared" si="0"/>
        <v>17250</v>
      </c>
      <c r="K56" s="95">
        <f t="shared" si="0"/>
        <v>11500</v>
      </c>
      <c r="L56" s="95">
        <f t="shared" si="0"/>
        <v>5750</v>
      </c>
      <c r="M56" s="95">
        <f t="shared" si="0"/>
        <v>5750</v>
      </c>
      <c r="N56" s="100">
        <f t="shared" si="0"/>
        <v>5750</v>
      </c>
    </row>
    <row r="57" spans="1:14" x14ac:dyDescent="0.3">
      <c r="A57" s="750"/>
      <c r="B57" s="82" t="s">
        <v>131</v>
      </c>
      <c r="C57" s="79">
        <f t="shared" ref="C57:N57" si="1">C28*1.15</f>
        <v>8049.9999999999991</v>
      </c>
      <c r="D57" s="81">
        <f t="shared" si="1"/>
        <v>8049.9999999999991</v>
      </c>
      <c r="E57" s="81">
        <f t="shared" si="1"/>
        <v>8049.9999999999991</v>
      </c>
      <c r="F57" s="81">
        <f t="shared" si="1"/>
        <v>23000</v>
      </c>
      <c r="G57" s="81">
        <f t="shared" si="1"/>
        <v>23000</v>
      </c>
      <c r="H57" s="81">
        <f t="shared" si="1"/>
        <v>23000</v>
      </c>
      <c r="I57" s="81">
        <f t="shared" si="1"/>
        <v>23000</v>
      </c>
      <c r="J57" s="81">
        <f t="shared" si="1"/>
        <v>23000</v>
      </c>
      <c r="K57" s="81">
        <f t="shared" si="1"/>
        <v>14949.999999999998</v>
      </c>
      <c r="L57" s="81">
        <f t="shared" si="1"/>
        <v>14949.999999999998</v>
      </c>
      <c r="M57" s="81">
        <f t="shared" si="1"/>
        <v>14949.999999999998</v>
      </c>
      <c r="N57" s="102">
        <f t="shared" si="1"/>
        <v>14949.999999999998</v>
      </c>
    </row>
    <row r="58" spans="1:14" x14ac:dyDescent="0.3">
      <c r="A58" s="750"/>
      <c r="B58" s="97" t="s">
        <v>132</v>
      </c>
      <c r="C58" s="79">
        <f t="shared" ref="C58:N58" si="2">C29*1.15</f>
        <v>4024.9999999999995</v>
      </c>
      <c r="D58" s="81">
        <f t="shared" si="2"/>
        <v>4024.9999999999995</v>
      </c>
      <c r="E58" s="81">
        <f t="shared" si="2"/>
        <v>4024.9999999999995</v>
      </c>
      <c r="F58" s="81">
        <f t="shared" si="2"/>
        <v>11500</v>
      </c>
      <c r="G58" s="81">
        <f t="shared" si="2"/>
        <v>11500</v>
      </c>
      <c r="H58" s="81">
        <f t="shared" si="2"/>
        <v>11500</v>
      </c>
      <c r="I58" s="81">
        <f t="shared" si="2"/>
        <v>11500</v>
      </c>
      <c r="J58" s="81">
        <f t="shared" si="2"/>
        <v>11500</v>
      </c>
      <c r="K58" s="81">
        <f t="shared" si="2"/>
        <v>6899.9999999999991</v>
      </c>
      <c r="L58" s="81">
        <f t="shared" si="2"/>
        <v>40250</v>
      </c>
      <c r="M58" s="81">
        <f t="shared" si="2"/>
        <v>40250</v>
      </c>
      <c r="N58" s="102">
        <f t="shared" si="2"/>
        <v>40250</v>
      </c>
    </row>
    <row r="59" spans="1:14" x14ac:dyDescent="0.3">
      <c r="A59" s="750"/>
      <c r="B59" s="98" t="s">
        <v>133</v>
      </c>
      <c r="C59" s="79">
        <f t="shared" ref="C59:N59" si="3">C30*1.15</f>
        <v>8049.9999999999991</v>
      </c>
      <c r="D59" s="81">
        <f t="shared" si="3"/>
        <v>8049.9999999999991</v>
      </c>
      <c r="E59" s="81">
        <f t="shared" si="3"/>
        <v>8049.9999999999991</v>
      </c>
      <c r="F59" s="81">
        <f t="shared" si="3"/>
        <v>23000</v>
      </c>
      <c r="G59" s="81">
        <f t="shared" si="3"/>
        <v>23000</v>
      </c>
      <c r="H59" s="81">
        <f t="shared" si="3"/>
        <v>23000</v>
      </c>
      <c r="I59" s="81">
        <f t="shared" si="3"/>
        <v>23000</v>
      </c>
      <c r="J59" s="81">
        <f t="shared" si="3"/>
        <v>23000</v>
      </c>
      <c r="K59" s="81">
        <f t="shared" si="3"/>
        <v>14949.999999999998</v>
      </c>
      <c r="L59" s="81">
        <f t="shared" si="3"/>
        <v>14949.999999999998</v>
      </c>
      <c r="M59" s="81">
        <f t="shared" si="3"/>
        <v>14949.999999999998</v>
      </c>
      <c r="N59" s="102">
        <f t="shared" si="3"/>
        <v>14949.999999999998</v>
      </c>
    </row>
    <row r="60" spans="1:14" x14ac:dyDescent="0.3">
      <c r="A60" s="751"/>
      <c r="B60" s="99" t="s">
        <v>140</v>
      </c>
      <c r="C60" s="112">
        <f t="shared" ref="C60:N60" si="4">C31*1.15</f>
        <v>5750</v>
      </c>
      <c r="D60" s="89">
        <f t="shared" si="4"/>
        <v>5750</v>
      </c>
      <c r="E60" s="89">
        <f t="shared" si="4"/>
        <v>5750</v>
      </c>
      <c r="F60" s="89">
        <f t="shared" si="4"/>
        <v>5750</v>
      </c>
      <c r="G60" s="89">
        <f t="shared" si="4"/>
        <v>5750</v>
      </c>
      <c r="H60" s="89">
        <f t="shared" si="4"/>
        <v>5750</v>
      </c>
      <c r="I60" s="89">
        <f t="shared" si="4"/>
        <v>5750</v>
      </c>
      <c r="J60" s="89">
        <f t="shared" si="4"/>
        <v>5750</v>
      </c>
      <c r="K60" s="89">
        <f t="shared" si="4"/>
        <v>5750</v>
      </c>
      <c r="L60" s="89">
        <f t="shared" si="4"/>
        <v>5750</v>
      </c>
      <c r="M60" s="89">
        <f t="shared" si="4"/>
        <v>5750</v>
      </c>
      <c r="N60" s="104">
        <f t="shared" si="4"/>
        <v>5750</v>
      </c>
    </row>
    <row r="61" spans="1:14" x14ac:dyDescent="0.3">
      <c r="A61" s="752" t="s">
        <v>147</v>
      </c>
      <c r="B61" s="115" t="s">
        <v>149</v>
      </c>
      <c r="C61" s="110">
        <v>0</v>
      </c>
      <c r="D61" s="83">
        <v>0</v>
      </c>
      <c r="E61" s="83">
        <v>0</v>
      </c>
      <c r="F61" s="131">
        <v>0</v>
      </c>
      <c r="G61" s="83">
        <v>0</v>
      </c>
      <c r="H61" s="83">
        <v>0</v>
      </c>
      <c r="I61" s="83">
        <v>0</v>
      </c>
      <c r="J61" s="83">
        <v>0</v>
      </c>
      <c r="K61" s="83">
        <v>0</v>
      </c>
      <c r="L61" s="83">
        <v>0</v>
      </c>
      <c r="M61" s="83">
        <v>0</v>
      </c>
      <c r="N61" s="134">
        <v>0</v>
      </c>
    </row>
    <row r="62" spans="1:14" x14ac:dyDescent="0.3">
      <c r="A62" s="753"/>
      <c r="B62" s="116" t="s">
        <v>148</v>
      </c>
      <c r="C62" s="117">
        <f>499*Hipótesis!F105</f>
        <v>0</v>
      </c>
      <c r="D62" s="118">
        <v>0</v>
      </c>
      <c r="E62" s="118">
        <v>0</v>
      </c>
      <c r="F62" s="130">
        <f>499*Hipótesis!$D$72</f>
        <v>19960</v>
      </c>
      <c r="G62" s="118">
        <v>0</v>
      </c>
      <c r="H62" s="118">
        <v>0</v>
      </c>
      <c r="I62" s="118">
        <v>0</v>
      </c>
      <c r="J62" s="118">
        <v>0</v>
      </c>
      <c r="K62" s="118">
        <v>0</v>
      </c>
      <c r="L62" s="118">
        <v>0</v>
      </c>
      <c r="M62" s="118">
        <v>0</v>
      </c>
      <c r="N62" s="133">
        <v>0</v>
      </c>
    </row>
    <row r="63" spans="1:14" x14ac:dyDescent="0.3">
      <c r="A63" s="753"/>
      <c r="B63" s="84" t="s">
        <v>150</v>
      </c>
      <c r="C63" s="110">
        <f>25*Hipótesis!$D$72</f>
        <v>1000</v>
      </c>
      <c r="D63" s="83">
        <f>25*Hipótesis!$D$72</f>
        <v>1000</v>
      </c>
      <c r="E63" s="83">
        <f>25*Hipótesis!$D$72</f>
        <v>1000</v>
      </c>
      <c r="F63" s="131">
        <f>25*Hipótesis!$D$72*2</f>
        <v>2000</v>
      </c>
      <c r="G63" s="83">
        <f>25*Hipótesis!$D$72*2</f>
        <v>2000</v>
      </c>
      <c r="H63" s="83">
        <f>25*Hipótesis!$D$72*2</f>
        <v>2000</v>
      </c>
      <c r="I63" s="83">
        <f>25*Hipótesis!$D$72*2</f>
        <v>2000</v>
      </c>
      <c r="J63" s="83">
        <f>25*Hipótesis!$D$72*2</f>
        <v>2000</v>
      </c>
      <c r="K63" s="83">
        <f>25*Hipótesis!$D$72*2</f>
        <v>2000</v>
      </c>
      <c r="L63" s="83">
        <f>25*Hipótesis!$D$72*2</f>
        <v>2000</v>
      </c>
      <c r="M63" s="83">
        <f>25*Hipótesis!$D$72*2</f>
        <v>2000</v>
      </c>
      <c r="N63" s="134">
        <f>25*Hipótesis!$D$72*2</f>
        <v>2000</v>
      </c>
    </row>
    <row r="64" spans="1:14" x14ac:dyDescent="0.3">
      <c r="A64" s="753"/>
      <c r="B64" s="116" t="s">
        <v>151</v>
      </c>
      <c r="C64" s="117">
        <f>10*Hipótesis!$D$72</f>
        <v>400</v>
      </c>
      <c r="D64" s="118">
        <f>10*Hipótesis!$D$72</f>
        <v>400</v>
      </c>
      <c r="E64" s="118">
        <f>10*Hipótesis!$D$72</f>
        <v>400</v>
      </c>
      <c r="F64" s="130">
        <f>10*Hipótesis!$D$72</f>
        <v>400</v>
      </c>
      <c r="G64" s="118">
        <f>10*Hipótesis!$D$72</f>
        <v>400</v>
      </c>
      <c r="H64" s="118">
        <f>10*Hipótesis!$D$72</f>
        <v>400</v>
      </c>
      <c r="I64" s="118">
        <f>10*Hipótesis!$D$72</f>
        <v>400</v>
      </c>
      <c r="J64" s="118">
        <f>10*Hipótesis!$D$72</f>
        <v>400</v>
      </c>
      <c r="K64" s="118">
        <f>10*Hipótesis!$D$72</f>
        <v>400</v>
      </c>
      <c r="L64" s="118">
        <f>10*Hipótesis!$D$72</f>
        <v>400</v>
      </c>
      <c r="M64" s="118">
        <f>10*Hipótesis!$D$72</f>
        <v>400</v>
      </c>
      <c r="N64" s="133">
        <f>10*Hipótesis!$D$72</f>
        <v>400</v>
      </c>
    </row>
    <row r="65" spans="1:14" x14ac:dyDescent="0.3">
      <c r="A65" s="239"/>
      <c r="B65" s="240"/>
      <c r="C65" s="96"/>
      <c r="D65" s="96"/>
      <c r="E65" s="96"/>
      <c r="F65" s="129" t="s">
        <v>157</v>
      </c>
      <c r="G65" s="96"/>
      <c r="H65" s="96"/>
      <c r="I65" s="96"/>
      <c r="J65" s="96"/>
      <c r="K65" s="96"/>
      <c r="L65" s="96"/>
      <c r="M65" s="96"/>
      <c r="N65" s="132" t="s">
        <v>157</v>
      </c>
    </row>
    <row r="66" spans="1:14" x14ac:dyDescent="0.3">
      <c r="A66" s="241"/>
      <c r="B66" s="119"/>
      <c r="C66" s="77"/>
      <c r="D66" s="77"/>
      <c r="E66" s="77"/>
      <c r="F66" s="77"/>
      <c r="G66" s="77"/>
      <c r="H66" s="77"/>
      <c r="I66" s="77"/>
      <c r="J66" s="77"/>
      <c r="K66" s="77"/>
      <c r="L66" s="77"/>
      <c r="M66" s="77"/>
      <c r="N66" s="120"/>
    </row>
    <row r="67" spans="1:14" x14ac:dyDescent="0.3">
      <c r="A67" s="742" t="s">
        <v>46</v>
      </c>
      <c r="B67" s="743"/>
      <c r="C67" s="743"/>
      <c r="D67" s="743"/>
      <c r="E67" s="743"/>
      <c r="F67" s="743"/>
      <c r="G67" s="743"/>
      <c r="H67" s="743"/>
      <c r="I67" s="743"/>
      <c r="J67" s="743"/>
      <c r="K67" s="743"/>
      <c r="L67" s="743"/>
      <c r="M67" s="743"/>
      <c r="N67" s="243">
        <f>SUM(C42:N64)</f>
        <v>1532135</v>
      </c>
    </row>
    <row r="69" spans="1:14" x14ac:dyDescent="0.3">
      <c r="A69" s="754" t="s">
        <v>49</v>
      </c>
      <c r="B69" s="755"/>
      <c r="C69" s="755"/>
      <c r="D69" s="755"/>
      <c r="E69" s="755"/>
      <c r="F69" s="755"/>
      <c r="G69" s="755"/>
      <c r="H69" s="755"/>
      <c r="I69" s="755"/>
      <c r="J69" s="755"/>
      <c r="K69" s="755"/>
      <c r="L69" s="755"/>
      <c r="M69" s="755"/>
      <c r="N69" s="756"/>
    </row>
    <row r="70" spans="1:14" x14ac:dyDescent="0.3">
      <c r="A70" s="141" t="s">
        <v>120</v>
      </c>
      <c r="B70" s="142" t="s">
        <v>121</v>
      </c>
      <c r="C70" s="142" t="s">
        <v>51</v>
      </c>
      <c r="D70" s="142" t="s">
        <v>52</v>
      </c>
      <c r="E70" s="142" t="s">
        <v>53</v>
      </c>
      <c r="F70" s="142" t="s">
        <v>54</v>
      </c>
      <c r="G70" s="142" t="s">
        <v>55</v>
      </c>
      <c r="H70" s="142" t="s">
        <v>56</v>
      </c>
      <c r="I70" s="142" t="s">
        <v>57</v>
      </c>
      <c r="J70" s="142" t="s">
        <v>58</v>
      </c>
      <c r="K70" s="142" t="s">
        <v>59</v>
      </c>
      <c r="L70" s="142" t="s">
        <v>60</v>
      </c>
      <c r="M70" s="142" t="s">
        <v>61</v>
      </c>
      <c r="N70" s="143" t="s">
        <v>62</v>
      </c>
    </row>
    <row r="71" spans="1:14" x14ac:dyDescent="0.3">
      <c r="A71" s="749" t="s">
        <v>21</v>
      </c>
      <c r="B71" s="94" t="s">
        <v>67</v>
      </c>
      <c r="C71" s="109">
        <v>2000</v>
      </c>
      <c r="D71" s="95">
        <v>2000</v>
      </c>
      <c r="E71" s="95">
        <v>2000</v>
      </c>
      <c r="F71" s="95">
        <v>2000</v>
      </c>
      <c r="G71" s="95">
        <v>2000</v>
      </c>
      <c r="H71" s="95">
        <v>2000</v>
      </c>
      <c r="I71" s="95">
        <v>2000</v>
      </c>
      <c r="J71" s="95">
        <v>2000</v>
      </c>
      <c r="K71" s="95">
        <v>2000</v>
      </c>
      <c r="L71" s="95">
        <v>2000</v>
      </c>
      <c r="M71" s="95">
        <v>2000</v>
      </c>
      <c r="N71" s="100">
        <v>2000</v>
      </c>
    </row>
    <row r="72" spans="1:14" x14ac:dyDescent="0.3">
      <c r="A72" s="750"/>
      <c r="B72" s="82" t="s">
        <v>68</v>
      </c>
      <c r="C72" s="110">
        <v>3500</v>
      </c>
      <c r="D72" s="83">
        <v>3500</v>
      </c>
      <c r="E72" s="83">
        <v>3500</v>
      </c>
      <c r="F72" s="83">
        <v>3500</v>
      </c>
      <c r="G72" s="83">
        <v>3500</v>
      </c>
      <c r="H72" s="83">
        <v>3500</v>
      </c>
      <c r="I72" s="83">
        <v>3500</v>
      </c>
      <c r="J72" s="83">
        <v>3500</v>
      </c>
      <c r="K72" s="83">
        <v>3500</v>
      </c>
      <c r="L72" s="83">
        <v>3500</v>
      </c>
      <c r="M72" s="83">
        <v>3500</v>
      </c>
      <c r="N72" s="101">
        <v>3500</v>
      </c>
    </row>
    <row r="73" spans="1:14" x14ac:dyDescent="0.3">
      <c r="A73" s="750"/>
      <c r="B73" s="48" t="s">
        <v>122</v>
      </c>
      <c r="C73" s="79">
        <v>2000</v>
      </c>
      <c r="D73" s="81">
        <v>2000</v>
      </c>
      <c r="E73" s="81">
        <v>2000</v>
      </c>
      <c r="F73" s="81">
        <v>2000</v>
      </c>
      <c r="G73" s="81">
        <v>2000</v>
      </c>
      <c r="H73" s="81">
        <v>2000</v>
      </c>
      <c r="I73" s="81">
        <v>2000</v>
      </c>
      <c r="J73" s="81">
        <v>2000</v>
      </c>
      <c r="K73" s="81">
        <v>2000</v>
      </c>
      <c r="L73" s="81">
        <v>2000</v>
      </c>
      <c r="M73" s="81">
        <v>2000</v>
      </c>
      <c r="N73" s="102">
        <v>2000</v>
      </c>
    </row>
    <row r="74" spans="1:14" x14ac:dyDescent="0.3">
      <c r="A74" s="750"/>
      <c r="B74" s="84" t="s">
        <v>145</v>
      </c>
      <c r="C74" s="111">
        <f>250*Hipótesis!$D$72</f>
        <v>10000</v>
      </c>
      <c r="D74" s="85">
        <f>250*Hipótesis!$D$72</f>
        <v>10000</v>
      </c>
      <c r="E74" s="85">
        <f>250*Hipótesis!$D$72</f>
        <v>10000</v>
      </c>
      <c r="F74" s="85">
        <f>250*Hipótesis!$D$72</f>
        <v>10000</v>
      </c>
      <c r="G74" s="85">
        <f>250*Hipótesis!$D$72</f>
        <v>10000</v>
      </c>
      <c r="H74" s="85">
        <f>250*Hipótesis!$D$72</f>
        <v>10000</v>
      </c>
      <c r="I74" s="85">
        <f>250*Hipótesis!$D$72</f>
        <v>10000</v>
      </c>
      <c r="J74" s="85">
        <f>250*Hipótesis!$D$72</f>
        <v>10000</v>
      </c>
      <c r="K74" s="85">
        <f>250*Hipótesis!$D$72</f>
        <v>10000</v>
      </c>
      <c r="L74" s="85">
        <f>250*Hipótesis!$D$72</f>
        <v>10000</v>
      </c>
      <c r="M74" s="85">
        <f>250*Hipótesis!$D$72</f>
        <v>10000</v>
      </c>
      <c r="N74" s="103">
        <f>250*Hipótesis!$D$72</f>
        <v>10000</v>
      </c>
    </row>
    <row r="75" spans="1:14" x14ac:dyDescent="0.3">
      <c r="A75" s="750"/>
      <c r="B75" s="48" t="s">
        <v>137</v>
      </c>
      <c r="C75" s="79">
        <v>1500</v>
      </c>
      <c r="D75" s="81">
        <v>1500</v>
      </c>
      <c r="E75" s="81">
        <v>1500</v>
      </c>
      <c r="F75" s="81">
        <v>1500</v>
      </c>
      <c r="G75" s="81">
        <v>1500</v>
      </c>
      <c r="H75" s="81">
        <v>1500</v>
      </c>
      <c r="I75" s="81">
        <v>1500</v>
      </c>
      <c r="J75" s="81">
        <v>1500</v>
      </c>
      <c r="K75" s="81">
        <v>1500</v>
      </c>
      <c r="L75" s="81">
        <v>1500</v>
      </c>
      <c r="M75" s="81">
        <v>1500</v>
      </c>
      <c r="N75" s="102">
        <v>1500</v>
      </c>
    </row>
    <row r="76" spans="1:14" x14ac:dyDescent="0.3">
      <c r="A76" s="750"/>
      <c r="B76" s="86" t="s">
        <v>138</v>
      </c>
      <c r="C76" s="110">
        <v>1500</v>
      </c>
      <c r="D76" s="83">
        <v>1500</v>
      </c>
      <c r="E76" s="83">
        <v>1500</v>
      </c>
      <c r="F76" s="83">
        <v>1500</v>
      </c>
      <c r="G76" s="83">
        <v>1500</v>
      </c>
      <c r="H76" s="83">
        <v>1500</v>
      </c>
      <c r="I76" s="83">
        <v>1500</v>
      </c>
      <c r="J76" s="83">
        <v>1500</v>
      </c>
      <c r="K76" s="83">
        <v>1500</v>
      </c>
      <c r="L76" s="83">
        <v>1500</v>
      </c>
      <c r="M76" s="83">
        <v>1500</v>
      </c>
      <c r="N76" s="101">
        <v>1500</v>
      </c>
    </row>
    <row r="77" spans="1:14" x14ac:dyDescent="0.3">
      <c r="A77" s="750"/>
      <c r="B77" s="87" t="s">
        <v>125</v>
      </c>
      <c r="C77" s="79">
        <v>2000</v>
      </c>
      <c r="D77" s="81">
        <v>2000</v>
      </c>
      <c r="E77" s="81">
        <v>2000</v>
      </c>
      <c r="F77" s="81">
        <v>2000</v>
      </c>
      <c r="G77" s="81">
        <v>2000</v>
      </c>
      <c r="H77" s="81">
        <v>2000</v>
      </c>
      <c r="I77" s="81">
        <v>2000</v>
      </c>
      <c r="J77" s="81">
        <v>2000</v>
      </c>
      <c r="K77" s="81">
        <v>2000</v>
      </c>
      <c r="L77" s="81">
        <v>2000</v>
      </c>
      <c r="M77" s="81">
        <v>2000</v>
      </c>
      <c r="N77" s="102">
        <v>2000</v>
      </c>
    </row>
    <row r="78" spans="1:14" x14ac:dyDescent="0.3">
      <c r="A78" s="750"/>
      <c r="B78" s="86" t="s">
        <v>161</v>
      </c>
      <c r="C78" s="110">
        <v>500</v>
      </c>
      <c r="D78" s="83">
        <v>500</v>
      </c>
      <c r="E78" s="83">
        <v>500</v>
      </c>
      <c r="F78" s="83">
        <v>500</v>
      </c>
      <c r="G78" s="83">
        <v>500</v>
      </c>
      <c r="H78" s="83">
        <v>500</v>
      </c>
      <c r="I78" s="83">
        <v>500</v>
      </c>
      <c r="J78" s="83">
        <v>500</v>
      </c>
      <c r="K78" s="83">
        <v>500</v>
      </c>
      <c r="L78" s="83">
        <v>500</v>
      </c>
      <c r="M78" s="83">
        <v>500</v>
      </c>
      <c r="N78" s="101">
        <v>500</v>
      </c>
    </row>
    <row r="79" spans="1:14" x14ac:dyDescent="0.3">
      <c r="A79" s="750"/>
      <c r="B79" s="87" t="s">
        <v>305</v>
      </c>
      <c r="C79" s="79">
        <v>1500</v>
      </c>
      <c r="D79" s="81">
        <v>1500</v>
      </c>
      <c r="E79" s="81">
        <v>1500</v>
      </c>
      <c r="F79" s="81">
        <v>1500</v>
      </c>
      <c r="G79" s="81">
        <v>1500</v>
      </c>
      <c r="H79" s="81">
        <v>1500</v>
      </c>
      <c r="I79" s="81">
        <v>1500</v>
      </c>
      <c r="J79" s="81">
        <v>1500</v>
      </c>
      <c r="K79" s="81">
        <v>1500</v>
      </c>
      <c r="L79" s="81">
        <v>1500</v>
      </c>
      <c r="M79" s="81">
        <v>1500</v>
      </c>
      <c r="N79" s="102">
        <v>1500</v>
      </c>
    </row>
    <row r="80" spans="1:14" x14ac:dyDescent="0.3">
      <c r="A80" s="750"/>
      <c r="B80" s="82" t="s">
        <v>124</v>
      </c>
      <c r="C80" s="110">
        <v>2500</v>
      </c>
      <c r="D80" s="83">
        <v>2500</v>
      </c>
      <c r="E80" s="83">
        <v>2500</v>
      </c>
      <c r="F80" s="83">
        <v>2500</v>
      </c>
      <c r="G80" s="83">
        <v>2500</v>
      </c>
      <c r="H80" s="83">
        <v>2500</v>
      </c>
      <c r="I80" s="83">
        <v>2500</v>
      </c>
      <c r="J80" s="83">
        <v>2500</v>
      </c>
      <c r="K80" s="83">
        <v>2500</v>
      </c>
      <c r="L80" s="83">
        <v>2500</v>
      </c>
      <c r="M80" s="83">
        <v>2500</v>
      </c>
      <c r="N80" s="101">
        <v>2500</v>
      </c>
    </row>
    <row r="81" spans="1:14" x14ac:dyDescent="0.3">
      <c r="A81" s="751"/>
      <c r="B81" s="88" t="s">
        <v>69</v>
      </c>
      <c r="C81" s="112">
        <v>0</v>
      </c>
      <c r="D81" s="89">
        <v>0</v>
      </c>
      <c r="E81" s="89">
        <v>0</v>
      </c>
      <c r="F81" s="89">
        <v>0</v>
      </c>
      <c r="G81" s="89">
        <v>0</v>
      </c>
      <c r="H81" s="89">
        <v>0</v>
      </c>
      <c r="I81" s="89">
        <v>0</v>
      </c>
      <c r="J81" s="89">
        <v>0</v>
      </c>
      <c r="K81" s="89">
        <v>0</v>
      </c>
      <c r="L81" s="89">
        <v>0</v>
      </c>
      <c r="M81" s="89">
        <v>0</v>
      </c>
      <c r="N81" s="104">
        <v>0</v>
      </c>
    </row>
    <row r="82" spans="1:14" x14ac:dyDescent="0.3">
      <c r="A82" s="749" t="s">
        <v>126</v>
      </c>
      <c r="B82" s="90" t="s">
        <v>135</v>
      </c>
      <c r="C82" s="113">
        <v>20000</v>
      </c>
      <c r="D82" s="91">
        <v>20000</v>
      </c>
      <c r="E82" s="91">
        <v>20000</v>
      </c>
      <c r="F82" s="91">
        <v>20000</v>
      </c>
      <c r="G82" s="91">
        <v>20000</v>
      </c>
      <c r="H82" s="91">
        <v>20000</v>
      </c>
      <c r="I82" s="91">
        <v>20000</v>
      </c>
      <c r="J82" s="91">
        <v>20000</v>
      </c>
      <c r="K82" s="91">
        <v>20000</v>
      </c>
      <c r="L82" s="91">
        <v>20000</v>
      </c>
      <c r="M82" s="91">
        <v>20000</v>
      </c>
      <c r="N82" s="105">
        <v>20000</v>
      </c>
    </row>
    <row r="83" spans="1:14" x14ac:dyDescent="0.3">
      <c r="A83" s="751"/>
      <c r="B83" s="88" t="s">
        <v>123</v>
      </c>
      <c r="C83" s="112">
        <v>4000</v>
      </c>
      <c r="D83" s="89">
        <v>4000</v>
      </c>
      <c r="E83" s="89">
        <v>4000</v>
      </c>
      <c r="F83" s="89">
        <v>4000</v>
      </c>
      <c r="G83" s="89">
        <v>4000</v>
      </c>
      <c r="H83" s="89">
        <v>4000</v>
      </c>
      <c r="I83" s="89">
        <v>4000</v>
      </c>
      <c r="J83" s="89">
        <v>4000</v>
      </c>
      <c r="K83" s="89">
        <v>4000</v>
      </c>
      <c r="L83" s="89">
        <v>4000</v>
      </c>
      <c r="M83" s="89">
        <v>4000</v>
      </c>
      <c r="N83" s="104">
        <v>4000</v>
      </c>
    </row>
    <row r="84" spans="1:14" x14ac:dyDescent="0.3">
      <c r="A84" s="108" t="s">
        <v>128</v>
      </c>
      <c r="B84" s="92" t="s">
        <v>127</v>
      </c>
      <c r="C84" s="113">
        <v>7000</v>
      </c>
      <c r="D84" s="91">
        <v>7000</v>
      </c>
      <c r="E84" s="91">
        <v>7000</v>
      </c>
      <c r="F84" s="91">
        <v>7000</v>
      </c>
      <c r="G84" s="91">
        <v>7000</v>
      </c>
      <c r="H84" s="91">
        <v>7000</v>
      </c>
      <c r="I84" s="91">
        <v>7000</v>
      </c>
      <c r="J84" s="91">
        <v>7000</v>
      </c>
      <c r="K84" s="91">
        <v>7000</v>
      </c>
      <c r="L84" s="91">
        <v>7000</v>
      </c>
      <c r="M84" s="91">
        <v>7000</v>
      </c>
      <c r="N84" s="105">
        <v>7000</v>
      </c>
    </row>
    <row r="85" spans="1:14" x14ac:dyDescent="0.3">
      <c r="A85" s="749" t="s">
        <v>129</v>
      </c>
      <c r="B85" s="94" t="s">
        <v>130</v>
      </c>
      <c r="C85" s="109">
        <f>C56*1.2</f>
        <v>6900</v>
      </c>
      <c r="D85" s="95">
        <f t="shared" ref="D85:N85" si="5">D56*1.2</f>
        <v>6900</v>
      </c>
      <c r="E85" s="95">
        <f t="shared" si="5"/>
        <v>6900</v>
      </c>
      <c r="F85" s="95">
        <f t="shared" si="5"/>
        <v>20700</v>
      </c>
      <c r="G85" s="95">
        <f t="shared" si="5"/>
        <v>20700</v>
      </c>
      <c r="H85" s="95">
        <f t="shared" si="5"/>
        <v>20700</v>
      </c>
      <c r="I85" s="95">
        <f t="shared" si="5"/>
        <v>20700</v>
      </c>
      <c r="J85" s="95">
        <f t="shared" si="5"/>
        <v>20700</v>
      </c>
      <c r="K85" s="95">
        <f t="shared" si="5"/>
        <v>13800</v>
      </c>
      <c r="L85" s="95">
        <f t="shared" si="5"/>
        <v>6900</v>
      </c>
      <c r="M85" s="95">
        <f t="shared" si="5"/>
        <v>6900</v>
      </c>
      <c r="N85" s="100">
        <f t="shared" si="5"/>
        <v>6900</v>
      </c>
    </row>
    <row r="86" spans="1:14" x14ac:dyDescent="0.3">
      <c r="A86" s="750"/>
      <c r="B86" s="82" t="s">
        <v>131</v>
      </c>
      <c r="C86" s="79">
        <f t="shared" ref="C86:N89" si="6">C57*1.2</f>
        <v>9659.9999999999982</v>
      </c>
      <c r="D86" s="81">
        <f t="shared" si="6"/>
        <v>9659.9999999999982</v>
      </c>
      <c r="E86" s="81">
        <f t="shared" si="6"/>
        <v>9659.9999999999982</v>
      </c>
      <c r="F86" s="81">
        <f t="shared" si="6"/>
        <v>27600</v>
      </c>
      <c r="G86" s="81">
        <f t="shared" si="6"/>
        <v>27600</v>
      </c>
      <c r="H86" s="81">
        <f t="shared" si="6"/>
        <v>27600</v>
      </c>
      <c r="I86" s="81">
        <f t="shared" si="6"/>
        <v>27600</v>
      </c>
      <c r="J86" s="81">
        <f t="shared" si="6"/>
        <v>27600</v>
      </c>
      <c r="K86" s="81">
        <f t="shared" si="6"/>
        <v>17939.999999999996</v>
      </c>
      <c r="L86" s="81">
        <f t="shared" si="6"/>
        <v>17939.999999999996</v>
      </c>
      <c r="M86" s="81">
        <f t="shared" si="6"/>
        <v>17939.999999999996</v>
      </c>
      <c r="N86" s="102">
        <f t="shared" si="6"/>
        <v>17939.999999999996</v>
      </c>
    </row>
    <row r="87" spans="1:14" x14ac:dyDescent="0.3">
      <c r="A87" s="750"/>
      <c r="B87" s="97" t="s">
        <v>132</v>
      </c>
      <c r="C87" s="79">
        <f t="shared" si="6"/>
        <v>4829.9999999999991</v>
      </c>
      <c r="D87" s="81">
        <f t="shared" si="6"/>
        <v>4829.9999999999991</v>
      </c>
      <c r="E87" s="81">
        <f t="shared" si="6"/>
        <v>4829.9999999999991</v>
      </c>
      <c r="F87" s="81">
        <f t="shared" si="6"/>
        <v>13800</v>
      </c>
      <c r="G87" s="81">
        <f t="shared" si="6"/>
        <v>13800</v>
      </c>
      <c r="H87" s="81">
        <f t="shared" si="6"/>
        <v>13800</v>
      </c>
      <c r="I87" s="81">
        <f t="shared" si="6"/>
        <v>13800</v>
      </c>
      <c r="J87" s="81">
        <f t="shared" si="6"/>
        <v>13800</v>
      </c>
      <c r="K87" s="81">
        <f t="shared" si="6"/>
        <v>8279.9999999999982</v>
      </c>
      <c r="L87" s="81">
        <f t="shared" si="6"/>
        <v>48300</v>
      </c>
      <c r="M87" s="81">
        <f t="shared" si="6"/>
        <v>48300</v>
      </c>
      <c r="N87" s="102">
        <f t="shared" si="6"/>
        <v>48300</v>
      </c>
    </row>
    <row r="88" spans="1:14" x14ac:dyDescent="0.3">
      <c r="A88" s="750"/>
      <c r="B88" s="98" t="s">
        <v>133</v>
      </c>
      <c r="C88" s="79">
        <f t="shared" si="6"/>
        <v>9659.9999999999982</v>
      </c>
      <c r="D88" s="81">
        <f t="shared" si="6"/>
        <v>9659.9999999999982</v>
      </c>
      <c r="E88" s="81">
        <f t="shared" si="6"/>
        <v>9659.9999999999982</v>
      </c>
      <c r="F88" s="81">
        <f t="shared" si="6"/>
        <v>27600</v>
      </c>
      <c r="G88" s="81">
        <f t="shared" si="6"/>
        <v>27600</v>
      </c>
      <c r="H88" s="81">
        <f t="shared" si="6"/>
        <v>27600</v>
      </c>
      <c r="I88" s="81">
        <f t="shared" si="6"/>
        <v>27600</v>
      </c>
      <c r="J88" s="81">
        <f t="shared" si="6"/>
        <v>27600</v>
      </c>
      <c r="K88" s="81">
        <f t="shared" si="6"/>
        <v>17939.999999999996</v>
      </c>
      <c r="L88" s="81">
        <f t="shared" si="6"/>
        <v>17939.999999999996</v>
      </c>
      <c r="M88" s="81">
        <f t="shared" si="6"/>
        <v>17939.999999999996</v>
      </c>
      <c r="N88" s="102">
        <f t="shared" si="6"/>
        <v>17939.999999999996</v>
      </c>
    </row>
    <row r="89" spans="1:14" x14ac:dyDescent="0.3">
      <c r="A89" s="751"/>
      <c r="B89" s="99" t="s">
        <v>140</v>
      </c>
      <c r="C89" s="112">
        <f t="shared" si="6"/>
        <v>6900</v>
      </c>
      <c r="D89" s="89">
        <f t="shared" si="6"/>
        <v>6900</v>
      </c>
      <c r="E89" s="89">
        <f t="shared" si="6"/>
        <v>6900</v>
      </c>
      <c r="F89" s="89">
        <f t="shared" si="6"/>
        <v>6900</v>
      </c>
      <c r="G89" s="89">
        <f t="shared" si="6"/>
        <v>6900</v>
      </c>
      <c r="H89" s="89">
        <f t="shared" si="6"/>
        <v>6900</v>
      </c>
      <c r="I89" s="89">
        <f t="shared" si="6"/>
        <v>6900</v>
      </c>
      <c r="J89" s="89">
        <f t="shared" si="6"/>
        <v>6900</v>
      </c>
      <c r="K89" s="89">
        <f t="shared" si="6"/>
        <v>6900</v>
      </c>
      <c r="L89" s="89">
        <f t="shared" si="6"/>
        <v>6900</v>
      </c>
      <c r="M89" s="89">
        <f t="shared" si="6"/>
        <v>6900</v>
      </c>
      <c r="N89" s="104">
        <f t="shared" si="6"/>
        <v>6900</v>
      </c>
    </row>
    <row r="90" spans="1:14" x14ac:dyDescent="0.3">
      <c r="A90" s="752" t="s">
        <v>147</v>
      </c>
      <c r="B90" s="115" t="s">
        <v>149</v>
      </c>
      <c r="C90" s="110">
        <v>0</v>
      </c>
      <c r="D90" s="83">
        <v>0</v>
      </c>
      <c r="E90" s="83">
        <v>0</v>
      </c>
      <c r="F90" s="146">
        <v>0</v>
      </c>
      <c r="G90" s="83">
        <v>0</v>
      </c>
      <c r="H90" s="146">
        <v>0</v>
      </c>
      <c r="I90" s="83">
        <v>0</v>
      </c>
      <c r="J90" s="83">
        <v>0</v>
      </c>
      <c r="K90" s="83">
        <v>0</v>
      </c>
      <c r="L90" s="146">
        <v>0</v>
      </c>
      <c r="M90" s="83">
        <v>0</v>
      </c>
      <c r="N90" s="101">
        <v>0</v>
      </c>
    </row>
    <row r="91" spans="1:14" x14ac:dyDescent="0.3">
      <c r="A91" s="753"/>
      <c r="B91" s="116" t="s">
        <v>148</v>
      </c>
      <c r="C91" s="117">
        <f>499*Hipótesis!F135</f>
        <v>0</v>
      </c>
      <c r="D91" s="118">
        <v>0</v>
      </c>
      <c r="E91" s="118">
        <v>0</v>
      </c>
      <c r="F91" s="145">
        <f>499*Hipótesis!$D$72</f>
        <v>19960</v>
      </c>
      <c r="G91" s="118">
        <v>0</v>
      </c>
      <c r="H91" s="145">
        <v>0</v>
      </c>
      <c r="I91" s="118">
        <v>0</v>
      </c>
      <c r="J91" s="118">
        <v>0</v>
      </c>
      <c r="K91" s="118">
        <v>0</v>
      </c>
      <c r="L91" s="145">
        <v>0</v>
      </c>
      <c r="M91" s="118">
        <v>0</v>
      </c>
      <c r="N91" s="147">
        <v>0</v>
      </c>
    </row>
    <row r="92" spans="1:14" x14ac:dyDescent="0.3">
      <c r="A92" s="753"/>
      <c r="B92" s="84" t="s">
        <v>150</v>
      </c>
      <c r="C92" s="110">
        <f>25*Hipótesis!$D$72</f>
        <v>1000</v>
      </c>
      <c r="D92" s="83">
        <f>25*Hipótesis!$D$72</f>
        <v>1000</v>
      </c>
      <c r="E92" s="83">
        <f>25*Hipótesis!$D$72</f>
        <v>1000</v>
      </c>
      <c r="F92" s="146">
        <f>25*Hipótesis!$D$72*2</f>
        <v>2000</v>
      </c>
      <c r="G92" s="83">
        <f>25*Hipótesis!$D$72*2</f>
        <v>2000</v>
      </c>
      <c r="H92" s="146">
        <f>25*Hipótesis!$D$72*3</f>
        <v>3000</v>
      </c>
      <c r="I92" s="83">
        <f>25*Hipótesis!$D$72*3</f>
        <v>3000</v>
      </c>
      <c r="J92" s="83">
        <f>25*Hipótesis!$D$72*3</f>
        <v>3000</v>
      </c>
      <c r="K92" s="83">
        <f>25*Hipótesis!$D$72*3</f>
        <v>3000</v>
      </c>
      <c r="L92" s="146">
        <f>25*Hipótesis!$D$72*4</f>
        <v>4000</v>
      </c>
      <c r="M92" s="83">
        <f>25*Hipótesis!$D$72*4</f>
        <v>4000</v>
      </c>
      <c r="N92" s="101">
        <f>25*Hipótesis!$D$72*4</f>
        <v>4000</v>
      </c>
    </row>
    <row r="93" spans="1:14" x14ac:dyDescent="0.3">
      <c r="A93" s="753"/>
      <c r="B93" s="116" t="s">
        <v>151</v>
      </c>
      <c r="C93" s="117">
        <f>10*Hipótesis!$D$72</f>
        <v>400</v>
      </c>
      <c r="D93" s="118">
        <f>10*Hipótesis!$D$72</f>
        <v>400</v>
      </c>
      <c r="E93" s="118">
        <f>10*Hipótesis!$D$72</f>
        <v>400</v>
      </c>
      <c r="F93" s="145">
        <f>10*Hipótesis!$D$72</f>
        <v>400</v>
      </c>
      <c r="G93" s="118">
        <f>10*Hipótesis!$D$72</f>
        <v>400</v>
      </c>
      <c r="H93" s="145">
        <f>10*Hipótesis!$D$72</f>
        <v>400</v>
      </c>
      <c r="I93" s="118">
        <f>10*Hipótesis!$D$72</f>
        <v>400</v>
      </c>
      <c r="J93" s="118">
        <f>10*Hipótesis!$D$72</f>
        <v>400</v>
      </c>
      <c r="K93" s="118">
        <f>10*Hipótesis!$D$72</f>
        <v>400</v>
      </c>
      <c r="L93" s="145">
        <f>10*Hipótesis!$D$72</f>
        <v>400</v>
      </c>
      <c r="M93" s="118">
        <f>10*Hipótesis!$D$72</f>
        <v>400</v>
      </c>
      <c r="N93" s="147">
        <f>10*Hipótesis!$D$72</f>
        <v>400</v>
      </c>
    </row>
    <row r="94" spans="1:14" x14ac:dyDescent="0.3">
      <c r="A94" s="244"/>
      <c r="B94" s="245"/>
      <c r="C94" s="245"/>
      <c r="D94" s="245"/>
      <c r="E94" s="245"/>
      <c r="F94" s="144" t="s">
        <v>157</v>
      </c>
      <c r="G94" s="245"/>
      <c r="H94" s="246" t="s">
        <v>157</v>
      </c>
      <c r="I94" s="245"/>
      <c r="J94" s="245"/>
      <c r="K94" s="245"/>
      <c r="L94" s="246" t="s">
        <v>157</v>
      </c>
      <c r="M94" s="245"/>
      <c r="N94" s="247"/>
    </row>
    <row r="95" spans="1:14" x14ac:dyDescent="0.3">
      <c r="A95" s="248"/>
      <c r="B95" s="44"/>
      <c r="C95" s="44"/>
      <c r="D95" s="44"/>
      <c r="E95" s="44"/>
      <c r="F95" s="44"/>
      <c r="G95" s="44"/>
      <c r="H95" s="44"/>
      <c r="I95" s="44"/>
      <c r="J95" s="44"/>
      <c r="K95" s="44"/>
      <c r="L95" s="44"/>
      <c r="M95" s="44"/>
      <c r="N95" s="249"/>
    </row>
    <row r="96" spans="1:14" x14ac:dyDescent="0.3">
      <c r="A96" s="744" t="s">
        <v>46</v>
      </c>
      <c r="B96" s="745"/>
      <c r="C96" s="745"/>
      <c r="D96" s="745"/>
      <c r="E96" s="745"/>
      <c r="F96" s="745"/>
      <c r="G96" s="745"/>
      <c r="H96" s="745"/>
      <c r="I96" s="745"/>
      <c r="J96" s="745"/>
      <c r="K96" s="745"/>
      <c r="L96" s="745"/>
      <c r="M96" s="745"/>
      <c r="N96" s="250">
        <f>SUM(C71:N93)</f>
        <v>1707410</v>
      </c>
    </row>
  </sheetData>
  <mergeCells count="21">
    <mergeCell ref="O27:O30"/>
    <mergeCell ref="A32:A35"/>
    <mergeCell ref="A40:N40"/>
    <mergeCell ref="A42:A52"/>
    <mergeCell ref="A53:A54"/>
    <mergeCell ref="A27:A31"/>
    <mergeCell ref="A38:M38"/>
    <mergeCell ref="A67:M67"/>
    <mergeCell ref="A96:M96"/>
    <mergeCell ref="A1:M1"/>
    <mergeCell ref="A11:N11"/>
    <mergeCell ref="A13:A23"/>
    <mergeCell ref="A24:A25"/>
    <mergeCell ref="A61:A64"/>
    <mergeCell ref="A56:A60"/>
    <mergeCell ref="A69:N69"/>
    <mergeCell ref="A71:A81"/>
    <mergeCell ref="A82:A83"/>
    <mergeCell ref="A85:A89"/>
    <mergeCell ref="A90:A93"/>
    <mergeCell ref="F2:G2"/>
  </mergeCells>
  <hyperlinks>
    <hyperlink ref="F2" location="Índice!A1" display="Regresar al índice" xr:uid="{29D235E4-D86B-44A4-9969-6D046EC9DAB7}"/>
    <hyperlink ref="A2" location="'Modelo de ingresos'!A1" display="[M. Ingresos]" xr:uid="{2783E4CC-177C-4B84-A52E-164B51206011}"/>
    <hyperlink ref="M2" location="'Estructura de costos variables'!A1" display="[Costos Variables]" xr:uid="{340A1553-8EFD-4646-8892-73650667E066}"/>
  </hyperlinks>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9EFE0-D87B-4266-ACA6-3E856FEDEEAC}">
  <dimension ref="A1:N38"/>
  <sheetViews>
    <sheetView showGridLines="0" zoomScaleNormal="100" workbookViewId="0">
      <pane ySplit="2" topLeftCell="A3" activePane="bottomLeft" state="frozen"/>
      <selection pane="bottomLeft" activeCell="A13" sqref="A13:M18"/>
    </sheetView>
  </sheetViews>
  <sheetFormatPr baseColWidth="10" defaultRowHeight="14.4" x14ac:dyDescent="0.3"/>
  <cols>
    <col min="1" max="1" width="41.5546875" bestFit="1" customWidth="1"/>
    <col min="2" max="2" width="6.109375" bestFit="1" customWidth="1"/>
    <col min="3" max="3" width="7.6640625" bestFit="1" customWidth="1"/>
    <col min="4" max="4" width="13.6640625" bestFit="1" customWidth="1"/>
    <col min="5" max="5" width="15.6640625" bestFit="1" customWidth="1"/>
    <col min="6" max="6" width="11.88671875" bestFit="1" customWidth="1"/>
    <col min="7" max="7" width="13.5546875" bestFit="1" customWidth="1"/>
    <col min="8" max="9" width="14.5546875" bestFit="1" customWidth="1"/>
    <col min="10" max="10" width="11.88671875" bestFit="1" customWidth="1"/>
    <col min="11" max="11" width="7.88671875" bestFit="1" customWidth="1"/>
    <col min="12" max="12" width="10.44140625" bestFit="1" customWidth="1"/>
    <col min="13" max="13" width="13.5546875" bestFit="1" customWidth="1"/>
    <col min="14" max="14" width="13.21875" bestFit="1" customWidth="1"/>
  </cols>
  <sheetData>
    <row r="1" spans="1:14" ht="21" x14ac:dyDescent="0.4">
      <c r="A1" s="686" t="s">
        <v>158</v>
      </c>
      <c r="B1" s="686"/>
      <c r="C1" s="686"/>
      <c r="D1" s="686"/>
      <c r="E1" s="686"/>
      <c r="F1" s="686"/>
      <c r="G1" s="686"/>
      <c r="H1" s="686"/>
      <c r="I1" s="686"/>
      <c r="J1" s="686"/>
      <c r="K1" s="686"/>
      <c r="L1" s="686"/>
      <c r="M1" s="686"/>
    </row>
    <row r="2" spans="1:14" ht="19.8" customHeight="1" x14ac:dyDescent="0.65">
      <c r="A2" s="502" t="s">
        <v>297</v>
      </c>
      <c r="C2" s="12"/>
      <c r="D2" s="12"/>
      <c r="E2" s="12"/>
      <c r="F2" s="740" t="s">
        <v>35</v>
      </c>
      <c r="G2" s="740"/>
      <c r="M2" s="502" t="s">
        <v>298</v>
      </c>
    </row>
    <row r="4" spans="1:14" x14ac:dyDescent="0.3">
      <c r="D4" s="435" t="s">
        <v>50</v>
      </c>
      <c r="E4" s="436">
        <f>'Proyección de ventas'!E4</f>
        <v>220267960</v>
      </c>
      <c r="F4" s="382"/>
      <c r="G4" s="437" t="s">
        <v>47</v>
      </c>
      <c r="H4" s="437" t="s">
        <v>48</v>
      </c>
      <c r="I4" s="438" t="s">
        <v>49</v>
      </c>
    </row>
    <row r="5" spans="1:14" x14ac:dyDescent="0.3">
      <c r="D5" s="439" t="s">
        <v>20</v>
      </c>
      <c r="E5" s="434">
        <f>'Proyección de ventas'!E5</f>
        <v>83448280</v>
      </c>
      <c r="F5" s="385"/>
      <c r="G5" s="430"/>
      <c r="H5" s="430"/>
      <c r="I5" s="440"/>
    </row>
    <row r="6" spans="1:14" x14ac:dyDescent="0.3">
      <c r="D6" s="439" t="s">
        <v>21</v>
      </c>
      <c r="E6" s="434">
        <f>'Proyección de ventas'!E6</f>
        <v>136819680</v>
      </c>
      <c r="F6" s="385"/>
      <c r="G6" s="430"/>
      <c r="H6" s="430"/>
      <c r="I6" s="440"/>
    </row>
    <row r="7" spans="1:14" x14ac:dyDescent="0.3">
      <c r="D7" s="441" t="s">
        <v>80</v>
      </c>
      <c r="E7" s="431">
        <f>'Proyección de ventas'!E7</f>
        <v>7.0000000000000007E-2</v>
      </c>
      <c r="F7" s="385"/>
      <c r="G7" s="433">
        <f>'Proyección de ventas'!G7</f>
        <v>0.03</v>
      </c>
      <c r="H7" s="433">
        <f>'Proyección de ventas'!H7</f>
        <v>0.05</v>
      </c>
      <c r="I7" s="442">
        <f>'Proyección de ventas'!I7</f>
        <v>7.0000000000000007E-2</v>
      </c>
    </row>
    <row r="8" spans="1:14" x14ac:dyDescent="0.3">
      <c r="D8" s="443" t="s">
        <v>83</v>
      </c>
      <c r="E8" s="444">
        <f>'Proyección de ventas'!E8</f>
        <v>15418757.200000001</v>
      </c>
      <c r="F8" s="445"/>
      <c r="G8" s="446">
        <f>'Proyección de ventas'!G8</f>
        <v>6608038.7999999998</v>
      </c>
      <c r="H8" s="446">
        <f>'Proyección de ventas'!H8</f>
        <v>11013398</v>
      </c>
      <c r="I8" s="447">
        <f>'Proyección de ventas'!I8</f>
        <v>15418757.200000001</v>
      </c>
    </row>
    <row r="9" spans="1:14" x14ac:dyDescent="0.3">
      <c r="A9" s="13"/>
      <c r="B9" s="13"/>
      <c r="C9" s="13"/>
      <c r="D9" s="75"/>
      <c r="E9" s="76"/>
      <c r="F9" s="14"/>
      <c r="G9" s="77"/>
      <c r="H9" s="77"/>
      <c r="I9" s="77"/>
      <c r="J9" s="13"/>
    </row>
    <row r="10" spans="1:14" x14ac:dyDescent="0.3">
      <c r="A10" s="7" t="s">
        <v>142</v>
      </c>
      <c r="B10" s="13"/>
      <c r="C10" s="13"/>
      <c r="D10" s="75"/>
      <c r="E10" s="76"/>
      <c r="F10" s="14"/>
      <c r="G10" s="77"/>
      <c r="H10" s="77"/>
      <c r="I10" s="77"/>
      <c r="J10" s="13"/>
    </row>
    <row r="11" spans="1:14" ht="30.6" customHeight="1" x14ac:dyDescent="0.3">
      <c r="A11" s="769" t="s">
        <v>306</v>
      </c>
      <c r="B11" s="757"/>
      <c r="C11" s="757"/>
      <c r="D11" s="757"/>
      <c r="E11" s="757"/>
      <c r="F11" s="757"/>
      <c r="G11" s="757"/>
      <c r="H11" s="757"/>
      <c r="I11" s="757"/>
      <c r="J11" s="757"/>
      <c r="K11" s="757"/>
      <c r="L11" s="757"/>
      <c r="M11" s="757"/>
    </row>
    <row r="12" spans="1:14" x14ac:dyDescent="0.3">
      <c r="A12" s="13"/>
      <c r="B12" s="13"/>
      <c r="C12" s="13"/>
      <c r="D12" s="75"/>
      <c r="E12" s="76"/>
      <c r="F12" s="14"/>
      <c r="G12" s="77"/>
      <c r="H12" s="77"/>
      <c r="I12" s="77"/>
      <c r="J12" s="13"/>
    </row>
    <row r="13" spans="1:14" x14ac:dyDescent="0.3">
      <c r="A13" s="746" t="s">
        <v>47</v>
      </c>
      <c r="B13" s="747"/>
      <c r="C13" s="747"/>
      <c r="D13" s="747"/>
      <c r="E13" s="747"/>
      <c r="F13" s="747"/>
      <c r="G13" s="747"/>
      <c r="H13" s="747"/>
      <c r="I13" s="747"/>
      <c r="J13" s="747"/>
      <c r="K13" s="747"/>
      <c r="L13" s="747"/>
      <c r="M13" s="748"/>
    </row>
    <row r="14" spans="1:14" x14ac:dyDescent="0.3">
      <c r="A14" s="135" t="s">
        <v>121</v>
      </c>
      <c r="B14" s="136" t="s">
        <v>51</v>
      </c>
      <c r="C14" s="136" t="s">
        <v>52</v>
      </c>
      <c r="D14" s="136" t="s">
        <v>53</v>
      </c>
      <c r="E14" s="136" t="s">
        <v>54</v>
      </c>
      <c r="F14" s="136" t="s">
        <v>55</v>
      </c>
      <c r="G14" s="136" t="s">
        <v>56</v>
      </c>
      <c r="H14" s="136" t="s">
        <v>57</v>
      </c>
      <c r="I14" s="136" t="s">
        <v>58</v>
      </c>
      <c r="J14" s="136" t="s">
        <v>59</v>
      </c>
      <c r="K14" s="136" t="s">
        <v>60</v>
      </c>
      <c r="L14" s="136" t="s">
        <v>61</v>
      </c>
      <c r="M14" s="137" t="s">
        <v>62</v>
      </c>
      <c r="N14" s="149"/>
    </row>
    <row r="15" spans="1:14" x14ac:dyDescent="0.3">
      <c r="A15" s="150" t="s">
        <v>261</v>
      </c>
      <c r="B15" s="109">
        <v>0</v>
      </c>
      <c r="C15" s="164">
        <v>0</v>
      </c>
      <c r="D15" s="164">
        <v>0</v>
      </c>
      <c r="E15" s="164">
        <f>('Proyección de ventas'!C30+'Proyección de ventas'!F30+'Proyección de ventas'!I30+'Proyección de ventas'!L30)*0.03</f>
        <v>37760.221714285719</v>
      </c>
      <c r="F15" s="164">
        <v>0</v>
      </c>
      <c r="G15" s="164">
        <v>0</v>
      </c>
      <c r="H15" s="164">
        <v>0</v>
      </c>
      <c r="I15" s="164">
        <f>('Proyección de ventas'!O30+'Proyección de ventas'!R30+'Proyección de ventas'!U30+'Proyección de ventas'!X30)*0.03</f>
        <v>98176.576457142859</v>
      </c>
      <c r="J15" s="164">
        <v>0</v>
      </c>
      <c r="K15" s="164">
        <v>0</v>
      </c>
      <c r="L15" s="164">
        <v>0</v>
      </c>
      <c r="M15" s="165">
        <f>('Proyección de ventas'!AA30+'Proyección de ventas'!AD30+'Proyección de ventas'!AG30+'Proyección de ventas'!AJ30)*0.03</f>
        <v>62304.365828571426</v>
      </c>
    </row>
    <row r="16" spans="1:14" x14ac:dyDescent="0.3">
      <c r="A16" s="151" t="s">
        <v>160</v>
      </c>
      <c r="B16" s="110">
        <v>0</v>
      </c>
      <c r="C16" s="166">
        <v>0</v>
      </c>
      <c r="D16" s="166">
        <v>0</v>
      </c>
      <c r="E16" s="166">
        <f>'Proyección de ventas'!I30*0.1</f>
        <v>25173.481142857148</v>
      </c>
      <c r="F16" s="166">
        <f>'Proyección de ventas'!O30*0.1</f>
        <v>62933.702857142853</v>
      </c>
      <c r="G16" s="166">
        <f>'Proyección de ventas'!R30*0.1</f>
        <v>88107.184000000008</v>
      </c>
      <c r="H16" s="166">
        <f>'Proyección de ventas'!U30*0.1</f>
        <v>100693.92457142859</v>
      </c>
      <c r="I16" s="166">
        <f>'Proyección de ventas'!X30*0.1</f>
        <v>75520.443428571438</v>
      </c>
      <c r="J16" s="166">
        <f>'Proyección de ventas'!AA30*0.1</f>
        <v>62933.702857142853</v>
      </c>
      <c r="K16" s="166">
        <v>0</v>
      </c>
      <c r="L16" s="166">
        <v>0</v>
      </c>
      <c r="M16" s="167">
        <v>0</v>
      </c>
    </row>
    <row r="17" spans="1:14" x14ac:dyDescent="0.3">
      <c r="A17" s="152" t="s">
        <v>159</v>
      </c>
      <c r="B17" s="79">
        <v>0</v>
      </c>
      <c r="C17" s="168">
        <v>0</v>
      </c>
      <c r="D17" s="168">
        <v>0</v>
      </c>
      <c r="E17" s="168">
        <v>0</v>
      </c>
      <c r="F17" s="168">
        <v>0</v>
      </c>
      <c r="G17" s="168">
        <v>0</v>
      </c>
      <c r="H17" s="168">
        <v>0</v>
      </c>
      <c r="I17" s="168">
        <v>0</v>
      </c>
      <c r="J17" s="168">
        <v>0</v>
      </c>
      <c r="K17" s="168">
        <v>0</v>
      </c>
      <c r="L17" s="168">
        <v>0</v>
      </c>
      <c r="M17" s="169">
        <f>'Proyección de ventas'!AJ28*0.15</f>
        <v>28610.838857142859</v>
      </c>
    </row>
    <row r="18" spans="1:14" x14ac:dyDescent="0.3">
      <c r="A18" s="765" t="s">
        <v>46</v>
      </c>
      <c r="B18" s="766"/>
      <c r="C18" s="766"/>
      <c r="D18" s="766"/>
      <c r="E18" s="766"/>
      <c r="F18" s="766"/>
      <c r="G18" s="766"/>
      <c r="H18" s="766"/>
      <c r="I18" s="766"/>
      <c r="J18" s="766"/>
      <c r="K18" s="766"/>
      <c r="L18" s="766"/>
      <c r="M18" s="251">
        <f>SUM(B15:M17)</f>
        <v>642214.44171428576</v>
      </c>
    </row>
    <row r="20" spans="1:14" x14ac:dyDescent="0.3">
      <c r="A20" s="7" t="s">
        <v>142</v>
      </c>
      <c r="B20" s="13"/>
      <c r="C20" s="13"/>
      <c r="D20" s="75"/>
      <c r="E20" s="76"/>
      <c r="F20" s="14"/>
      <c r="G20" s="77"/>
      <c r="H20" s="77"/>
      <c r="I20" s="77"/>
      <c r="J20" s="13"/>
    </row>
    <row r="21" spans="1:14" ht="28.8" customHeight="1" x14ac:dyDescent="0.3">
      <c r="A21" s="769" t="s">
        <v>312</v>
      </c>
      <c r="B21" s="757"/>
      <c r="C21" s="757"/>
      <c r="D21" s="757"/>
      <c r="E21" s="757"/>
      <c r="F21" s="757"/>
      <c r="G21" s="757"/>
      <c r="H21" s="757"/>
      <c r="I21" s="757"/>
      <c r="J21" s="757"/>
      <c r="K21" s="757"/>
      <c r="L21" s="757"/>
      <c r="M21" s="757"/>
    </row>
    <row r="22" spans="1:14" x14ac:dyDescent="0.3">
      <c r="A22" s="368"/>
      <c r="B22" s="358"/>
      <c r="C22" s="358"/>
      <c r="D22" s="358"/>
      <c r="E22" s="358"/>
      <c r="F22" s="358"/>
      <c r="G22" s="358"/>
      <c r="H22" s="358"/>
      <c r="I22" s="358"/>
      <c r="J22" s="358"/>
      <c r="K22" s="358"/>
      <c r="L22" s="358"/>
      <c r="M22" s="358"/>
    </row>
    <row r="23" spans="1:14" x14ac:dyDescent="0.3">
      <c r="A23" s="758" t="s">
        <v>48</v>
      </c>
      <c r="B23" s="759"/>
      <c r="C23" s="759"/>
      <c r="D23" s="759"/>
      <c r="E23" s="759"/>
      <c r="F23" s="759"/>
      <c r="G23" s="759"/>
      <c r="H23" s="759"/>
      <c r="I23" s="759"/>
      <c r="J23" s="759"/>
      <c r="K23" s="759"/>
      <c r="L23" s="759"/>
      <c r="M23" s="760"/>
    </row>
    <row r="24" spans="1:14" x14ac:dyDescent="0.3">
      <c r="A24" s="138" t="s">
        <v>121</v>
      </c>
      <c r="B24" s="139" t="s">
        <v>51</v>
      </c>
      <c r="C24" s="139" t="s">
        <v>52</v>
      </c>
      <c r="D24" s="139" t="s">
        <v>53</v>
      </c>
      <c r="E24" s="139" t="s">
        <v>54</v>
      </c>
      <c r="F24" s="139" t="s">
        <v>55</v>
      </c>
      <c r="G24" s="139" t="s">
        <v>56</v>
      </c>
      <c r="H24" s="139" t="s">
        <v>57</v>
      </c>
      <c r="I24" s="139" t="s">
        <v>58</v>
      </c>
      <c r="J24" s="139" t="s">
        <v>59</v>
      </c>
      <c r="K24" s="139" t="s">
        <v>60</v>
      </c>
      <c r="L24" s="139" t="s">
        <v>61</v>
      </c>
      <c r="M24" s="140" t="s">
        <v>62</v>
      </c>
      <c r="N24" s="149"/>
    </row>
    <row r="25" spans="1:14" x14ac:dyDescent="0.3">
      <c r="A25" s="150" t="s">
        <v>261</v>
      </c>
      <c r="B25" s="109">
        <v>0</v>
      </c>
      <c r="C25" s="95">
        <v>0</v>
      </c>
      <c r="D25" s="95">
        <v>0</v>
      </c>
      <c r="E25" s="95">
        <f>('Proyección de ventas'!C47+'Proyección de ventas'!F47+'Proyección de ventas'!I47+'Proyección de ventas'!L47)*0.03</f>
        <v>62933.702857142853</v>
      </c>
      <c r="F25" s="95">
        <v>0</v>
      </c>
      <c r="G25" s="95">
        <v>0</v>
      </c>
      <c r="H25" s="95">
        <v>0</v>
      </c>
      <c r="I25" s="95">
        <f>('Proyección de ventas'!O47+'Proyección de ventas'!R47+'Proyección de ventas'!U47+'Proyección de ventas'!X47)*0.03</f>
        <v>163627.62742857143</v>
      </c>
      <c r="J25" s="95">
        <v>0</v>
      </c>
      <c r="K25" s="95">
        <v>0</v>
      </c>
      <c r="L25" s="95">
        <v>0</v>
      </c>
      <c r="M25" s="100">
        <f>('Proyección de ventas'!AA47+'Proyección de ventas'!AD47+'Proyección de ventas'!AG47+'Proyección de ventas'!AJ47)*0.03</f>
        <v>103840.6097142857</v>
      </c>
    </row>
    <row r="26" spans="1:14" x14ac:dyDescent="0.3">
      <c r="A26" s="151" t="s">
        <v>160</v>
      </c>
      <c r="B26" s="110">
        <v>0</v>
      </c>
      <c r="C26" s="83">
        <v>0</v>
      </c>
      <c r="D26" s="83">
        <v>0</v>
      </c>
      <c r="E26" s="83">
        <f>'Proyección de ventas'!L47*0.1</f>
        <v>62933.702857142853</v>
      </c>
      <c r="F26" s="83">
        <f>'Proyección de ventas'!O47*0.1</f>
        <v>104889.50476190477</v>
      </c>
      <c r="G26" s="83">
        <f>'Proyección de ventas'!R47*0.1</f>
        <v>146845.30666666667</v>
      </c>
      <c r="H26" s="83">
        <f>'Proyección de ventas'!U47*0.1</f>
        <v>167823.20761904764</v>
      </c>
      <c r="I26" s="83">
        <f>'Proyección de ventas'!X47*0.1</f>
        <v>125867.40571428571</v>
      </c>
      <c r="J26" s="83">
        <f>'Proyección de ventas'!AA47*0.1</f>
        <v>104889.50476190477</v>
      </c>
      <c r="K26" s="83">
        <v>0</v>
      </c>
      <c r="L26" s="83">
        <v>0</v>
      </c>
      <c r="M26" s="101">
        <v>0</v>
      </c>
    </row>
    <row r="27" spans="1:14" x14ac:dyDescent="0.3">
      <c r="A27" s="152" t="s">
        <v>159</v>
      </c>
      <c r="B27" s="79">
        <v>0</v>
      </c>
      <c r="C27" s="81">
        <v>0</v>
      </c>
      <c r="D27" s="81">
        <v>0</v>
      </c>
      <c r="E27" s="81">
        <v>0</v>
      </c>
      <c r="F27" s="81">
        <v>0</v>
      </c>
      <c r="G27" s="81">
        <v>0</v>
      </c>
      <c r="H27" s="81">
        <v>0</v>
      </c>
      <c r="I27" s="81">
        <v>0</v>
      </c>
      <c r="J27" s="81">
        <v>0</v>
      </c>
      <c r="K27" s="81">
        <v>0</v>
      </c>
      <c r="L27" s="81">
        <v>0</v>
      </c>
      <c r="M27" s="102">
        <f>'Proyección de ventas'!AJ45*0.15</f>
        <v>47684.731428571431</v>
      </c>
    </row>
    <row r="28" spans="1:14" x14ac:dyDescent="0.3">
      <c r="A28" s="767" t="s">
        <v>46</v>
      </c>
      <c r="B28" s="768"/>
      <c r="C28" s="768"/>
      <c r="D28" s="768"/>
      <c r="E28" s="768"/>
      <c r="F28" s="768"/>
      <c r="G28" s="768"/>
      <c r="H28" s="768"/>
      <c r="I28" s="768"/>
      <c r="J28" s="768"/>
      <c r="K28" s="768"/>
      <c r="L28" s="768"/>
      <c r="M28" s="252">
        <f>SUM(B25:M27)</f>
        <v>1091335.3038095238</v>
      </c>
    </row>
    <row r="30" spans="1:14" x14ac:dyDescent="0.3">
      <c r="A30" s="7" t="s">
        <v>142</v>
      </c>
      <c r="B30" s="13"/>
      <c r="C30" s="13"/>
      <c r="D30" s="75"/>
      <c r="E30" s="76"/>
      <c r="F30" s="14"/>
      <c r="G30" s="77"/>
      <c r="H30" s="77"/>
      <c r="I30" s="77"/>
      <c r="J30" s="13"/>
    </row>
    <row r="31" spans="1:14" ht="43.8" customHeight="1" x14ac:dyDescent="0.3">
      <c r="A31" s="769" t="s">
        <v>313</v>
      </c>
      <c r="B31" s="757"/>
      <c r="C31" s="757"/>
      <c r="D31" s="757"/>
      <c r="E31" s="757"/>
      <c r="F31" s="757"/>
      <c r="G31" s="757"/>
      <c r="H31" s="757"/>
      <c r="I31" s="757"/>
      <c r="J31" s="757"/>
      <c r="K31" s="757"/>
      <c r="L31" s="757"/>
      <c r="M31" s="757"/>
    </row>
    <row r="33" spans="1:14" x14ac:dyDescent="0.3">
      <c r="A33" s="754" t="s">
        <v>49</v>
      </c>
      <c r="B33" s="755"/>
      <c r="C33" s="755"/>
      <c r="D33" s="755"/>
      <c r="E33" s="755"/>
      <c r="F33" s="755"/>
      <c r="G33" s="755"/>
      <c r="H33" s="755"/>
      <c r="I33" s="755"/>
      <c r="J33" s="755"/>
      <c r="K33" s="755"/>
      <c r="L33" s="755"/>
      <c r="M33" s="756"/>
    </row>
    <row r="34" spans="1:14" x14ac:dyDescent="0.3">
      <c r="A34" s="141" t="s">
        <v>121</v>
      </c>
      <c r="B34" s="142" t="s">
        <v>51</v>
      </c>
      <c r="C34" s="142" t="s">
        <v>52</v>
      </c>
      <c r="D34" s="142" t="s">
        <v>53</v>
      </c>
      <c r="E34" s="142" t="s">
        <v>54</v>
      </c>
      <c r="F34" s="142" t="s">
        <v>55</v>
      </c>
      <c r="G34" s="142" t="s">
        <v>56</v>
      </c>
      <c r="H34" s="142" t="s">
        <v>57</v>
      </c>
      <c r="I34" s="142" t="s">
        <v>58</v>
      </c>
      <c r="J34" s="142" t="s">
        <v>59</v>
      </c>
      <c r="K34" s="142" t="s">
        <v>60</v>
      </c>
      <c r="L34" s="142" t="s">
        <v>61</v>
      </c>
      <c r="M34" s="143" t="s">
        <v>62</v>
      </c>
      <c r="N34" s="149"/>
    </row>
    <row r="35" spans="1:14" x14ac:dyDescent="0.3">
      <c r="A35" s="150" t="s">
        <v>261</v>
      </c>
      <c r="B35" s="109">
        <v>0</v>
      </c>
      <c r="C35" s="95">
        <v>0</v>
      </c>
      <c r="D35" s="95">
        <v>0</v>
      </c>
      <c r="E35" s="95">
        <f>('Proyección de ventas'!C64+'Proyección de ventas'!F64+'Proyección de ventas'!I64+'Proyección de ventas'!L64)*0.03</f>
        <v>88107.184000000008</v>
      </c>
      <c r="F35" s="95">
        <v>0</v>
      </c>
      <c r="G35" s="95">
        <v>0</v>
      </c>
      <c r="H35" s="95">
        <v>0</v>
      </c>
      <c r="I35" s="95">
        <f>('Proyección de ventas'!O64+'Proyección de ventas'!R64+'Proyección de ventas'!U64+'Proyección de ventas'!X64)*0.03</f>
        <v>229078.6784</v>
      </c>
      <c r="J35" s="95">
        <v>0</v>
      </c>
      <c r="K35" s="95">
        <v>0</v>
      </c>
      <c r="L35" s="95">
        <v>0</v>
      </c>
      <c r="M35" s="100">
        <f>('Proyección de ventas'!AA64+'Proyección de ventas'!AD64+'Proyección de ventas'!AG64+'Proyección de ventas'!AJ64)*0.03</f>
        <v>145376.85360000003</v>
      </c>
    </row>
    <row r="36" spans="1:14" x14ac:dyDescent="0.3">
      <c r="A36" s="151" t="s">
        <v>160</v>
      </c>
      <c r="B36" s="110">
        <v>0</v>
      </c>
      <c r="C36" s="83">
        <v>0</v>
      </c>
      <c r="D36" s="83">
        <v>0</v>
      </c>
      <c r="E36" s="83">
        <f>'Proyección de ventas'!L64*0.1</f>
        <v>88107.184000000008</v>
      </c>
      <c r="F36" s="83">
        <f>'Proyección de ventas'!O64*0.1</f>
        <v>146845.3066666667</v>
      </c>
      <c r="G36" s="83">
        <f>'Proyección de ventas'!R64*0.1</f>
        <v>205583.42933333336</v>
      </c>
      <c r="H36" s="83">
        <f>'Proyección de ventas'!U64*0.1</f>
        <v>234952.49066666674</v>
      </c>
      <c r="I36" s="83">
        <f>'Proyección de ventas'!X64*0.1</f>
        <v>176214.36800000002</v>
      </c>
      <c r="J36" s="83">
        <f>'Proyección de ventas'!AA64*0.1</f>
        <v>146845.3066666667</v>
      </c>
      <c r="K36" s="83">
        <v>0</v>
      </c>
      <c r="L36" s="83">
        <v>0</v>
      </c>
      <c r="M36" s="101">
        <v>0</v>
      </c>
    </row>
    <row r="37" spans="1:14" x14ac:dyDescent="0.3">
      <c r="A37" s="152" t="s">
        <v>159</v>
      </c>
      <c r="B37" s="79">
        <v>0</v>
      </c>
      <c r="C37" s="81">
        <v>0</v>
      </c>
      <c r="D37" s="81">
        <v>0</v>
      </c>
      <c r="E37" s="81">
        <v>0</v>
      </c>
      <c r="F37" s="81">
        <v>0</v>
      </c>
      <c r="G37" s="81">
        <v>0</v>
      </c>
      <c r="H37" s="81">
        <v>0</v>
      </c>
      <c r="I37" s="81">
        <v>0</v>
      </c>
      <c r="J37" s="81">
        <v>0</v>
      </c>
      <c r="K37" s="81">
        <v>0</v>
      </c>
      <c r="L37" s="81">
        <v>0</v>
      </c>
      <c r="M37" s="102">
        <f>'Proyección de ventas'!AJ64*0.15</f>
        <v>176214.36800000005</v>
      </c>
    </row>
    <row r="38" spans="1:14" x14ac:dyDescent="0.3">
      <c r="A38" s="763" t="s">
        <v>46</v>
      </c>
      <c r="B38" s="764"/>
      <c r="C38" s="764"/>
      <c r="D38" s="764"/>
      <c r="E38" s="764"/>
      <c r="F38" s="764"/>
      <c r="G38" s="764"/>
      <c r="H38" s="764"/>
      <c r="I38" s="764"/>
      <c r="J38" s="764"/>
      <c r="K38" s="764"/>
      <c r="L38" s="764"/>
      <c r="M38" s="253">
        <f>SUM(B35:M37)</f>
        <v>1637325.1693333336</v>
      </c>
    </row>
  </sheetData>
  <mergeCells count="11">
    <mergeCell ref="A38:L38"/>
    <mergeCell ref="A23:M23"/>
    <mergeCell ref="A33:M33"/>
    <mergeCell ref="A1:M1"/>
    <mergeCell ref="A13:M13"/>
    <mergeCell ref="A18:L18"/>
    <mergeCell ref="A28:L28"/>
    <mergeCell ref="A11:M11"/>
    <mergeCell ref="A21:M21"/>
    <mergeCell ref="A31:M31"/>
    <mergeCell ref="F2:G2"/>
  </mergeCells>
  <hyperlinks>
    <hyperlink ref="F2" location="Índice!A1" display="Regresar al índice" xr:uid="{EDF37013-5B0E-4EC7-A0A9-0385F441FD77}"/>
    <hyperlink ref="A2" location="'Estructura de costos fijos'!A1" display="[Costos Fijos]" xr:uid="{68C6AA32-B6F6-4920-AE7A-B0DE23EC0C7C}"/>
    <hyperlink ref="M2" location="'Estructura de costos RRHH'!A1" display="[Costos RRHH]" xr:uid="{9AB896CE-932C-472C-B8A0-7CCDDD9B883E}"/>
  </hyperlinks>
  <pageMargins left="0.7" right="0.7" top="0.75" bottom="0.75"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B7CB5-6637-417A-AF4C-683857D60D19}">
  <dimension ref="A1:P132"/>
  <sheetViews>
    <sheetView showGridLines="0" zoomScaleNormal="100" workbookViewId="0">
      <pane ySplit="2" topLeftCell="A105" activePane="bottomLeft" state="frozen"/>
      <selection pane="bottomLeft" activeCell="P132" sqref="P132"/>
    </sheetView>
  </sheetViews>
  <sheetFormatPr baseColWidth="10" defaultColWidth="34.5546875" defaultRowHeight="14.4" x14ac:dyDescent="0.3"/>
  <cols>
    <col min="1" max="1" width="34.44140625" bestFit="1" customWidth="1"/>
    <col min="2" max="2" width="34" bestFit="1" customWidth="1"/>
    <col min="3" max="3" width="13" bestFit="1" customWidth="1"/>
    <col min="4" max="4" width="15.77734375" bestFit="1" customWidth="1"/>
    <col min="5" max="5" width="32.5546875" bestFit="1" customWidth="1"/>
    <col min="6" max="6" width="15.44140625" bestFit="1" customWidth="1"/>
    <col min="7" max="7" width="19.6640625" bestFit="1" customWidth="1"/>
    <col min="8" max="8" width="24.6640625" bestFit="1" customWidth="1"/>
    <col min="9" max="9" width="14.44140625" bestFit="1" customWidth="1"/>
    <col min="10" max="10" width="13.33203125" bestFit="1" customWidth="1"/>
    <col min="11" max="14" width="10.77734375" bestFit="1" customWidth="1"/>
    <col min="15" max="15" width="14.88671875" bestFit="1" customWidth="1"/>
    <col min="16" max="16" width="13.44140625" bestFit="1" customWidth="1"/>
  </cols>
  <sheetData>
    <row r="1" spans="1:13" ht="21" x14ac:dyDescent="0.4">
      <c r="A1" s="686" t="s">
        <v>162</v>
      </c>
      <c r="B1" s="686"/>
      <c r="C1" s="686"/>
      <c r="D1" s="686"/>
      <c r="E1" s="686"/>
      <c r="F1" s="686"/>
      <c r="G1" s="686"/>
      <c r="H1" s="686"/>
      <c r="I1" s="686"/>
      <c r="J1" s="686"/>
      <c r="K1" s="686"/>
      <c r="L1" s="686"/>
      <c r="M1" s="686"/>
    </row>
    <row r="2" spans="1:13" ht="19.8" customHeight="1" x14ac:dyDescent="0.65">
      <c r="A2" s="502" t="s">
        <v>296</v>
      </c>
      <c r="C2" s="12"/>
      <c r="D2" s="12"/>
      <c r="E2" s="12"/>
      <c r="F2" s="740" t="s">
        <v>35</v>
      </c>
      <c r="G2" s="740"/>
      <c r="M2" s="502" t="s">
        <v>299</v>
      </c>
    </row>
    <row r="4" spans="1:13" x14ac:dyDescent="0.3">
      <c r="D4" s="435" t="s">
        <v>50</v>
      </c>
      <c r="E4" s="436">
        <f>'Proyección de ventas'!E4</f>
        <v>220267960</v>
      </c>
      <c r="F4" s="382"/>
      <c r="G4" s="437" t="s">
        <v>47</v>
      </c>
      <c r="H4" s="437" t="s">
        <v>48</v>
      </c>
      <c r="I4" s="438" t="s">
        <v>49</v>
      </c>
    </row>
    <row r="5" spans="1:13" x14ac:dyDescent="0.3">
      <c r="D5" s="439" t="s">
        <v>20</v>
      </c>
      <c r="E5" s="434">
        <f>'Proyección de ventas'!E5</f>
        <v>83448280</v>
      </c>
      <c r="F5" s="385"/>
      <c r="G5" s="430"/>
      <c r="H5" s="430"/>
      <c r="I5" s="440"/>
    </row>
    <row r="6" spans="1:13" x14ac:dyDescent="0.3">
      <c r="D6" s="439" t="s">
        <v>21</v>
      </c>
      <c r="E6" s="434">
        <f>'Proyección de ventas'!E6</f>
        <v>136819680</v>
      </c>
      <c r="F6" s="385"/>
      <c r="G6" s="430"/>
      <c r="H6" s="430"/>
      <c r="I6" s="440"/>
    </row>
    <row r="7" spans="1:13" x14ac:dyDescent="0.3">
      <c r="D7" s="441" t="s">
        <v>80</v>
      </c>
      <c r="E7" s="431">
        <f>'Proyección de ventas'!E7</f>
        <v>7.0000000000000007E-2</v>
      </c>
      <c r="F7" s="385"/>
      <c r="G7" s="433">
        <f>'Proyección de ventas'!G7</f>
        <v>0.03</v>
      </c>
      <c r="H7" s="433">
        <f>'Proyección de ventas'!H7</f>
        <v>0.05</v>
      </c>
      <c r="I7" s="442">
        <f>'Proyección de ventas'!I7</f>
        <v>7.0000000000000007E-2</v>
      </c>
    </row>
    <row r="8" spans="1:13" x14ac:dyDescent="0.3">
      <c r="D8" s="443" t="s">
        <v>83</v>
      </c>
      <c r="E8" s="444">
        <f>'Proyección de ventas'!E8</f>
        <v>15418757.200000001</v>
      </c>
      <c r="F8" s="445"/>
      <c r="G8" s="446">
        <f>'Proyección de ventas'!G8</f>
        <v>6608038.7999999998</v>
      </c>
      <c r="H8" s="446">
        <f>'Proyección de ventas'!H8</f>
        <v>11013398</v>
      </c>
      <c r="I8" s="447">
        <f>'Proyección de ventas'!I8</f>
        <v>15418757.200000001</v>
      </c>
    </row>
    <row r="10" spans="1:13" x14ac:dyDescent="0.3">
      <c r="K10" s="449"/>
    </row>
    <row r="11" spans="1:13" x14ac:dyDescent="0.3">
      <c r="A11" s="448" t="s">
        <v>183</v>
      </c>
      <c r="B11" s="770" t="s">
        <v>183</v>
      </c>
      <c r="C11" s="770"/>
      <c r="D11" s="770"/>
      <c r="E11" s="770"/>
      <c r="F11" s="770"/>
      <c r="G11" s="770"/>
      <c r="H11" s="770"/>
      <c r="I11" s="770"/>
      <c r="J11" s="771"/>
      <c r="K11" s="450"/>
    </row>
    <row r="12" spans="1:13" x14ac:dyDescent="0.3">
      <c r="A12" s="157" t="s">
        <v>163</v>
      </c>
      <c r="B12" s="158" t="s">
        <v>192</v>
      </c>
      <c r="C12" s="159" t="s">
        <v>176</v>
      </c>
      <c r="D12" s="159" t="s">
        <v>179</v>
      </c>
      <c r="E12" s="159" t="s">
        <v>178</v>
      </c>
      <c r="F12" s="160" t="s">
        <v>177</v>
      </c>
      <c r="G12" s="159" t="s">
        <v>180</v>
      </c>
      <c r="H12" s="159" t="s">
        <v>182</v>
      </c>
      <c r="I12" s="159" t="s">
        <v>181</v>
      </c>
      <c r="J12" s="161" t="s">
        <v>46</v>
      </c>
    </row>
    <row r="13" spans="1:13" x14ac:dyDescent="0.3">
      <c r="A13" s="773" t="s">
        <v>174</v>
      </c>
      <c r="B13" s="153" t="s">
        <v>112</v>
      </c>
      <c r="C13" s="170">
        <v>36000</v>
      </c>
      <c r="D13" s="171">
        <f>C13*0.06</f>
        <v>2160</v>
      </c>
      <c r="E13" s="171">
        <f>C13*0.1047</f>
        <v>3769.2000000000003</v>
      </c>
      <c r="F13" s="171">
        <f>C13*0.0154</f>
        <v>554.4</v>
      </c>
      <c r="G13" s="171">
        <f>C13*0.092</f>
        <v>3312</v>
      </c>
      <c r="H13" s="171">
        <f t="shared" ref="H13:H26" si="0">C13*0.03</f>
        <v>1080</v>
      </c>
      <c r="I13" s="171">
        <v>11.27</v>
      </c>
      <c r="J13" s="172">
        <f t="shared" ref="J13:J26" si="1">SUM(C13:I13)</f>
        <v>46886.869999999995</v>
      </c>
    </row>
    <row r="14" spans="1:13" x14ac:dyDescent="0.3">
      <c r="A14" s="774"/>
      <c r="B14" s="154" t="s">
        <v>164</v>
      </c>
      <c r="C14" s="173">
        <v>44000</v>
      </c>
      <c r="D14" s="174">
        <f t="shared" ref="D14:D26" si="2">C14*0.06</f>
        <v>2640</v>
      </c>
      <c r="E14" s="174">
        <f t="shared" ref="E14:E26" si="3">C14*0.1047</f>
        <v>4606.8</v>
      </c>
      <c r="F14" s="174">
        <f t="shared" ref="F14:F26" si="4">C14*0.0154</f>
        <v>677.6</v>
      </c>
      <c r="G14" s="174">
        <f t="shared" ref="G14:G26" si="5">C14*0.092</f>
        <v>4048</v>
      </c>
      <c r="H14" s="174">
        <f t="shared" si="0"/>
        <v>1320</v>
      </c>
      <c r="I14" s="174">
        <v>11.27</v>
      </c>
      <c r="J14" s="175">
        <f t="shared" si="1"/>
        <v>57303.67</v>
      </c>
    </row>
    <row r="15" spans="1:13" x14ac:dyDescent="0.3">
      <c r="A15" s="774"/>
      <c r="B15" s="155" t="s">
        <v>165</v>
      </c>
      <c r="C15" s="176">
        <v>39000</v>
      </c>
      <c r="D15" s="177">
        <f t="shared" si="2"/>
        <v>2340</v>
      </c>
      <c r="E15" s="177">
        <f t="shared" si="3"/>
        <v>4083.3</v>
      </c>
      <c r="F15" s="177">
        <f t="shared" si="4"/>
        <v>600.6</v>
      </c>
      <c r="G15" s="177">
        <f t="shared" si="5"/>
        <v>3588</v>
      </c>
      <c r="H15" s="177">
        <f t="shared" si="0"/>
        <v>1170</v>
      </c>
      <c r="I15" s="451">
        <v>11.27</v>
      </c>
      <c r="J15" s="178">
        <f t="shared" si="1"/>
        <v>50793.17</v>
      </c>
    </row>
    <row r="16" spans="1:13" x14ac:dyDescent="0.3">
      <c r="A16" s="774"/>
      <c r="B16" s="154" t="s">
        <v>166</v>
      </c>
      <c r="C16" s="173">
        <v>35000</v>
      </c>
      <c r="D16" s="174">
        <f t="shared" si="2"/>
        <v>2100</v>
      </c>
      <c r="E16" s="174">
        <f t="shared" si="3"/>
        <v>3664.5</v>
      </c>
      <c r="F16" s="174">
        <f t="shared" si="4"/>
        <v>539</v>
      </c>
      <c r="G16" s="174">
        <f t="shared" si="5"/>
        <v>3220</v>
      </c>
      <c r="H16" s="174">
        <f t="shared" si="0"/>
        <v>1050</v>
      </c>
      <c r="I16" s="174">
        <v>11.27</v>
      </c>
      <c r="J16" s="175">
        <f t="shared" si="1"/>
        <v>45584.77</v>
      </c>
    </row>
    <row r="17" spans="1:10" x14ac:dyDescent="0.3">
      <c r="A17" s="774"/>
      <c r="B17" s="155" t="s">
        <v>190</v>
      </c>
      <c r="C17" s="176">
        <v>29000</v>
      </c>
      <c r="D17" s="177">
        <f t="shared" si="2"/>
        <v>1740</v>
      </c>
      <c r="E17" s="177">
        <f t="shared" si="3"/>
        <v>3036.3</v>
      </c>
      <c r="F17" s="177">
        <f t="shared" si="4"/>
        <v>446.6</v>
      </c>
      <c r="G17" s="177">
        <f t="shared" si="5"/>
        <v>2668</v>
      </c>
      <c r="H17" s="177">
        <f t="shared" si="0"/>
        <v>870</v>
      </c>
      <c r="I17" s="451">
        <v>11.27</v>
      </c>
      <c r="J17" s="178">
        <f t="shared" si="1"/>
        <v>37772.17</v>
      </c>
    </row>
    <row r="18" spans="1:10" x14ac:dyDescent="0.3">
      <c r="A18" s="774"/>
      <c r="B18" s="154" t="s">
        <v>167</v>
      </c>
      <c r="C18" s="173">
        <v>49000</v>
      </c>
      <c r="D18" s="174">
        <f t="shared" si="2"/>
        <v>2940</v>
      </c>
      <c r="E18" s="174">
        <f t="shared" si="3"/>
        <v>5130.3</v>
      </c>
      <c r="F18" s="174">
        <f t="shared" si="4"/>
        <v>754.6</v>
      </c>
      <c r="G18" s="174">
        <f t="shared" si="5"/>
        <v>4508</v>
      </c>
      <c r="H18" s="174">
        <f t="shared" si="0"/>
        <v>1470</v>
      </c>
      <c r="I18" s="174">
        <v>11.27</v>
      </c>
      <c r="J18" s="175">
        <f t="shared" si="1"/>
        <v>63814.17</v>
      </c>
    </row>
    <row r="19" spans="1:10" x14ac:dyDescent="0.3">
      <c r="A19" s="774" t="s">
        <v>70</v>
      </c>
      <c r="B19" s="155" t="s">
        <v>168</v>
      </c>
      <c r="C19" s="176">
        <v>53000</v>
      </c>
      <c r="D19" s="177">
        <f t="shared" si="2"/>
        <v>3180</v>
      </c>
      <c r="E19" s="177">
        <f t="shared" si="3"/>
        <v>5549.1</v>
      </c>
      <c r="F19" s="177">
        <f t="shared" si="4"/>
        <v>816.2</v>
      </c>
      <c r="G19" s="177">
        <f t="shared" si="5"/>
        <v>4876</v>
      </c>
      <c r="H19" s="177">
        <f t="shared" si="0"/>
        <v>1590</v>
      </c>
      <c r="I19" s="451">
        <v>11.27</v>
      </c>
      <c r="J19" s="178">
        <f t="shared" si="1"/>
        <v>69022.569999999992</v>
      </c>
    </row>
    <row r="20" spans="1:10" x14ac:dyDescent="0.3">
      <c r="A20" s="774"/>
      <c r="B20" s="154" t="s">
        <v>169</v>
      </c>
      <c r="C20" s="173">
        <v>22000</v>
      </c>
      <c r="D20" s="174">
        <f t="shared" si="2"/>
        <v>1320</v>
      </c>
      <c r="E20" s="174">
        <f t="shared" si="3"/>
        <v>2303.4</v>
      </c>
      <c r="F20" s="174">
        <f t="shared" si="4"/>
        <v>338.8</v>
      </c>
      <c r="G20" s="174">
        <f t="shared" si="5"/>
        <v>2024</v>
      </c>
      <c r="H20" s="174">
        <f t="shared" si="0"/>
        <v>660</v>
      </c>
      <c r="I20" s="174">
        <v>11.27</v>
      </c>
      <c r="J20" s="175">
        <f t="shared" si="1"/>
        <v>28657.47</v>
      </c>
    </row>
    <row r="21" spans="1:10" x14ac:dyDescent="0.3">
      <c r="A21" s="774" t="s">
        <v>78</v>
      </c>
      <c r="B21" s="155" t="s">
        <v>170</v>
      </c>
      <c r="C21" s="176">
        <v>50000</v>
      </c>
      <c r="D21" s="177">
        <f t="shared" si="2"/>
        <v>3000</v>
      </c>
      <c r="E21" s="177">
        <f t="shared" si="3"/>
        <v>5235</v>
      </c>
      <c r="F21" s="177">
        <f t="shared" si="4"/>
        <v>770</v>
      </c>
      <c r="G21" s="177">
        <f t="shared" si="5"/>
        <v>4600</v>
      </c>
      <c r="H21" s="177">
        <f t="shared" si="0"/>
        <v>1500</v>
      </c>
      <c r="I21" s="451">
        <v>11.27</v>
      </c>
      <c r="J21" s="178">
        <f t="shared" si="1"/>
        <v>65116.27</v>
      </c>
    </row>
    <row r="22" spans="1:10" x14ac:dyDescent="0.3">
      <c r="A22" s="774"/>
      <c r="B22" s="154" t="s">
        <v>171</v>
      </c>
      <c r="C22" s="173">
        <v>25000</v>
      </c>
      <c r="D22" s="174">
        <f t="shared" si="2"/>
        <v>1500</v>
      </c>
      <c r="E22" s="174">
        <f t="shared" si="3"/>
        <v>2617.5</v>
      </c>
      <c r="F22" s="174">
        <f t="shared" si="4"/>
        <v>385</v>
      </c>
      <c r="G22" s="174">
        <f t="shared" si="5"/>
        <v>2300</v>
      </c>
      <c r="H22" s="174">
        <f t="shared" si="0"/>
        <v>750</v>
      </c>
      <c r="I22" s="174">
        <v>11.27</v>
      </c>
      <c r="J22" s="175">
        <f t="shared" si="1"/>
        <v>32563.77</v>
      </c>
    </row>
    <row r="23" spans="1:10" x14ac:dyDescent="0.3">
      <c r="A23" s="774" t="s">
        <v>63</v>
      </c>
      <c r="B23" s="155" t="s">
        <v>203</v>
      </c>
      <c r="C23" s="176">
        <v>55000</v>
      </c>
      <c r="D23" s="177">
        <f t="shared" si="2"/>
        <v>3300</v>
      </c>
      <c r="E23" s="177">
        <f t="shared" si="3"/>
        <v>5758.5</v>
      </c>
      <c r="F23" s="177">
        <f t="shared" si="4"/>
        <v>847</v>
      </c>
      <c r="G23" s="177">
        <f t="shared" si="5"/>
        <v>5060</v>
      </c>
      <c r="H23" s="177">
        <f t="shared" si="0"/>
        <v>1650</v>
      </c>
      <c r="I23" s="451">
        <v>11.27</v>
      </c>
      <c r="J23" s="178">
        <f t="shared" si="1"/>
        <v>71626.77</v>
      </c>
    </row>
    <row r="24" spans="1:10" x14ac:dyDescent="0.3">
      <c r="A24" s="774"/>
      <c r="B24" s="154" t="s">
        <v>172</v>
      </c>
      <c r="C24" s="173">
        <v>27000</v>
      </c>
      <c r="D24" s="174">
        <f t="shared" si="2"/>
        <v>1620</v>
      </c>
      <c r="E24" s="174">
        <f t="shared" si="3"/>
        <v>2826.9</v>
      </c>
      <c r="F24" s="174">
        <f t="shared" si="4"/>
        <v>415.8</v>
      </c>
      <c r="G24" s="174">
        <f t="shared" si="5"/>
        <v>2484</v>
      </c>
      <c r="H24" s="174">
        <f t="shared" si="0"/>
        <v>810</v>
      </c>
      <c r="I24" s="174">
        <v>11.27</v>
      </c>
      <c r="J24" s="175">
        <f t="shared" si="1"/>
        <v>35167.969999999994</v>
      </c>
    </row>
    <row r="25" spans="1:10" x14ac:dyDescent="0.3">
      <c r="A25" s="774" t="s">
        <v>175</v>
      </c>
      <c r="B25" s="155" t="s">
        <v>173</v>
      </c>
      <c r="C25" s="176">
        <v>47000</v>
      </c>
      <c r="D25" s="177">
        <f t="shared" si="2"/>
        <v>2820</v>
      </c>
      <c r="E25" s="177">
        <f t="shared" si="3"/>
        <v>4920.8999999999996</v>
      </c>
      <c r="F25" s="177">
        <f t="shared" si="4"/>
        <v>723.80000000000007</v>
      </c>
      <c r="G25" s="177">
        <f t="shared" si="5"/>
        <v>4324</v>
      </c>
      <c r="H25" s="177">
        <f t="shared" si="0"/>
        <v>1410</v>
      </c>
      <c r="I25" s="451">
        <v>11.27</v>
      </c>
      <c r="J25" s="178">
        <f t="shared" si="1"/>
        <v>61209.97</v>
      </c>
    </row>
    <row r="26" spans="1:10" x14ac:dyDescent="0.3">
      <c r="A26" s="781"/>
      <c r="B26" s="156" t="s">
        <v>205</v>
      </c>
      <c r="C26" s="181">
        <v>27000</v>
      </c>
      <c r="D26" s="182">
        <f t="shared" si="2"/>
        <v>1620</v>
      </c>
      <c r="E26" s="182">
        <f t="shared" si="3"/>
        <v>2826.9</v>
      </c>
      <c r="F26" s="182">
        <f t="shared" si="4"/>
        <v>415.8</v>
      </c>
      <c r="G26" s="182">
        <f t="shared" si="5"/>
        <v>2484</v>
      </c>
      <c r="H26" s="182">
        <f t="shared" si="0"/>
        <v>810</v>
      </c>
      <c r="I26" s="182">
        <v>11.27</v>
      </c>
      <c r="J26" s="184">
        <f t="shared" si="1"/>
        <v>35167.969999999994</v>
      </c>
    </row>
    <row r="29" spans="1:10" x14ac:dyDescent="0.3">
      <c r="A29" s="782" t="s">
        <v>281</v>
      </c>
      <c r="B29" s="783"/>
      <c r="C29" s="783"/>
      <c r="D29" s="784"/>
    </row>
    <row r="30" spans="1:10" x14ac:dyDescent="0.3">
      <c r="A30" s="135" t="s">
        <v>184</v>
      </c>
      <c r="B30" s="136" t="s">
        <v>192</v>
      </c>
      <c r="C30" s="192" t="s">
        <v>185</v>
      </c>
      <c r="D30" s="193" t="s">
        <v>46</v>
      </c>
      <c r="E30" s="194" t="s">
        <v>202</v>
      </c>
      <c r="G30" s="201" t="s">
        <v>196</v>
      </c>
      <c r="H30" s="64"/>
      <c r="I30" s="64"/>
    </row>
    <row r="31" spans="1:10" ht="14.4" customHeight="1" x14ac:dyDescent="0.3">
      <c r="A31" s="778" t="s">
        <v>200</v>
      </c>
      <c r="B31" s="162" t="str">
        <f>$B$13</f>
        <v>Analista funcional</v>
      </c>
      <c r="C31" s="785">
        <f>$C$23</f>
        <v>55000</v>
      </c>
      <c r="D31" s="788">
        <f>$J$23</f>
        <v>71626.77</v>
      </c>
      <c r="E31" s="791" t="str">
        <f>B34</f>
        <v>Gerente IT de infraestructura</v>
      </c>
      <c r="G31" s="806" t="s">
        <v>195</v>
      </c>
      <c r="H31" s="806"/>
      <c r="I31" s="806"/>
    </row>
    <row r="32" spans="1:10" x14ac:dyDescent="0.3">
      <c r="A32" s="779"/>
      <c r="B32" s="154" t="str">
        <f>$B$14</f>
        <v>Desarrollador Java / C# - Senior</v>
      </c>
      <c r="C32" s="786"/>
      <c r="D32" s="789"/>
      <c r="E32" s="791"/>
      <c r="G32" s="806"/>
      <c r="H32" s="806"/>
      <c r="I32" s="806"/>
    </row>
    <row r="33" spans="1:9" x14ac:dyDescent="0.3">
      <c r="A33" s="779"/>
      <c r="B33" s="163" t="str">
        <f>$B$18</f>
        <v>Project Manager</v>
      </c>
      <c r="C33" s="786"/>
      <c r="D33" s="789"/>
      <c r="E33" s="791"/>
      <c r="G33" s="806"/>
      <c r="H33" s="806"/>
      <c r="I33" s="806"/>
    </row>
    <row r="34" spans="1:9" x14ac:dyDescent="0.3">
      <c r="A34" s="780"/>
      <c r="B34" s="191" t="str">
        <f>$B$23</f>
        <v>Gerente IT de infraestructura</v>
      </c>
      <c r="C34" s="787"/>
      <c r="D34" s="790"/>
      <c r="E34" s="791"/>
      <c r="G34" s="806"/>
      <c r="H34" s="806"/>
      <c r="I34" s="806"/>
    </row>
    <row r="35" spans="1:9" x14ac:dyDescent="0.3">
      <c r="A35" s="778" t="s">
        <v>199</v>
      </c>
      <c r="B35" s="162" t="str">
        <f>$B$19</f>
        <v>Gerente de Marketing</v>
      </c>
      <c r="C35" s="802">
        <f>$C$19</f>
        <v>53000</v>
      </c>
      <c r="D35" s="775">
        <f>$J$19</f>
        <v>69022.569999999992</v>
      </c>
      <c r="E35" s="791" t="str">
        <f>B35</f>
        <v>Gerente de Marketing</v>
      </c>
      <c r="G35" s="806"/>
      <c r="H35" s="806"/>
      <c r="I35" s="806"/>
    </row>
    <row r="36" spans="1:9" x14ac:dyDescent="0.3">
      <c r="A36" s="780"/>
      <c r="B36" s="156" t="str">
        <f>$B$20</f>
        <v>Asistente de Marketing</v>
      </c>
      <c r="C36" s="803"/>
      <c r="D36" s="801"/>
      <c r="E36" s="791"/>
    </row>
    <row r="37" spans="1:9" x14ac:dyDescent="0.3">
      <c r="A37" s="778" t="s">
        <v>201</v>
      </c>
      <c r="B37" s="153" t="str">
        <f>$B$21</f>
        <v>Gerente de Ventas</v>
      </c>
      <c r="C37" s="797">
        <f>$C$21</f>
        <v>50000</v>
      </c>
      <c r="D37" s="775">
        <f>$J$21</f>
        <v>65116.27</v>
      </c>
      <c r="E37" s="791" t="str">
        <f>B37</f>
        <v>Gerente de Ventas</v>
      </c>
    </row>
    <row r="38" spans="1:9" x14ac:dyDescent="0.3">
      <c r="A38" s="779"/>
      <c r="B38" s="154" t="str">
        <f>$B$22</f>
        <v>Asistente de Ventas</v>
      </c>
      <c r="C38" s="804"/>
      <c r="D38" s="776"/>
      <c r="E38" s="791"/>
    </row>
    <row r="39" spans="1:9" x14ac:dyDescent="0.3">
      <c r="A39" s="779"/>
      <c r="B39" s="163" t="str">
        <f>$B$25</f>
        <v>Gerente de Administración</v>
      </c>
      <c r="C39" s="804"/>
      <c r="D39" s="776"/>
      <c r="E39" s="791"/>
    </row>
    <row r="40" spans="1:9" x14ac:dyDescent="0.3">
      <c r="A40" s="780"/>
      <c r="B40" s="156" t="str">
        <f>$B$26</f>
        <v>Asistente de RRHH</v>
      </c>
      <c r="C40" s="805"/>
      <c r="D40" s="777"/>
      <c r="E40" s="791"/>
    </row>
    <row r="41" spans="1:9" x14ac:dyDescent="0.3">
      <c r="A41" s="778" t="s">
        <v>197</v>
      </c>
      <c r="B41" s="153" t="str">
        <f>$B$15</f>
        <v>Desarrollador Java / C# - Semi senior</v>
      </c>
      <c r="C41" s="797">
        <f>$C$15</f>
        <v>39000</v>
      </c>
      <c r="D41" s="775">
        <f>$J$15</f>
        <v>50793.17</v>
      </c>
      <c r="E41" s="791" t="str">
        <f>B41</f>
        <v>Desarrollador Java / C# - Semi senior</v>
      </c>
    </row>
    <row r="42" spans="1:9" x14ac:dyDescent="0.3">
      <c r="A42" s="779"/>
      <c r="B42" s="154" t="str">
        <f>$B$17</f>
        <v>Quality Assurance - Semi senior</v>
      </c>
      <c r="C42" s="798"/>
      <c r="D42" s="799"/>
      <c r="E42" s="791"/>
    </row>
    <row r="43" spans="1:9" x14ac:dyDescent="0.3">
      <c r="A43" s="780"/>
      <c r="B43" s="179" t="str">
        <f>$B$24</f>
        <v>Especialista IT</v>
      </c>
      <c r="C43" s="800"/>
      <c r="D43" s="801"/>
      <c r="E43" s="791"/>
    </row>
    <row r="44" spans="1:9" x14ac:dyDescent="0.3">
      <c r="A44" s="778" t="s">
        <v>198</v>
      </c>
      <c r="B44" s="180" t="str">
        <f>$B$16</f>
        <v>Modelador 3D</v>
      </c>
      <c r="C44" s="797">
        <f>$C$16</f>
        <v>35000</v>
      </c>
      <c r="D44" s="775">
        <f>$J$16</f>
        <v>45584.77</v>
      </c>
      <c r="E44" s="791" t="str">
        <f>B44</f>
        <v>Modelador 3D</v>
      </c>
    </row>
    <row r="45" spans="1:9" x14ac:dyDescent="0.3">
      <c r="A45" s="779"/>
      <c r="B45" s="155" t="str">
        <f>$B$17</f>
        <v>Quality Assurance - Semi senior</v>
      </c>
      <c r="C45" s="798"/>
      <c r="D45" s="799"/>
      <c r="E45" s="791"/>
    </row>
    <row r="46" spans="1:9" x14ac:dyDescent="0.3">
      <c r="A46" s="779"/>
      <c r="B46" s="154" t="str">
        <f>$B$24</f>
        <v>Especialista IT</v>
      </c>
      <c r="C46" s="798"/>
      <c r="D46" s="799"/>
      <c r="E46" s="791"/>
    </row>
    <row r="47" spans="1:9" x14ac:dyDescent="0.3">
      <c r="A47" s="229" t="s">
        <v>206</v>
      </c>
      <c r="B47" s="225" t="str">
        <f>$B$15</f>
        <v>Desarrollador Java / C# - Semi senior</v>
      </c>
      <c r="C47" s="227">
        <f>$C$15</f>
        <v>39000</v>
      </c>
      <c r="D47" s="228">
        <f>$J$15</f>
        <v>50793.17</v>
      </c>
      <c r="E47" s="211"/>
    </row>
    <row r="49" spans="1:16" x14ac:dyDescent="0.3">
      <c r="A49" s="794" t="s">
        <v>47</v>
      </c>
      <c r="B49" s="795"/>
      <c r="C49" s="795"/>
      <c r="D49" s="795"/>
      <c r="E49" s="795"/>
      <c r="F49" s="795"/>
      <c r="G49" s="795"/>
      <c r="H49" s="795"/>
      <c r="I49" s="795"/>
      <c r="J49" s="795"/>
      <c r="K49" s="795"/>
      <c r="L49" s="795"/>
      <c r="M49" s="795"/>
      <c r="N49" s="795"/>
      <c r="O49" s="796"/>
    </row>
    <row r="50" spans="1:16" x14ac:dyDescent="0.3">
      <c r="A50" s="185" t="s">
        <v>184</v>
      </c>
      <c r="B50" s="186" t="s">
        <v>51</v>
      </c>
      <c r="C50" s="186" t="s">
        <v>52</v>
      </c>
      <c r="D50" s="186" t="s">
        <v>53</v>
      </c>
      <c r="E50" s="186" t="s">
        <v>54</v>
      </c>
      <c r="F50" s="186" t="s">
        <v>55</v>
      </c>
      <c r="G50" s="186" t="s">
        <v>56</v>
      </c>
      <c r="H50" s="186" t="s">
        <v>193</v>
      </c>
      <c r="I50" s="186" t="s">
        <v>57</v>
      </c>
      <c r="J50" s="186" t="s">
        <v>58</v>
      </c>
      <c r="K50" s="186" t="s">
        <v>59</v>
      </c>
      <c r="L50" s="186" t="s">
        <v>60</v>
      </c>
      <c r="M50" s="186" t="s">
        <v>61</v>
      </c>
      <c r="N50" s="186" t="s">
        <v>62</v>
      </c>
      <c r="O50" s="186" t="s">
        <v>194</v>
      </c>
      <c r="P50" s="190" t="s">
        <v>46</v>
      </c>
    </row>
    <row r="51" spans="1:16" x14ac:dyDescent="0.3">
      <c r="A51" s="209" t="s">
        <v>186</v>
      </c>
      <c r="B51" s="95">
        <f>$D$31</f>
        <v>71626.77</v>
      </c>
      <c r="C51" s="95">
        <f t="shared" ref="C51:N51" si="6">$D$31</f>
        <v>71626.77</v>
      </c>
      <c r="D51" s="95">
        <f t="shared" si="6"/>
        <v>71626.77</v>
      </c>
      <c r="E51" s="95">
        <f t="shared" si="6"/>
        <v>71626.77</v>
      </c>
      <c r="F51" s="95">
        <f t="shared" si="6"/>
        <v>71626.77</v>
      </c>
      <c r="G51" s="95">
        <f t="shared" si="6"/>
        <v>71626.77</v>
      </c>
      <c r="H51" s="95">
        <f>G51/2</f>
        <v>35813.385000000002</v>
      </c>
      <c r="I51" s="95">
        <f t="shared" si="6"/>
        <v>71626.77</v>
      </c>
      <c r="J51" s="95">
        <f t="shared" si="6"/>
        <v>71626.77</v>
      </c>
      <c r="K51" s="95">
        <f t="shared" si="6"/>
        <v>71626.77</v>
      </c>
      <c r="L51" s="95">
        <f t="shared" si="6"/>
        <v>71626.77</v>
      </c>
      <c r="M51" s="95">
        <f t="shared" si="6"/>
        <v>71626.77</v>
      </c>
      <c r="N51" s="95">
        <f t="shared" si="6"/>
        <v>71626.77</v>
      </c>
      <c r="O51" s="100">
        <f>N51/2</f>
        <v>35813.385000000002</v>
      </c>
      <c r="P51" s="189">
        <f t="shared" ref="P51:P56" si="7">SUM(B51:O51)</f>
        <v>931148.01000000013</v>
      </c>
    </row>
    <row r="52" spans="1:16" x14ac:dyDescent="0.3">
      <c r="A52" s="364" t="s">
        <v>187</v>
      </c>
      <c r="B52" s="83">
        <f>$D$35</f>
        <v>69022.569999999992</v>
      </c>
      <c r="C52" s="83">
        <f t="shared" ref="C52:N52" si="8">$D$35</f>
        <v>69022.569999999992</v>
      </c>
      <c r="D52" s="83">
        <f t="shared" si="8"/>
        <v>69022.569999999992</v>
      </c>
      <c r="E52" s="83">
        <f t="shared" si="8"/>
        <v>69022.569999999992</v>
      </c>
      <c r="F52" s="83">
        <f t="shared" si="8"/>
        <v>69022.569999999992</v>
      </c>
      <c r="G52" s="83">
        <f t="shared" si="8"/>
        <v>69022.569999999992</v>
      </c>
      <c r="H52" s="83">
        <f t="shared" ref="H52:H55" si="9">G52/2</f>
        <v>34511.284999999996</v>
      </c>
      <c r="I52" s="83">
        <f t="shared" si="8"/>
        <v>69022.569999999992</v>
      </c>
      <c r="J52" s="83">
        <f t="shared" si="8"/>
        <v>69022.569999999992</v>
      </c>
      <c r="K52" s="83">
        <f t="shared" si="8"/>
        <v>69022.569999999992</v>
      </c>
      <c r="L52" s="83">
        <f t="shared" si="8"/>
        <v>69022.569999999992</v>
      </c>
      <c r="M52" s="83">
        <f t="shared" si="8"/>
        <v>69022.569999999992</v>
      </c>
      <c r="N52" s="83">
        <f t="shared" si="8"/>
        <v>69022.569999999992</v>
      </c>
      <c r="O52" s="83">
        <f>N52/2</f>
        <v>34511.284999999996</v>
      </c>
      <c r="P52" s="189">
        <f t="shared" si="7"/>
        <v>897293.4099999998</v>
      </c>
    </row>
    <row r="53" spans="1:16" x14ac:dyDescent="0.3">
      <c r="A53" s="210" t="s">
        <v>188</v>
      </c>
      <c r="B53" s="81">
        <f>$D$37</f>
        <v>65116.27</v>
      </c>
      <c r="C53" s="81">
        <f t="shared" ref="C53:N53" si="10">$D$37</f>
        <v>65116.27</v>
      </c>
      <c r="D53" s="81">
        <f t="shared" si="10"/>
        <v>65116.27</v>
      </c>
      <c r="E53" s="81">
        <f t="shared" si="10"/>
        <v>65116.27</v>
      </c>
      <c r="F53" s="81">
        <f t="shared" si="10"/>
        <v>65116.27</v>
      </c>
      <c r="G53" s="81">
        <f t="shared" si="10"/>
        <v>65116.27</v>
      </c>
      <c r="H53" s="81">
        <f t="shared" si="9"/>
        <v>32558.134999999998</v>
      </c>
      <c r="I53" s="81">
        <f t="shared" si="10"/>
        <v>65116.27</v>
      </c>
      <c r="J53" s="81">
        <f t="shared" si="10"/>
        <v>65116.27</v>
      </c>
      <c r="K53" s="81">
        <f t="shared" si="10"/>
        <v>65116.27</v>
      </c>
      <c r="L53" s="81">
        <f t="shared" si="10"/>
        <v>65116.27</v>
      </c>
      <c r="M53" s="81">
        <f t="shared" si="10"/>
        <v>65116.27</v>
      </c>
      <c r="N53" s="81">
        <f t="shared" si="10"/>
        <v>65116.27</v>
      </c>
      <c r="O53" s="81">
        <f>N53/2</f>
        <v>32558.134999999998</v>
      </c>
      <c r="P53" s="189">
        <f t="shared" si="7"/>
        <v>846511.51000000013</v>
      </c>
    </row>
    <row r="54" spans="1:16" x14ac:dyDescent="0.3">
      <c r="A54" s="364" t="s">
        <v>189</v>
      </c>
      <c r="B54" s="83">
        <f>$D$41</f>
        <v>50793.17</v>
      </c>
      <c r="C54" s="83">
        <f t="shared" ref="C54:N54" si="11">$D$41</f>
        <v>50793.17</v>
      </c>
      <c r="D54" s="83">
        <f t="shared" si="11"/>
        <v>50793.17</v>
      </c>
      <c r="E54" s="83">
        <f t="shared" si="11"/>
        <v>50793.17</v>
      </c>
      <c r="F54" s="83">
        <f t="shared" si="11"/>
        <v>50793.17</v>
      </c>
      <c r="G54" s="83">
        <f t="shared" si="11"/>
        <v>50793.17</v>
      </c>
      <c r="H54" s="83">
        <f t="shared" si="9"/>
        <v>25396.584999999999</v>
      </c>
      <c r="I54" s="83">
        <f t="shared" si="11"/>
        <v>50793.17</v>
      </c>
      <c r="J54" s="83">
        <f t="shared" si="11"/>
        <v>50793.17</v>
      </c>
      <c r="K54" s="83">
        <f t="shared" si="11"/>
        <v>50793.17</v>
      </c>
      <c r="L54" s="83">
        <f t="shared" si="11"/>
        <v>50793.17</v>
      </c>
      <c r="M54" s="83">
        <f t="shared" si="11"/>
        <v>50793.17</v>
      </c>
      <c r="N54" s="83">
        <f t="shared" si="11"/>
        <v>50793.17</v>
      </c>
      <c r="O54" s="83">
        <f>N54/2</f>
        <v>25396.584999999999</v>
      </c>
      <c r="P54" s="189">
        <f t="shared" si="7"/>
        <v>660311.21</v>
      </c>
    </row>
    <row r="55" spans="1:16" x14ac:dyDescent="0.3">
      <c r="A55" s="210" t="s">
        <v>191</v>
      </c>
      <c r="B55" s="81">
        <f>$D$44</f>
        <v>45584.77</v>
      </c>
      <c r="C55" s="81">
        <f t="shared" ref="C55:N55" si="12">$D$44</f>
        <v>45584.77</v>
      </c>
      <c r="D55" s="81">
        <f t="shared" si="12"/>
        <v>45584.77</v>
      </c>
      <c r="E55" s="81">
        <f t="shared" si="12"/>
        <v>45584.77</v>
      </c>
      <c r="F55" s="81">
        <f t="shared" si="12"/>
        <v>45584.77</v>
      </c>
      <c r="G55" s="81">
        <f t="shared" si="12"/>
        <v>45584.77</v>
      </c>
      <c r="H55" s="81">
        <f t="shared" si="9"/>
        <v>22792.384999999998</v>
      </c>
      <c r="I55" s="81">
        <f t="shared" si="12"/>
        <v>45584.77</v>
      </c>
      <c r="J55" s="81">
        <f t="shared" si="12"/>
        <v>45584.77</v>
      </c>
      <c r="K55" s="81">
        <f t="shared" si="12"/>
        <v>45584.77</v>
      </c>
      <c r="L55" s="81">
        <f t="shared" si="12"/>
        <v>45584.77</v>
      </c>
      <c r="M55" s="81">
        <f t="shared" si="12"/>
        <v>45584.77</v>
      </c>
      <c r="N55" s="81">
        <f t="shared" si="12"/>
        <v>45584.77</v>
      </c>
      <c r="O55" s="81">
        <f>N55/2</f>
        <v>22792.384999999998</v>
      </c>
      <c r="P55" s="189">
        <f t="shared" si="7"/>
        <v>592602.01000000013</v>
      </c>
    </row>
    <row r="56" spans="1:16" x14ac:dyDescent="0.3">
      <c r="A56" s="365" t="str">
        <f>$B$15</f>
        <v>Desarrollador Java / C# - Semi senior</v>
      </c>
      <c r="B56" s="346"/>
      <c r="C56" s="346"/>
      <c r="D56" s="346"/>
      <c r="E56" s="346"/>
      <c r="F56" s="346"/>
      <c r="G56" s="121"/>
      <c r="H56" s="121"/>
      <c r="I56" s="121">
        <f t="shared" ref="I56:N56" si="13">$J$15</f>
        <v>50793.17</v>
      </c>
      <c r="J56" s="121">
        <f t="shared" si="13"/>
        <v>50793.17</v>
      </c>
      <c r="K56" s="121">
        <f t="shared" si="13"/>
        <v>50793.17</v>
      </c>
      <c r="L56" s="121">
        <f t="shared" si="13"/>
        <v>50793.17</v>
      </c>
      <c r="M56" s="121">
        <f t="shared" si="13"/>
        <v>50793.17</v>
      </c>
      <c r="N56" s="121">
        <f t="shared" si="13"/>
        <v>50793.17</v>
      </c>
      <c r="O56" s="122">
        <f>$J$15/2</f>
        <v>25396.584999999999</v>
      </c>
      <c r="P56" s="189">
        <f t="shared" si="7"/>
        <v>330155.60499999998</v>
      </c>
    </row>
    <row r="57" spans="1:16" x14ac:dyDescent="0.3">
      <c r="A57" s="44"/>
      <c r="B57" s="44"/>
      <c r="C57" s="44"/>
      <c r="D57" s="44"/>
      <c r="E57" s="44"/>
      <c r="F57" s="44"/>
      <c r="G57" s="81"/>
      <c r="H57" s="81"/>
      <c r="I57" s="81"/>
      <c r="J57" s="81"/>
      <c r="K57" s="81"/>
      <c r="L57" s="81"/>
      <c r="M57" s="81"/>
      <c r="N57" s="81"/>
      <c r="O57" s="363" t="s">
        <v>46</v>
      </c>
      <c r="P57" s="208">
        <f>SUM(P51:P56)</f>
        <v>4258021.7550000008</v>
      </c>
    </row>
    <row r="58" spans="1:16" x14ac:dyDescent="0.3">
      <c r="A58" s="44"/>
      <c r="B58" s="44"/>
      <c r="C58" s="44"/>
      <c r="D58" s="44"/>
      <c r="E58" s="44"/>
      <c r="F58" s="44"/>
      <c r="G58" s="81"/>
      <c r="H58" s="81"/>
      <c r="I58" s="81"/>
      <c r="J58" s="81"/>
      <c r="K58" s="81"/>
      <c r="L58" s="81"/>
      <c r="M58" s="81"/>
      <c r="N58" s="81"/>
      <c r="O58" s="205"/>
      <c r="P58" s="206"/>
    </row>
    <row r="59" spans="1:16" x14ac:dyDescent="0.3">
      <c r="A59" s="807" t="s">
        <v>282</v>
      </c>
      <c r="B59" s="808"/>
      <c r="C59" s="808"/>
      <c r="D59" s="809"/>
    </row>
    <row r="60" spans="1:16" x14ac:dyDescent="0.3">
      <c r="A60" s="138" t="s">
        <v>184</v>
      </c>
      <c r="B60" s="139" t="s">
        <v>192</v>
      </c>
      <c r="C60" s="198" t="s">
        <v>185</v>
      </c>
      <c r="D60" s="199" t="s">
        <v>46</v>
      </c>
      <c r="E60" s="200" t="s">
        <v>202</v>
      </c>
      <c r="G60" s="202" t="s">
        <v>204</v>
      </c>
      <c r="H60" s="203"/>
      <c r="I60" s="203"/>
    </row>
    <row r="61" spans="1:16" ht="14.4" customHeight="1" x14ac:dyDescent="0.3">
      <c r="A61" s="778" t="s">
        <v>200</v>
      </c>
      <c r="B61" s="162" t="str">
        <f>$B$13</f>
        <v>Analista funcional</v>
      </c>
      <c r="C61" s="785">
        <f>$C$23</f>
        <v>55000</v>
      </c>
      <c r="D61" s="788">
        <f>$J$23</f>
        <v>71626.77</v>
      </c>
      <c r="E61" s="791" t="str">
        <f>B64</f>
        <v>Gerente IT de infraestructura</v>
      </c>
      <c r="G61" s="772" t="s">
        <v>259</v>
      </c>
      <c r="H61" s="772"/>
      <c r="I61" s="772"/>
    </row>
    <row r="62" spans="1:16" x14ac:dyDescent="0.3">
      <c r="A62" s="779"/>
      <c r="B62" s="154" t="str">
        <f>$B$14</f>
        <v>Desarrollador Java / C# - Senior</v>
      </c>
      <c r="C62" s="786"/>
      <c r="D62" s="789"/>
      <c r="E62" s="791"/>
      <c r="G62" s="772"/>
      <c r="H62" s="772"/>
      <c r="I62" s="772"/>
    </row>
    <row r="63" spans="1:16" x14ac:dyDescent="0.3">
      <c r="A63" s="779"/>
      <c r="B63" s="163" t="str">
        <f>$B$18</f>
        <v>Project Manager</v>
      </c>
      <c r="C63" s="786"/>
      <c r="D63" s="789"/>
      <c r="E63" s="791"/>
      <c r="G63" s="772"/>
      <c r="H63" s="772"/>
      <c r="I63" s="772"/>
    </row>
    <row r="64" spans="1:16" x14ac:dyDescent="0.3">
      <c r="A64" s="780"/>
      <c r="B64" s="191" t="str">
        <f>$B$23</f>
        <v>Gerente IT de infraestructura</v>
      </c>
      <c r="C64" s="787"/>
      <c r="D64" s="790"/>
      <c r="E64" s="791"/>
      <c r="G64" s="772"/>
      <c r="H64" s="772"/>
      <c r="I64" s="772"/>
    </row>
    <row r="65" spans="1:16" x14ac:dyDescent="0.3">
      <c r="A65" s="236" t="s">
        <v>199</v>
      </c>
      <c r="B65" s="162" t="str">
        <f>$B$19</f>
        <v>Gerente de Marketing</v>
      </c>
      <c r="C65" s="196">
        <f>$C$19</f>
        <v>53000</v>
      </c>
      <c r="D65" s="197">
        <f>$J$19</f>
        <v>69022.569999999992</v>
      </c>
      <c r="E65" s="195" t="str">
        <f>B65</f>
        <v>Gerente de Marketing</v>
      </c>
      <c r="G65" s="772"/>
      <c r="H65" s="772"/>
      <c r="I65" s="772"/>
      <c r="O65" s="4"/>
    </row>
    <row r="66" spans="1:16" x14ac:dyDescent="0.3">
      <c r="A66" s="778" t="s">
        <v>201</v>
      </c>
      <c r="B66" s="94" t="str">
        <f>$B$21</f>
        <v>Gerente de Ventas</v>
      </c>
      <c r="C66" s="797">
        <f>$C$21</f>
        <v>50000</v>
      </c>
      <c r="D66" s="775">
        <f>$J$21</f>
        <v>65116.27</v>
      </c>
      <c r="E66" s="792" t="str">
        <f>B66</f>
        <v>Gerente de Ventas</v>
      </c>
      <c r="G66" s="772"/>
      <c r="H66" s="772"/>
      <c r="I66" s="772"/>
    </row>
    <row r="67" spans="1:16" x14ac:dyDescent="0.3">
      <c r="A67" s="779"/>
      <c r="B67" s="82" t="str">
        <f>$B$22</f>
        <v>Asistente de Ventas</v>
      </c>
      <c r="C67" s="798"/>
      <c r="D67" s="799"/>
      <c r="E67" s="793"/>
      <c r="G67" s="772"/>
      <c r="H67" s="772"/>
      <c r="I67" s="772"/>
    </row>
    <row r="68" spans="1:16" x14ac:dyDescent="0.3">
      <c r="A68" s="779"/>
      <c r="B68" s="15" t="str">
        <f>$B$25</f>
        <v>Gerente de Administración</v>
      </c>
      <c r="C68" s="798"/>
      <c r="D68" s="799"/>
      <c r="E68" s="793"/>
      <c r="G68" s="772"/>
      <c r="H68" s="772"/>
      <c r="I68" s="772"/>
    </row>
    <row r="69" spans="1:16" x14ac:dyDescent="0.3">
      <c r="A69" s="230"/>
      <c r="B69" s="183" t="str">
        <f>$B$26</f>
        <v>Asistente de RRHH</v>
      </c>
      <c r="C69" s="800"/>
      <c r="D69" s="801"/>
      <c r="E69" s="237"/>
    </row>
    <row r="70" spans="1:16" x14ac:dyDescent="0.3">
      <c r="A70" s="778" t="s">
        <v>197</v>
      </c>
      <c r="B70" s="162" t="str">
        <f>$B$15</f>
        <v>Desarrollador Java / C# - Semi senior</v>
      </c>
      <c r="C70" s="798">
        <f>$C$15</f>
        <v>39000</v>
      </c>
      <c r="D70" s="799">
        <f>$J$15</f>
        <v>50793.17</v>
      </c>
      <c r="E70" s="810" t="str">
        <f>B70</f>
        <v>Desarrollador Java / C# - Semi senior</v>
      </c>
    </row>
    <row r="71" spans="1:16" x14ac:dyDescent="0.3">
      <c r="A71" s="780"/>
      <c r="B71" s="156" t="str">
        <f>$B$24</f>
        <v>Especialista IT</v>
      </c>
      <c r="C71" s="800"/>
      <c r="D71" s="801"/>
      <c r="E71" s="791"/>
    </row>
    <row r="72" spans="1:16" x14ac:dyDescent="0.3">
      <c r="A72" s="778" t="s">
        <v>198</v>
      </c>
      <c r="B72" s="162" t="str">
        <f>$B$16</f>
        <v>Modelador 3D</v>
      </c>
      <c r="C72" s="797">
        <f>$C$16</f>
        <v>35000</v>
      </c>
      <c r="D72" s="775">
        <f>$J$16</f>
        <v>45584.77</v>
      </c>
      <c r="E72" s="791" t="str">
        <f>B72</f>
        <v>Modelador 3D</v>
      </c>
    </row>
    <row r="73" spans="1:16" x14ac:dyDescent="0.3">
      <c r="A73" s="780"/>
      <c r="B73" s="156" t="str">
        <f>$B$24</f>
        <v>Especialista IT</v>
      </c>
      <c r="C73" s="800"/>
      <c r="D73" s="801"/>
      <c r="E73" s="791"/>
    </row>
    <row r="74" spans="1:16" x14ac:dyDescent="0.3">
      <c r="A74" s="233" t="s">
        <v>206</v>
      </c>
      <c r="B74" s="214" t="str">
        <f>$B$15</f>
        <v>Desarrollador Java / C# - Semi senior</v>
      </c>
      <c r="C74" s="213">
        <f>$C$15</f>
        <v>39000</v>
      </c>
      <c r="D74" s="213">
        <f>$J$15</f>
        <v>50793.17</v>
      </c>
      <c r="E74" s="234"/>
    </row>
    <row r="75" spans="1:16" x14ac:dyDescent="0.3">
      <c r="A75" s="217" t="s">
        <v>207</v>
      </c>
      <c r="B75" s="226" t="str">
        <f>$B$20</f>
        <v>Asistente de Marketing</v>
      </c>
      <c r="C75" s="216">
        <f>$C$26</f>
        <v>27000</v>
      </c>
      <c r="D75" s="216">
        <f>$J$26</f>
        <v>35167.969999999994</v>
      </c>
      <c r="E75" s="232"/>
    </row>
    <row r="76" spans="1:16" x14ac:dyDescent="0.3">
      <c r="A76" s="217" t="s">
        <v>208</v>
      </c>
      <c r="B76" s="235" t="str">
        <f>$B$15</f>
        <v>Desarrollador Java / C# - Semi senior</v>
      </c>
      <c r="C76" s="213">
        <f>$C$15</f>
        <v>39000</v>
      </c>
      <c r="D76" s="213">
        <f>$J$15</f>
        <v>50793.17</v>
      </c>
      <c r="E76" s="232"/>
    </row>
    <row r="77" spans="1:16" x14ac:dyDescent="0.3">
      <c r="A77" s="217" t="s">
        <v>209</v>
      </c>
      <c r="B77" s="226" t="str">
        <f>$B$16</f>
        <v>Modelador 3D</v>
      </c>
      <c r="C77" s="216">
        <f>$C$16</f>
        <v>35000</v>
      </c>
      <c r="D77" s="216">
        <f>$J$16</f>
        <v>45584.77</v>
      </c>
      <c r="E77" s="232"/>
    </row>
    <row r="78" spans="1:16" x14ac:dyDescent="0.3">
      <c r="A78" s="217" t="s">
        <v>211</v>
      </c>
      <c r="B78" s="235" t="str">
        <f>$B$17</f>
        <v>Quality Assurance - Semi senior</v>
      </c>
      <c r="C78" s="212">
        <f>$C$17</f>
        <v>29000</v>
      </c>
      <c r="D78" s="212">
        <f>$J$17</f>
        <v>37772.17</v>
      </c>
      <c r="E78" s="232"/>
    </row>
    <row r="79" spans="1:16" x14ac:dyDescent="0.3">
      <c r="A79" s="44"/>
      <c r="B79" s="44"/>
      <c r="C79" s="44"/>
      <c r="D79" s="44"/>
      <c r="E79" s="44"/>
      <c r="F79" s="44"/>
      <c r="G79" s="81"/>
      <c r="H79" s="81"/>
      <c r="I79" s="81"/>
      <c r="J79" s="81"/>
      <c r="K79" s="81"/>
      <c r="L79" s="81"/>
      <c r="M79" s="81"/>
      <c r="N79" s="81"/>
      <c r="O79" s="89"/>
      <c r="P79" s="207"/>
    </row>
    <row r="80" spans="1:16" x14ac:dyDescent="0.3">
      <c r="A80" s="758" t="s">
        <v>48</v>
      </c>
      <c r="B80" s="759"/>
      <c r="C80" s="759"/>
      <c r="D80" s="759"/>
      <c r="E80" s="759"/>
      <c r="F80" s="759"/>
      <c r="G80" s="759"/>
      <c r="H80" s="759"/>
      <c r="I80" s="759"/>
      <c r="J80" s="759"/>
      <c r="K80" s="759"/>
      <c r="L80" s="759"/>
      <c r="M80" s="759"/>
      <c r="N80" s="759"/>
      <c r="O80" s="760"/>
      <c r="P80" s="13"/>
    </row>
    <row r="81" spans="1:16" x14ac:dyDescent="0.3">
      <c r="A81" s="138" t="s">
        <v>184</v>
      </c>
      <c r="B81" s="139" t="s">
        <v>51</v>
      </c>
      <c r="C81" s="139" t="s">
        <v>52</v>
      </c>
      <c r="D81" s="139" t="s">
        <v>53</v>
      </c>
      <c r="E81" s="139" t="s">
        <v>54</v>
      </c>
      <c r="F81" s="139" t="s">
        <v>55</v>
      </c>
      <c r="G81" s="139" t="s">
        <v>56</v>
      </c>
      <c r="H81" s="139" t="s">
        <v>193</v>
      </c>
      <c r="I81" s="139" t="s">
        <v>57</v>
      </c>
      <c r="J81" s="139" t="s">
        <v>58</v>
      </c>
      <c r="K81" s="139" t="s">
        <v>59</v>
      </c>
      <c r="L81" s="139" t="s">
        <v>60</v>
      </c>
      <c r="M81" s="139" t="s">
        <v>61</v>
      </c>
      <c r="N81" s="139" t="s">
        <v>62</v>
      </c>
      <c r="O81" s="139" t="s">
        <v>194</v>
      </c>
      <c r="P81" s="254" t="s">
        <v>46</v>
      </c>
    </row>
    <row r="82" spans="1:16" x14ac:dyDescent="0.3">
      <c r="A82" s="209" t="s">
        <v>186</v>
      </c>
      <c r="B82" s="95">
        <f>$D$31</f>
        <v>71626.77</v>
      </c>
      <c r="C82" s="95">
        <f t="shared" ref="C82:N82" si="14">$D$31</f>
        <v>71626.77</v>
      </c>
      <c r="D82" s="95">
        <f t="shared" si="14"/>
        <v>71626.77</v>
      </c>
      <c r="E82" s="95">
        <f t="shared" si="14"/>
        <v>71626.77</v>
      </c>
      <c r="F82" s="95">
        <f t="shared" si="14"/>
        <v>71626.77</v>
      </c>
      <c r="G82" s="95">
        <f t="shared" si="14"/>
        <v>71626.77</v>
      </c>
      <c r="H82" s="95">
        <f>G82/2</f>
        <v>35813.385000000002</v>
      </c>
      <c r="I82" s="95">
        <f t="shared" si="14"/>
        <v>71626.77</v>
      </c>
      <c r="J82" s="95">
        <f t="shared" si="14"/>
        <v>71626.77</v>
      </c>
      <c r="K82" s="95">
        <f t="shared" si="14"/>
        <v>71626.77</v>
      </c>
      <c r="L82" s="95">
        <f t="shared" si="14"/>
        <v>71626.77</v>
      </c>
      <c r="M82" s="95">
        <f t="shared" si="14"/>
        <v>71626.77</v>
      </c>
      <c r="N82" s="95">
        <f t="shared" si="14"/>
        <v>71626.77</v>
      </c>
      <c r="O82" s="95">
        <f>N82/2</f>
        <v>35813.385000000002</v>
      </c>
      <c r="P82" s="255">
        <f>SUM(B82:O82)</f>
        <v>931148.01000000013</v>
      </c>
    </row>
    <row r="83" spans="1:16" x14ac:dyDescent="0.3">
      <c r="A83" s="364" t="s">
        <v>187</v>
      </c>
      <c r="B83" s="83">
        <f>$D$35</f>
        <v>69022.569999999992</v>
      </c>
      <c r="C83" s="83">
        <f t="shared" ref="C83:N83" si="15">$D$35</f>
        <v>69022.569999999992</v>
      </c>
      <c r="D83" s="83">
        <f t="shared" si="15"/>
        <v>69022.569999999992</v>
      </c>
      <c r="E83" s="83">
        <f t="shared" si="15"/>
        <v>69022.569999999992</v>
      </c>
      <c r="F83" s="83">
        <f t="shared" si="15"/>
        <v>69022.569999999992</v>
      </c>
      <c r="G83" s="83">
        <f t="shared" si="15"/>
        <v>69022.569999999992</v>
      </c>
      <c r="H83" s="83">
        <f t="shared" ref="H83:H86" si="16">G83/2</f>
        <v>34511.284999999996</v>
      </c>
      <c r="I83" s="83">
        <f t="shared" si="15"/>
        <v>69022.569999999992</v>
      </c>
      <c r="J83" s="83">
        <f t="shared" si="15"/>
        <v>69022.569999999992</v>
      </c>
      <c r="K83" s="83">
        <f t="shared" si="15"/>
        <v>69022.569999999992</v>
      </c>
      <c r="L83" s="83">
        <f t="shared" si="15"/>
        <v>69022.569999999992</v>
      </c>
      <c r="M83" s="83">
        <f t="shared" si="15"/>
        <v>69022.569999999992</v>
      </c>
      <c r="N83" s="83">
        <f t="shared" si="15"/>
        <v>69022.569999999992</v>
      </c>
      <c r="O83" s="83">
        <f t="shared" ref="O83:O86" si="17">N83/2</f>
        <v>34511.284999999996</v>
      </c>
      <c r="P83" s="255">
        <f t="shared" ref="P83:P91" si="18">SUM(B83:O83)</f>
        <v>897293.4099999998</v>
      </c>
    </row>
    <row r="84" spans="1:16" x14ac:dyDescent="0.3">
      <c r="A84" s="210" t="s">
        <v>188</v>
      </c>
      <c r="B84" s="81">
        <f>$D$37</f>
        <v>65116.27</v>
      </c>
      <c r="C84" s="81">
        <f t="shared" ref="C84:N84" si="19">$D$37</f>
        <v>65116.27</v>
      </c>
      <c r="D84" s="81">
        <f t="shared" si="19"/>
        <v>65116.27</v>
      </c>
      <c r="E84" s="81">
        <f t="shared" si="19"/>
        <v>65116.27</v>
      </c>
      <c r="F84" s="81">
        <f t="shared" si="19"/>
        <v>65116.27</v>
      </c>
      <c r="G84" s="81">
        <f t="shared" si="19"/>
        <v>65116.27</v>
      </c>
      <c r="H84" s="81">
        <f t="shared" si="16"/>
        <v>32558.134999999998</v>
      </c>
      <c r="I84" s="81">
        <f t="shared" si="19"/>
        <v>65116.27</v>
      </c>
      <c r="J84" s="81">
        <f t="shared" si="19"/>
        <v>65116.27</v>
      </c>
      <c r="K84" s="81">
        <f t="shared" si="19"/>
        <v>65116.27</v>
      </c>
      <c r="L84" s="81">
        <f t="shared" si="19"/>
        <v>65116.27</v>
      </c>
      <c r="M84" s="81">
        <f t="shared" si="19"/>
        <v>65116.27</v>
      </c>
      <c r="N84" s="81">
        <f t="shared" si="19"/>
        <v>65116.27</v>
      </c>
      <c r="O84" s="81">
        <f t="shared" si="17"/>
        <v>32558.134999999998</v>
      </c>
      <c r="P84" s="255">
        <f t="shared" si="18"/>
        <v>846511.51000000013</v>
      </c>
    </row>
    <row r="85" spans="1:16" x14ac:dyDescent="0.3">
      <c r="A85" s="364" t="s">
        <v>189</v>
      </c>
      <c r="B85" s="83">
        <f>$D$41</f>
        <v>50793.17</v>
      </c>
      <c r="C85" s="83">
        <f t="shared" ref="C85:N85" si="20">$D$41</f>
        <v>50793.17</v>
      </c>
      <c r="D85" s="83">
        <f t="shared" si="20"/>
        <v>50793.17</v>
      </c>
      <c r="E85" s="83">
        <f t="shared" si="20"/>
        <v>50793.17</v>
      </c>
      <c r="F85" s="83">
        <f t="shared" si="20"/>
        <v>50793.17</v>
      </c>
      <c r="G85" s="83">
        <f t="shared" si="20"/>
        <v>50793.17</v>
      </c>
      <c r="H85" s="83">
        <f t="shared" si="16"/>
        <v>25396.584999999999</v>
      </c>
      <c r="I85" s="83">
        <f t="shared" si="20"/>
        <v>50793.17</v>
      </c>
      <c r="J85" s="83">
        <f t="shared" si="20"/>
        <v>50793.17</v>
      </c>
      <c r="K85" s="83">
        <f t="shared" si="20"/>
        <v>50793.17</v>
      </c>
      <c r="L85" s="83">
        <f t="shared" si="20"/>
        <v>50793.17</v>
      </c>
      <c r="M85" s="83">
        <f t="shared" si="20"/>
        <v>50793.17</v>
      </c>
      <c r="N85" s="83">
        <f t="shared" si="20"/>
        <v>50793.17</v>
      </c>
      <c r="O85" s="83">
        <f t="shared" si="17"/>
        <v>25396.584999999999</v>
      </c>
      <c r="P85" s="255">
        <f t="shared" si="18"/>
        <v>660311.21</v>
      </c>
    </row>
    <row r="86" spans="1:16" x14ac:dyDescent="0.3">
      <c r="A86" s="210" t="s">
        <v>191</v>
      </c>
      <c r="B86" s="81">
        <f>$D$44</f>
        <v>45584.77</v>
      </c>
      <c r="C86" s="81">
        <f t="shared" ref="C86:N86" si="21">$D$44</f>
        <v>45584.77</v>
      </c>
      <c r="D86" s="81">
        <f t="shared" si="21"/>
        <v>45584.77</v>
      </c>
      <c r="E86" s="81">
        <f t="shared" si="21"/>
        <v>45584.77</v>
      </c>
      <c r="F86" s="81">
        <f t="shared" si="21"/>
        <v>45584.77</v>
      </c>
      <c r="G86" s="81">
        <f t="shared" si="21"/>
        <v>45584.77</v>
      </c>
      <c r="H86" s="81">
        <f t="shared" si="16"/>
        <v>22792.384999999998</v>
      </c>
      <c r="I86" s="81">
        <f t="shared" si="21"/>
        <v>45584.77</v>
      </c>
      <c r="J86" s="81">
        <f t="shared" si="21"/>
        <v>45584.77</v>
      </c>
      <c r="K86" s="81">
        <f t="shared" si="21"/>
        <v>45584.77</v>
      </c>
      <c r="L86" s="81">
        <f t="shared" si="21"/>
        <v>45584.77</v>
      </c>
      <c r="M86" s="81">
        <f t="shared" si="21"/>
        <v>45584.77</v>
      </c>
      <c r="N86" s="81">
        <f t="shared" si="21"/>
        <v>45584.77</v>
      </c>
      <c r="O86" s="81">
        <f t="shared" si="17"/>
        <v>22792.384999999998</v>
      </c>
      <c r="P86" s="255">
        <f t="shared" si="18"/>
        <v>592602.01000000013</v>
      </c>
    </row>
    <row r="87" spans="1:16" x14ac:dyDescent="0.3">
      <c r="A87" s="364" t="str">
        <f>$B$15</f>
        <v>Desarrollador Java / C# - Semi senior</v>
      </c>
      <c r="B87" s="83">
        <f t="shared" ref="B87:G87" si="22">$J$15</f>
        <v>50793.17</v>
      </c>
      <c r="C87" s="83">
        <f t="shared" si="22"/>
        <v>50793.17</v>
      </c>
      <c r="D87" s="83">
        <f t="shared" si="22"/>
        <v>50793.17</v>
      </c>
      <c r="E87" s="83">
        <f t="shared" si="22"/>
        <v>50793.17</v>
      </c>
      <c r="F87" s="83">
        <f t="shared" si="22"/>
        <v>50793.17</v>
      </c>
      <c r="G87" s="83">
        <f t="shared" si="22"/>
        <v>50793.17</v>
      </c>
      <c r="H87" s="83">
        <f>$J$15/2</f>
        <v>25396.584999999999</v>
      </c>
      <c r="I87" s="83">
        <f t="shared" ref="I87:O87" si="23">$J$15</f>
        <v>50793.17</v>
      </c>
      <c r="J87" s="83">
        <f t="shared" si="23"/>
        <v>50793.17</v>
      </c>
      <c r="K87" s="83">
        <f t="shared" si="23"/>
        <v>50793.17</v>
      </c>
      <c r="L87" s="83">
        <f t="shared" si="23"/>
        <v>50793.17</v>
      </c>
      <c r="M87" s="83">
        <f t="shared" si="23"/>
        <v>50793.17</v>
      </c>
      <c r="N87" s="83">
        <f t="shared" si="23"/>
        <v>50793.17</v>
      </c>
      <c r="O87" s="83">
        <f t="shared" si="23"/>
        <v>50793.17</v>
      </c>
      <c r="P87" s="255">
        <f t="shared" si="18"/>
        <v>685707.79500000004</v>
      </c>
    </row>
    <row r="88" spans="1:16" x14ac:dyDescent="0.3">
      <c r="A88" s="204" t="str">
        <f>$B$20</f>
        <v>Asistente de Marketing</v>
      </c>
      <c r="B88" s="81">
        <f t="shared" ref="B88:G88" si="24">$J$20</f>
        <v>28657.47</v>
      </c>
      <c r="C88" s="81">
        <f t="shared" si="24"/>
        <v>28657.47</v>
      </c>
      <c r="D88" s="81">
        <f t="shared" si="24"/>
        <v>28657.47</v>
      </c>
      <c r="E88" s="81">
        <f t="shared" si="24"/>
        <v>28657.47</v>
      </c>
      <c r="F88" s="81">
        <f t="shared" si="24"/>
        <v>28657.47</v>
      </c>
      <c r="G88" s="81">
        <f t="shared" si="24"/>
        <v>28657.47</v>
      </c>
      <c r="H88" s="81">
        <f>$J$20/2</f>
        <v>14328.735000000001</v>
      </c>
      <c r="I88" s="81">
        <f t="shared" ref="I88:N88" si="25">$J$20</f>
        <v>28657.47</v>
      </c>
      <c r="J88" s="81">
        <f t="shared" si="25"/>
        <v>28657.47</v>
      </c>
      <c r="K88" s="81">
        <f t="shared" si="25"/>
        <v>28657.47</v>
      </c>
      <c r="L88" s="81">
        <f t="shared" si="25"/>
        <v>28657.47</v>
      </c>
      <c r="M88" s="81">
        <f t="shared" si="25"/>
        <v>28657.47</v>
      </c>
      <c r="N88" s="81">
        <f t="shared" si="25"/>
        <v>28657.47</v>
      </c>
      <c r="O88" s="81">
        <f>$J$20/2</f>
        <v>14328.735000000001</v>
      </c>
      <c r="P88" s="255">
        <f t="shared" si="18"/>
        <v>372547.10999999987</v>
      </c>
    </row>
    <row r="89" spans="1:16" x14ac:dyDescent="0.3">
      <c r="A89" s="366" t="str">
        <f>$B$15</f>
        <v>Desarrollador Java / C# - Semi senior</v>
      </c>
      <c r="B89" s="60"/>
      <c r="C89" s="60"/>
      <c r="D89" s="60"/>
      <c r="E89" s="60"/>
      <c r="F89" s="83">
        <f>$J$15</f>
        <v>50793.17</v>
      </c>
      <c r="G89" s="83">
        <f>$J$15</f>
        <v>50793.17</v>
      </c>
      <c r="H89" s="83">
        <f>$J$15/4</f>
        <v>12698.2925</v>
      </c>
      <c r="I89" s="83">
        <f t="shared" ref="I89:O89" si="26">$J$15</f>
        <v>50793.17</v>
      </c>
      <c r="J89" s="83">
        <f t="shared" si="26"/>
        <v>50793.17</v>
      </c>
      <c r="K89" s="83">
        <f t="shared" si="26"/>
        <v>50793.17</v>
      </c>
      <c r="L89" s="83">
        <f t="shared" si="26"/>
        <v>50793.17</v>
      </c>
      <c r="M89" s="83">
        <f t="shared" si="26"/>
        <v>50793.17</v>
      </c>
      <c r="N89" s="83">
        <f t="shared" si="26"/>
        <v>50793.17</v>
      </c>
      <c r="O89" s="83">
        <f t="shared" si="26"/>
        <v>50793.17</v>
      </c>
      <c r="P89" s="255">
        <f t="shared" si="18"/>
        <v>469836.82249999989</v>
      </c>
    </row>
    <row r="90" spans="1:16" x14ac:dyDescent="0.3">
      <c r="A90" s="204" t="str">
        <f>$B$16</f>
        <v>Modelador 3D</v>
      </c>
      <c r="B90" s="44"/>
      <c r="C90" s="44"/>
      <c r="D90" s="44"/>
      <c r="E90" s="44"/>
      <c r="F90" s="81">
        <f>$J$16</f>
        <v>45584.77</v>
      </c>
      <c r="G90" s="81">
        <f>$J$16</f>
        <v>45584.77</v>
      </c>
      <c r="H90" s="81">
        <f>$J$16/4</f>
        <v>11396.192499999999</v>
      </c>
      <c r="I90" s="81">
        <f t="shared" ref="I90:O90" si="27">$J$16</f>
        <v>45584.77</v>
      </c>
      <c r="J90" s="81">
        <f t="shared" si="27"/>
        <v>45584.77</v>
      </c>
      <c r="K90" s="81">
        <f t="shared" si="27"/>
        <v>45584.77</v>
      </c>
      <c r="L90" s="81">
        <f t="shared" si="27"/>
        <v>45584.77</v>
      </c>
      <c r="M90" s="81">
        <f t="shared" si="27"/>
        <v>45584.77</v>
      </c>
      <c r="N90" s="81">
        <f t="shared" si="27"/>
        <v>45584.77</v>
      </c>
      <c r="O90" s="81">
        <f t="shared" si="27"/>
        <v>45584.77</v>
      </c>
      <c r="P90" s="255">
        <f t="shared" si="18"/>
        <v>421659.12250000006</v>
      </c>
    </row>
    <row r="91" spans="1:16" x14ac:dyDescent="0.3">
      <c r="A91" s="365" t="str">
        <f>$B$17</f>
        <v>Quality Assurance - Semi senior</v>
      </c>
      <c r="B91" s="346"/>
      <c r="C91" s="346"/>
      <c r="D91" s="346"/>
      <c r="E91" s="346"/>
      <c r="F91" s="121">
        <f>$J$17</f>
        <v>37772.17</v>
      </c>
      <c r="G91" s="121">
        <f>$J$17</f>
        <v>37772.17</v>
      </c>
      <c r="H91" s="121">
        <f>$J$17/4</f>
        <v>9443.0424999999996</v>
      </c>
      <c r="I91" s="121">
        <f t="shared" ref="I91:O91" si="28">$J$17</f>
        <v>37772.17</v>
      </c>
      <c r="J91" s="121">
        <f t="shared" si="28"/>
        <v>37772.17</v>
      </c>
      <c r="K91" s="121">
        <f t="shared" si="28"/>
        <v>37772.17</v>
      </c>
      <c r="L91" s="121">
        <f t="shared" si="28"/>
        <v>37772.17</v>
      </c>
      <c r="M91" s="121">
        <f t="shared" si="28"/>
        <v>37772.17</v>
      </c>
      <c r="N91" s="121">
        <f t="shared" si="28"/>
        <v>37772.17</v>
      </c>
      <c r="O91" s="83">
        <f t="shared" si="28"/>
        <v>37772.17</v>
      </c>
      <c r="P91" s="255">
        <f t="shared" si="18"/>
        <v>349392.57249999989</v>
      </c>
    </row>
    <row r="92" spans="1:16" x14ac:dyDescent="0.3">
      <c r="O92" s="257" t="s">
        <v>46</v>
      </c>
      <c r="P92" s="256">
        <f>SUM(P82:P91)</f>
        <v>6227009.5724999998</v>
      </c>
    </row>
    <row r="93" spans="1:16" x14ac:dyDescent="0.3">
      <c r="O93" s="218"/>
      <c r="P93" s="219"/>
    </row>
    <row r="94" spans="1:16" x14ac:dyDescent="0.3">
      <c r="A94" s="811" t="s">
        <v>283</v>
      </c>
      <c r="B94" s="812"/>
      <c r="C94" s="812"/>
      <c r="D94" s="813"/>
    </row>
    <row r="95" spans="1:16" x14ac:dyDescent="0.3">
      <c r="A95" s="141" t="s">
        <v>184</v>
      </c>
      <c r="B95" s="142" t="s">
        <v>192</v>
      </c>
      <c r="C95" s="221" t="s">
        <v>185</v>
      </c>
      <c r="D95" s="222" t="s">
        <v>46</v>
      </c>
      <c r="E95" s="223" t="s">
        <v>202</v>
      </c>
      <c r="G95" s="220" t="s">
        <v>210</v>
      </c>
      <c r="H95" s="148"/>
      <c r="I95" s="148"/>
    </row>
    <row r="96" spans="1:16" x14ac:dyDescent="0.3">
      <c r="A96" s="778" t="s">
        <v>200</v>
      </c>
      <c r="B96" s="162" t="str">
        <f>$B$13</f>
        <v>Analista funcional</v>
      </c>
      <c r="C96" s="785">
        <f>$C$23</f>
        <v>55000</v>
      </c>
      <c r="D96" s="788">
        <f>$J$23</f>
        <v>71626.77</v>
      </c>
      <c r="E96" s="791" t="str">
        <f>B98</f>
        <v>Gerente IT de infraestructura</v>
      </c>
      <c r="G96" s="814" t="s">
        <v>260</v>
      </c>
      <c r="H96" s="814"/>
      <c r="I96" s="814"/>
    </row>
    <row r="97" spans="1:15" x14ac:dyDescent="0.3">
      <c r="A97" s="779"/>
      <c r="B97" s="154" t="str">
        <f>$B$18</f>
        <v>Project Manager</v>
      </c>
      <c r="C97" s="786"/>
      <c r="D97" s="789"/>
      <c r="E97" s="791"/>
      <c r="G97" s="814"/>
      <c r="H97" s="814"/>
      <c r="I97" s="814"/>
    </row>
    <row r="98" spans="1:15" x14ac:dyDescent="0.3">
      <c r="A98" s="780"/>
      <c r="B98" s="367" t="str">
        <f>$B$23</f>
        <v>Gerente IT de infraestructura</v>
      </c>
      <c r="C98" s="787"/>
      <c r="D98" s="790"/>
      <c r="E98" s="791"/>
      <c r="G98" s="814"/>
      <c r="H98" s="814"/>
      <c r="I98" s="814"/>
    </row>
    <row r="99" spans="1:15" x14ac:dyDescent="0.3">
      <c r="A99" s="236" t="s">
        <v>199</v>
      </c>
      <c r="B99" s="162" t="str">
        <f>$B$19</f>
        <v>Gerente de Marketing</v>
      </c>
      <c r="C99" s="196">
        <f>$C$19</f>
        <v>53000</v>
      </c>
      <c r="D99" s="197">
        <f>$J$19</f>
        <v>69022.569999999992</v>
      </c>
      <c r="E99" s="195" t="str">
        <f>B99</f>
        <v>Gerente de Marketing</v>
      </c>
      <c r="G99" s="814"/>
      <c r="H99" s="814"/>
      <c r="I99" s="814"/>
      <c r="O99" s="4"/>
    </row>
    <row r="100" spans="1:15" x14ac:dyDescent="0.3">
      <c r="A100" s="778" t="s">
        <v>201</v>
      </c>
      <c r="B100" s="162" t="str">
        <f>$B$21</f>
        <v>Gerente de Ventas</v>
      </c>
      <c r="C100" s="797">
        <f>$C$21</f>
        <v>50000</v>
      </c>
      <c r="D100" s="775">
        <f>$J$21</f>
        <v>65116.27</v>
      </c>
      <c r="E100" s="791" t="str">
        <f>B100</f>
        <v>Gerente de Ventas</v>
      </c>
    </row>
    <row r="101" spans="1:15" x14ac:dyDescent="0.3">
      <c r="A101" s="779"/>
      <c r="B101" s="154" t="str">
        <f>$B$22</f>
        <v>Asistente de Ventas</v>
      </c>
      <c r="C101" s="798"/>
      <c r="D101" s="799"/>
      <c r="E101" s="791"/>
    </row>
    <row r="102" spans="1:15" x14ac:dyDescent="0.3">
      <c r="A102" s="779"/>
      <c r="B102" s="163" t="str">
        <f>$B$25</f>
        <v>Gerente de Administración</v>
      </c>
      <c r="C102" s="800"/>
      <c r="D102" s="801"/>
      <c r="E102" s="791"/>
    </row>
    <row r="103" spans="1:15" x14ac:dyDescent="0.3">
      <c r="A103" s="778" t="s">
        <v>197</v>
      </c>
      <c r="B103" s="162" t="str">
        <f>$B$15</f>
        <v>Desarrollador Java / C# - Semi senior</v>
      </c>
      <c r="C103" s="797">
        <f>$C$15</f>
        <v>39000</v>
      </c>
      <c r="D103" s="775">
        <f>$J$15</f>
        <v>50793.17</v>
      </c>
      <c r="E103" s="791" t="str">
        <f>B103</f>
        <v>Desarrollador Java / C# - Semi senior</v>
      </c>
    </row>
    <row r="104" spans="1:15" x14ac:dyDescent="0.3">
      <c r="A104" s="780"/>
      <c r="B104" s="156" t="str">
        <f>$B$24</f>
        <v>Especialista IT</v>
      </c>
      <c r="C104" s="800"/>
      <c r="D104" s="801"/>
      <c r="E104" s="791"/>
    </row>
    <row r="105" spans="1:15" x14ac:dyDescent="0.3">
      <c r="A105" s="360" t="s">
        <v>198</v>
      </c>
      <c r="B105" s="162" t="str">
        <f>$B$16</f>
        <v>Modelador 3D</v>
      </c>
      <c r="C105" s="362">
        <f>$C$16</f>
        <v>35000</v>
      </c>
      <c r="D105" s="359">
        <f>$J$16</f>
        <v>45584.77</v>
      </c>
      <c r="E105" s="361" t="str">
        <f>B105</f>
        <v>Modelador 3D</v>
      </c>
    </row>
    <row r="106" spans="1:15" x14ac:dyDescent="0.3">
      <c r="A106" s="224" t="s">
        <v>206</v>
      </c>
      <c r="B106" s="231" t="str">
        <f>$B$15</f>
        <v>Desarrollador Java / C# - Semi senior</v>
      </c>
      <c r="C106" s="213">
        <f>$C$15</f>
        <v>39000</v>
      </c>
      <c r="D106" s="213">
        <f>$J$15</f>
        <v>50793.17</v>
      </c>
      <c r="E106" s="234"/>
    </row>
    <row r="107" spans="1:15" x14ac:dyDescent="0.3">
      <c r="A107" s="224" t="s">
        <v>207</v>
      </c>
      <c r="B107" s="231" t="str">
        <f>$B$20</f>
        <v>Asistente de Marketing</v>
      </c>
      <c r="C107" s="216">
        <f>$C$26</f>
        <v>27000</v>
      </c>
      <c r="D107" s="216">
        <f>$J$26</f>
        <v>35167.969999999994</v>
      </c>
      <c r="E107" s="232"/>
    </row>
    <row r="108" spans="1:15" x14ac:dyDescent="0.3">
      <c r="A108" s="224" t="s">
        <v>208</v>
      </c>
      <c r="B108" s="231" t="str">
        <f>$B$15</f>
        <v>Desarrollador Java / C# - Semi senior</v>
      </c>
      <c r="C108" s="213">
        <f>$C$15</f>
        <v>39000</v>
      </c>
      <c r="D108" s="213">
        <f>$J$15</f>
        <v>50793.17</v>
      </c>
      <c r="E108" s="232"/>
    </row>
    <row r="109" spans="1:15" x14ac:dyDescent="0.3">
      <c r="A109" s="224" t="s">
        <v>209</v>
      </c>
      <c r="B109" s="231" t="str">
        <f>$B$16</f>
        <v>Modelador 3D</v>
      </c>
      <c r="C109" s="216">
        <f>$C$16</f>
        <v>35000</v>
      </c>
      <c r="D109" s="216">
        <f>$J$16</f>
        <v>45584.77</v>
      </c>
      <c r="E109" s="232"/>
    </row>
    <row r="110" spans="1:15" x14ac:dyDescent="0.3">
      <c r="A110" s="224" t="s">
        <v>211</v>
      </c>
      <c r="B110" s="231" t="str">
        <f>$B$17</f>
        <v>Quality Assurance - Semi senior</v>
      </c>
      <c r="C110" s="212">
        <f>$C$17</f>
        <v>29000</v>
      </c>
      <c r="D110" s="212">
        <f>$J$17</f>
        <v>37772.17</v>
      </c>
      <c r="E110" s="232"/>
    </row>
    <row r="111" spans="1:15" x14ac:dyDescent="0.3">
      <c r="A111" s="217" t="s">
        <v>212</v>
      </c>
      <c r="B111" s="235" t="str">
        <f>$B$26</f>
        <v>Asistente de RRHH</v>
      </c>
      <c r="C111" s="215">
        <f>$C$26</f>
        <v>27000</v>
      </c>
      <c r="D111" s="238">
        <f>$J$26</f>
        <v>35167.969999999994</v>
      </c>
      <c r="E111" s="188"/>
    </row>
    <row r="112" spans="1:15" x14ac:dyDescent="0.3">
      <c r="A112" s="217" t="s">
        <v>213</v>
      </c>
      <c r="B112" s="235" t="str">
        <f>$B$16</f>
        <v>Modelador 3D</v>
      </c>
      <c r="C112" s="215">
        <v>35000</v>
      </c>
      <c r="D112" s="238">
        <v>47173</v>
      </c>
      <c r="E112" s="188"/>
    </row>
    <row r="113" spans="1:16" x14ac:dyDescent="0.3">
      <c r="A113" s="217" t="s">
        <v>214</v>
      </c>
      <c r="B113" s="235" t="str">
        <f>$B$15</f>
        <v>Desarrollador Java / C# - Semi senior</v>
      </c>
      <c r="C113" s="215">
        <f>$C$15</f>
        <v>39000</v>
      </c>
      <c r="D113" s="238">
        <f>$J$15</f>
        <v>50793.17</v>
      </c>
      <c r="E113" s="188"/>
    </row>
    <row r="114" spans="1:16" x14ac:dyDescent="0.3">
      <c r="A114" s="217" t="s">
        <v>215</v>
      </c>
      <c r="B114" s="235" t="str">
        <f>$B$15</f>
        <v>Desarrollador Java / C# - Semi senior</v>
      </c>
      <c r="C114" s="215">
        <f>$C$15</f>
        <v>39000</v>
      </c>
      <c r="D114" s="238">
        <f>$J$15</f>
        <v>50793.17</v>
      </c>
      <c r="E114" s="188"/>
    </row>
    <row r="116" spans="1:16" x14ac:dyDescent="0.3">
      <c r="A116" s="754" t="s">
        <v>49</v>
      </c>
      <c r="B116" s="755"/>
      <c r="C116" s="755"/>
      <c r="D116" s="755"/>
      <c r="E116" s="755"/>
      <c r="F116" s="755"/>
      <c r="G116" s="755"/>
      <c r="H116" s="755"/>
      <c r="I116" s="755"/>
      <c r="J116" s="755"/>
      <c r="K116" s="755"/>
      <c r="L116" s="755"/>
      <c r="M116" s="755"/>
      <c r="N116" s="755"/>
      <c r="O116" s="756"/>
      <c r="P116" s="13"/>
    </row>
    <row r="117" spans="1:16" x14ac:dyDescent="0.3">
      <c r="A117" s="141" t="s">
        <v>184</v>
      </c>
      <c r="B117" s="142" t="s">
        <v>51</v>
      </c>
      <c r="C117" s="142" t="s">
        <v>52</v>
      </c>
      <c r="D117" s="142" t="s">
        <v>53</v>
      </c>
      <c r="E117" s="142" t="s">
        <v>54</v>
      </c>
      <c r="F117" s="142" t="s">
        <v>55</v>
      </c>
      <c r="G117" s="142" t="s">
        <v>56</v>
      </c>
      <c r="H117" s="142" t="s">
        <v>193</v>
      </c>
      <c r="I117" s="142" t="s">
        <v>57</v>
      </c>
      <c r="J117" s="142" t="s">
        <v>58</v>
      </c>
      <c r="K117" s="142" t="s">
        <v>59</v>
      </c>
      <c r="L117" s="142" t="s">
        <v>60</v>
      </c>
      <c r="M117" s="142" t="s">
        <v>61</v>
      </c>
      <c r="N117" s="142" t="s">
        <v>62</v>
      </c>
      <c r="O117" s="142" t="s">
        <v>194</v>
      </c>
      <c r="P117" s="258" t="s">
        <v>46</v>
      </c>
    </row>
    <row r="118" spans="1:16" x14ac:dyDescent="0.3">
      <c r="A118" s="209" t="s">
        <v>186</v>
      </c>
      <c r="B118" s="95">
        <f>$D$31</f>
        <v>71626.77</v>
      </c>
      <c r="C118" s="95">
        <f t="shared" ref="C118:N118" si="29">$D$31</f>
        <v>71626.77</v>
      </c>
      <c r="D118" s="95">
        <f t="shared" si="29"/>
        <v>71626.77</v>
      </c>
      <c r="E118" s="95">
        <f t="shared" si="29"/>
        <v>71626.77</v>
      </c>
      <c r="F118" s="95">
        <f t="shared" si="29"/>
        <v>71626.77</v>
      </c>
      <c r="G118" s="95">
        <f t="shared" si="29"/>
        <v>71626.77</v>
      </c>
      <c r="H118" s="95">
        <f>G118/2</f>
        <v>35813.385000000002</v>
      </c>
      <c r="I118" s="95">
        <f t="shared" si="29"/>
        <v>71626.77</v>
      </c>
      <c r="J118" s="95">
        <f t="shared" si="29"/>
        <v>71626.77</v>
      </c>
      <c r="K118" s="95">
        <f t="shared" si="29"/>
        <v>71626.77</v>
      </c>
      <c r="L118" s="95">
        <f t="shared" si="29"/>
        <v>71626.77</v>
      </c>
      <c r="M118" s="95">
        <f t="shared" si="29"/>
        <v>71626.77</v>
      </c>
      <c r="N118" s="95">
        <f t="shared" si="29"/>
        <v>71626.77</v>
      </c>
      <c r="O118" s="100">
        <f>N118/2</f>
        <v>35813.385000000002</v>
      </c>
      <c r="P118" s="259">
        <f>SUM(B118:O118)</f>
        <v>931148.01000000013</v>
      </c>
    </row>
    <row r="119" spans="1:16" x14ac:dyDescent="0.3">
      <c r="A119" s="364" t="s">
        <v>187</v>
      </c>
      <c r="B119" s="83">
        <f>$D$35</f>
        <v>69022.569999999992</v>
      </c>
      <c r="C119" s="83">
        <f t="shared" ref="C119:N119" si="30">$D$35</f>
        <v>69022.569999999992</v>
      </c>
      <c r="D119" s="83">
        <f t="shared" si="30"/>
        <v>69022.569999999992</v>
      </c>
      <c r="E119" s="83">
        <f t="shared" si="30"/>
        <v>69022.569999999992</v>
      </c>
      <c r="F119" s="83">
        <f t="shared" si="30"/>
        <v>69022.569999999992</v>
      </c>
      <c r="G119" s="83">
        <f t="shared" si="30"/>
        <v>69022.569999999992</v>
      </c>
      <c r="H119" s="83">
        <f t="shared" ref="H119:H122" si="31">G119/2</f>
        <v>34511.284999999996</v>
      </c>
      <c r="I119" s="83">
        <f t="shared" si="30"/>
        <v>69022.569999999992</v>
      </c>
      <c r="J119" s="83">
        <f t="shared" si="30"/>
        <v>69022.569999999992</v>
      </c>
      <c r="K119" s="83">
        <f t="shared" si="30"/>
        <v>69022.569999999992</v>
      </c>
      <c r="L119" s="83">
        <f t="shared" si="30"/>
        <v>69022.569999999992</v>
      </c>
      <c r="M119" s="83">
        <f t="shared" si="30"/>
        <v>69022.569999999992</v>
      </c>
      <c r="N119" s="83">
        <f t="shared" si="30"/>
        <v>69022.569999999992</v>
      </c>
      <c r="O119" s="101">
        <f t="shared" ref="O119:O122" si="32">N119/2</f>
        <v>34511.284999999996</v>
      </c>
      <c r="P119" s="259">
        <f t="shared" ref="P119:P131" si="33">SUM(B119:O119)</f>
        <v>897293.4099999998</v>
      </c>
    </row>
    <row r="120" spans="1:16" x14ac:dyDescent="0.3">
      <c r="A120" s="210" t="s">
        <v>188</v>
      </c>
      <c r="B120" s="81">
        <f>$D$37</f>
        <v>65116.27</v>
      </c>
      <c r="C120" s="81">
        <f t="shared" ref="C120:N120" si="34">$D$37</f>
        <v>65116.27</v>
      </c>
      <c r="D120" s="81">
        <f t="shared" si="34"/>
        <v>65116.27</v>
      </c>
      <c r="E120" s="81">
        <f t="shared" si="34"/>
        <v>65116.27</v>
      </c>
      <c r="F120" s="81">
        <f t="shared" si="34"/>
        <v>65116.27</v>
      </c>
      <c r="G120" s="81">
        <f t="shared" si="34"/>
        <v>65116.27</v>
      </c>
      <c r="H120" s="81">
        <f t="shared" si="31"/>
        <v>32558.134999999998</v>
      </c>
      <c r="I120" s="81">
        <f t="shared" si="34"/>
        <v>65116.27</v>
      </c>
      <c r="J120" s="81">
        <f t="shared" si="34"/>
        <v>65116.27</v>
      </c>
      <c r="K120" s="81">
        <f t="shared" si="34"/>
        <v>65116.27</v>
      </c>
      <c r="L120" s="81">
        <f t="shared" si="34"/>
        <v>65116.27</v>
      </c>
      <c r="M120" s="81">
        <f t="shared" si="34"/>
        <v>65116.27</v>
      </c>
      <c r="N120" s="81">
        <f t="shared" si="34"/>
        <v>65116.27</v>
      </c>
      <c r="O120" s="102">
        <f t="shared" si="32"/>
        <v>32558.134999999998</v>
      </c>
      <c r="P120" s="259">
        <f t="shared" si="33"/>
        <v>846511.51000000013</v>
      </c>
    </row>
    <row r="121" spans="1:16" x14ac:dyDescent="0.3">
      <c r="A121" s="364" t="s">
        <v>189</v>
      </c>
      <c r="B121" s="83">
        <f>$D$41</f>
        <v>50793.17</v>
      </c>
      <c r="C121" s="83">
        <f t="shared" ref="C121:N121" si="35">$D$41</f>
        <v>50793.17</v>
      </c>
      <c r="D121" s="83">
        <f t="shared" si="35"/>
        <v>50793.17</v>
      </c>
      <c r="E121" s="83">
        <f t="shared" si="35"/>
        <v>50793.17</v>
      </c>
      <c r="F121" s="83">
        <f t="shared" si="35"/>
        <v>50793.17</v>
      </c>
      <c r="G121" s="83">
        <f t="shared" si="35"/>
        <v>50793.17</v>
      </c>
      <c r="H121" s="83">
        <f t="shared" si="31"/>
        <v>25396.584999999999</v>
      </c>
      <c r="I121" s="83">
        <f t="shared" si="35"/>
        <v>50793.17</v>
      </c>
      <c r="J121" s="83">
        <f t="shared" si="35"/>
        <v>50793.17</v>
      </c>
      <c r="K121" s="83">
        <f t="shared" si="35"/>
        <v>50793.17</v>
      </c>
      <c r="L121" s="83">
        <f t="shared" si="35"/>
        <v>50793.17</v>
      </c>
      <c r="M121" s="83">
        <f t="shared" si="35"/>
        <v>50793.17</v>
      </c>
      <c r="N121" s="83">
        <f t="shared" si="35"/>
        <v>50793.17</v>
      </c>
      <c r="O121" s="101">
        <f t="shared" si="32"/>
        <v>25396.584999999999</v>
      </c>
      <c r="P121" s="259">
        <f t="shared" si="33"/>
        <v>660311.21</v>
      </c>
    </row>
    <row r="122" spans="1:16" x14ac:dyDescent="0.3">
      <c r="A122" s="210" t="s">
        <v>191</v>
      </c>
      <c r="B122" s="81">
        <f>$D$44</f>
        <v>45584.77</v>
      </c>
      <c r="C122" s="81">
        <f t="shared" ref="C122:N122" si="36">$D$44</f>
        <v>45584.77</v>
      </c>
      <c r="D122" s="81">
        <f t="shared" si="36"/>
        <v>45584.77</v>
      </c>
      <c r="E122" s="81">
        <f t="shared" si="36"/>
        <v>45584.77</v>
      </c>
      <c r="F122" s="81">
        <f t="shared" si="36"/>
        <v>45584.77</v>
      </c>
      <c r="G122" s="81">
        <f t="shared" si="36"/>
        <v>45584.77</v>
      </c>
      <c r="H122" s="81">
        <f t="shared" si="31"/>
        <v>22792.384999999998</v>
      </c>
      <c r="I122" s="81">
        <f t="shared" si="36"/>
        <v>45584.77</v>
      </c>
      <c r="J122" s="81">
        <f t="shared" si="36"/>
        <v>45584.77</v>
      </c>
      <c r="K122" s="81">
        <f t="shared" si="36"/>
        <v>45584.77</v>
      </c>
      <c r="L122" s="81">
        <f t="shared" si="36"/>
        <v>45584.77</v>
      </c>
      <c r="M122" s="81">
        <f t="shared" si="36"/>
        <v>45584.77</v>
      </c>
      <c r="N122" s="81">
        <f t="shared" si="36"/>
        <v>45584.77</v>
      </c>
      <c r="O122" s="102">
        <f t="shared" si="32"/>
        <v>22792.384999999998</v>
      </c>
      <c r="P122" s="259">
        <f t="shared" si="33"/>
        <v>592602.01000000013</v>
      </c>
    </row>
    <row r="123" spans="1:16" x14ac:dyDescent="0.3">
      <c r="A123" s="364" t="str">
        <f>$B$15</f>
        <v>Desarrollador Java / C# - Semi senior</v>
      </c>
      <c r="B123" s="83">
        <f t="shared" ref="B123:G123" si="37">$J$15</f>
        <v>50793.17</v>
      </c>
      <c r="C123" s="83">
        <f t="shared" si="37"/>
        <v>50793.17</v>
      </c>
      <c r="D123" s="83">
        <f t="shared" si="37"/>
        <v>50793.17</v>
      </c>
      <c r="E123" s="83">
        <f t="shared" si="37"/>
        <v>50793.17</v>
      </c>
      <c r="F123" s="83">
        <f t="shared" si="37"/>
        <v>50793.17</v>
      </c>
      <c r="G123" s="83">
        <f t="shared" si="37"/>
        <v>50793.17</v>
      </c>
      <c r="H123" s="83">
        <f>$J$15/2</f>
        <v>25396.584999999999</v>
      </c>
      <c r="I123" s="83">
        <f t="shared" ref="I123:O123" si="38">$J$15</f>
        <v>50793.17</v>
      </c>
      <c r="J123" s="83">
        <f t="shared" si="38"/>
        <v>50793.17</v>
      </c>
      <c r="K123" s="83">
        <f t="shared" si="38"/>
        <v>50793.17</v>
      </c>
      <c r="L123" s="83">
        <f t="shared" si="38"/>
        <v>50793.17</v>
      </c>
      <c r="M123" s="83">
        <f t="shared" si="38"/>
        <v>50793.17</v>
      </c>
      <c r="N123" s="83">
        <f t="shared" si="38"/>
        <v>50793.17</v>
      </c>
      <c r="O123" s="101">
        <f t="shared" si="38"/>
        <v>50793.17</v>
      </c>
      <c r="P123" s="259">
        <f t="shared" si="33"/>
        <v>685707.79500000004</v>
      </c>
    </row>
    <row r="124" spans="1:16" x14ac:dyDescent="0.3">
      <c r="A124" s="210" t="str">
        <f>$B$20</f>
        <v>Asistente de Marketing</v>
      </c>
      <c r="B124" s="81">
        <f t="shared" ref="B124:G124" si="39">$J$20</f>
        <v>28657.47</v>
      </c>
      <c r="C124" s="81">
        <f t="shared" si="39"/>
        <v>28657.47</v>
      </c>
      <c r="D124" s="81">
        <f t="shared" si="39"/>
        <v>28657.47</v>
      </c>
      <c r="E124" s="81">
        <f t="shared" si="39"/>
        <v>28657.47</v>
      </c>
      <c r="F124" s="81">
        <f t="shared" si="39"/>
        <v>28657.47</v>
      </c>
      <c r="G124" s="81">
        <f t="shared" si="39"/>
        <v>28657.47</v>
      </c>
      <c r="H124" s="81">
        <f>$J$20/2</f>
        <v>14328.735000000001</v>
      </c>
      <c r="I124" s="81">
        <f t="shared" ref="I124:N124" si="40">$J$20</f>
        <v>28657.47</v>
      </c>
      <c r="J124" s="81">
        <f t="shared" si="40"/>
        <v>28657.47</v>
      </c>
      <c r="K124" s="81">
        <f t="shared" si="40"/>
        <v>28657.47</v>
      </c>
      <c r="L124" s="81">
        <f t="shared" si="40"/>
        <v>28657.47</v>
      </c>
      <c r="M124" s="81">
        <f t="shared" si="40"/>
        <v>28657.47</v>
      </c>
      <c r="N124" s="81">
        <f t="shared" si="40"/>
        <v>28657.47</v>
      </c>
      <c r="O124" s="102">
        <f>$J$20/2</f>
        <v>14328.735000000001</v>
      </c>
      <c r="P124" s="259">
        <f t="shared" si="33"/>
        <v>372547.10999999987</v>
      </c>
    </row>
    <row r="125" spans="1:16" x14ac:dyDescent="0.3">
      <c r="A125" s="364" t="str">
        <f>$B$15</f>
        <v>Desarrollador Java / C# - Semi senior</v>
      </c>
      <c r="B125" s="83">
        <f t="shared" ref="B125:G125" si="41">$J$15</f>
        <v>50793.17</v>
      </c>
      <c r="C125" s="83">
        <f t="shared" si="41"/>
        <v>50793.17</v>
      </c>
      <c r="D125" s="83">
        <f t="shared" si="41"/>
        <v>50793.17</v>
      </c>
      <c r="E125" s="83">
        <f t="shared" si="41"/>
        <v>50793.17</v>
      </c>
      <c r="F125" s="83">
        <f t="shared" si="41"/>
        <v>50793.17</v>
      </c>
      <c r="G125" s="83">
        <f t="shared" si="41"/>
        <v>50793.17</v>
      </c>
      <c r="H125" s="83">
        <f>$J$15/4</f>
        <v>12698.2925</v>
      </c>
      <c r="I125" s="83">
        <f t="shared" ref="I125:O125" si="42">$J$15</f>
        <v>50793.17</v>
      </c>
      <c r="J125" s="83">
        <f t="shared" si="42"/>
        <v>50793.17</v>
      </c>
      <c r="K125" s="83">
        <f t="shared" si="42"/>
        <v>50793.17</v>
      </c>
      <c r="L125" s="83">
        <f t="shared" si="42"/>
        <v>50793.17</v>
      </c>
      <c r="M125" s="83">
        <f t="shared" si="42"/>
        <v>50793.17</v>
      </c>
      <c r="N125" s="83">
        <f t="shared" si="42"/>
        <v>50793.17</v>
      </c>
      <c r="O125" s="101">
        <f t="shared" si="42"/>
        <v>50793.17</v>
      </c>
      <c r="P125" s="259">
        <f t="shared" si="33"/>
        <v>673009.50249999994</v>
      </c>
    </row>
    <row r="126" spans="1:16" x14ac:dyDescent="0.3">
      <c r="A126" s="210" t="str">
        <f>$B$16</f>
        <v>Modelador 3D</v>
      </c>
      <c r="B126" s="81">
        <f t="shared" ref="B126:G126" si="43">$J$16</f>
        <v>45584.77</v>
      </c>
      <c r="C126" s="81">
        <f t="shared" si="43"/>
        <v>45584.77</v>
      </c>
      <c r="D126" s="81">
        <f t="shared" si="43"/>
        <v>45584.77</v>
      </c>
      <c r="E126" s="81">
        <f t="shared" si="43"/>
        <v>45584.77</v>
      </c>
      <c r="F126" s="81">
        <f t="shared" si="43"/>
        <v>45584.77</v>
      </c>
      <c r="G126" s="81">
        <f t="shared" si="43"/>
        <v>45584.77</v>
      </c>
      <c r="H126" s="81">
        <f>$J$16/4</f>
        <v>11396.192499999999</v>
      </c>
      <c r="I126" s="81">
        <f t="shared" ref="I126:O126" si="44">$J$16</f>
        <v>45584.77</v>
      </c>
      <c r="J126" s="81">
        <f t="shared" si="44"/>
        <v>45584.77</v>
      </c>
      <c r="K126" s="81">
        <f t="shared" si="44"/>
        <v>45584.77</v>
      </c>
      <c r="L126" s="81">
        <f t="shared" si="44"/>
        <v>45584.77</v>
      </c>
      <c r="M126" s="81">
        <f t="shared" si="44"/>
        <v>45584.77</v>
      </c>
      <c r="N126" s="81">
        <f t="shared" si="44"/>
        <v>45584.77</v>
      </c>
      <c r="O126" s="102">
        <f t="shared" si="44"/>
        <v>45584.77</v>
      </c>
      <c r="P126" s="259">
        <f t="shared" si="33"/>
        <v>603998.20250000013</v>
      </c>
    </row>
    <row r="127" spans="1:16" x14ac:dyDescent="0.3">
      <c r="A127" s="364" t="str">
        <f>$B$17</f>
        <v>Quality Assurance - Semi senior</v>
      </c>
      <c r="B127" s="83">
        <f t="shared" ref="B127:G127" si="45">$J$17</f>
        <v>37772.17</v>
      </c>
      <c r="C127" s="83">
        <f t="shared" si="45"/>
        <v>37772.17</v>
      </c>
      <c r="D127" s="83">
        <f t="shared" si="45"/>
        <v>37772.17</v>
      </c>
      <c r="E127" s="83">
        <f t="shared" si="45"/>
        <v>37772.17</v>
      </c>
      <c r="F127" s="83">
        <f t="shared" si="45"/>
        <v>37772.17</v>
      </c>
      <c r="G127" s="83">
        <f t="shared" si="45"/>
        <v>37772.17</v>
      </c>
      <c r="H127" s="83">
        <f>$J$17/4</f>
        <v>9443.0424999999996</v>
      </c>
      <c r="I127" s="83">
        <f t="shared" ref="I127:O127" si="46">$J$17</f>
        <v>37772.17</v>
      </c>
      <c r="J127" s="83">
        <f t="shared" si="46"/>
        <v>37772.17</v>
      </c>
      <c r="K127" s="83">
        <f t="shared" si="46"/>
        <v>37772.17</v>
      </c>
      <c r="L127" s="83">
        <f t="shared" si="46"/>
        <v>37772.17</v>
      </c>
      <c r="M127" s="83">
        <f t="shared" si="46"/>
        <v>37772.17</v>
      </c>
      <c r="N127" s="83">
        <f t="shared" si="46"/>
        <v>37772.17</v>
      </c>
      <c r="O127" s="101">
        <f t="shared" si="46"/>
        <v>37772.17</v>
      </c>
      <c r="P127" s="259">
        <f t="shared" si="33"/>
        <v>500481.25249999989</v>
      </c>
    </row>
    <row r="128" spans="1:16" x14ac:dyDescent="0.3">
      <c r="A128" s="204" t="str">
        <f>$B$26</f>
        <v>Asistente de RRHH</v>
      </c>
      <c r="B128" s="81">
        <f t="shared" ref="B128:G128" si="47">$J$26</f>
        <v>35167.969999999994</v>
      </c>
      <c r="C128" s="81">
        <f t="shared" si="47"/>
        <v>35167.969999999994</v>
      </c>
      <c r="D128" s="81">
        <f t="shared" si="47"/>
        <v>35167.969999999994</v>
      </c>
      <c r="E128" s="81">
        <f t="shared" si="47"/>
        <v>35167.969999999994</v>
      </c>
      <c r="F128" s="81">
        <f t="shared" si="47"/>
        <v>35167.969999999994</v>
      </c>
      <c r="G128" s="81">
        <f t="shared" si="47"/>
        <v>35167.969999999994</v>
      </c>
      <c r="H128" s="81">
        <f>$J$26/2</f>
        <v>17583.984999999997</v>
      </c>
      <c r="I128" s="81">
        <f t="shared" ref="I128:N128" si="48">$J$26</f>
        <v>35167.969999999994</v>
      </c>
      <c r="J128" s="81">
        <f t="shared" si="48"/>
        <v>35167.969999999994</v>
      </c>
      <c r="K128" s="81">
        <f t="shared" si="48"/>
        <v>35167.969999999994</v>
      </c>
      <c r="L128" s="81">
        <f t="shared" si="48"/>
        <v>35167.969999999994</v>
      </c>
      <c r="M128" s="81">
        <f t="shared" si="48"/>
        <v>35167.969999999994</v>
      </c>
      <c r="N128" s="81">
        <f t="shared" si="48"/>
        <v>35167.969999999994</v>
      </c>
      <c r="O128" s="102">
        <f>$J$26/2</f>
        <v>17583.984999999997</v>
      </c>
      <c r="P128" s="259">
        <f t="shared" si="33"/>
        <v>457183.60999999981</v>
      </c>
    </row>
    <row r="129" spans="1:16" x14ac:dyDescent="0.3">
      <c r="A129" s="366" t="str">
        <f>$B$16</f>
        <v>Modelador 3D</v>
      </c>
      <c r="B129" s="60"/>
      <c r="C129" s="60"/>
      <c r="D129" s="60"/>
      <c r="E129" s="60"/>
      <c r="F129" s="83">
        <f>$J$16</f>
        <v>45584.77</v>
      </c>
      <c r="G129" s="83">
        <f>$J$16</f>
        <v>45584.77</v>
      </c>
      <c r="H129" s="83">
        <f>$J$16/6</f>
        <v>7597.4616666666661</v>
      </c>
      <c r="I129" s="83">
        <f t="shared" ref="I129:N129" si="49">$J$16</f>
        <v>45584.77</v>
      </c>
      <c r="J129" s="83">
        <f t="shared" si="49"/>
        <v>45584.77</v>
      </c>
      <c r="K129" s="83">
        <f t="shared" si="49"/>
        <v>45584.77</v>
      </c>
      <c r="L129" s="83">
        <f t="shared" si="49"/>
        <v>45584.77</v>
      </c>
      <c r="M129" s="83">
        <f t="shared" si="49"/>
        <v>45584.77</v>
      </c>
      <c r="N129" s="83">
        <f t="shared" si="49"/>
        <v>45584.77</v>
      </c>
      <c r="O129" s="101">
        <f>$J$16/2</f>
        <v>22792.384999999998</v>
      </c>
      <c r="P129" s="259">
        <f t="shared" si="33"/>
        <v>395068.00666666671</v>
      </c>
    </row>
    <row r="130" spans="1:16" x14ac:dyDescent="0.3">
      <c r="A130" s="204" t="str">
        <f>$B$15</f>
        <v>Desarrollador Java / C# - Semi senior</v>
      </c>
      <c r="B130" s="44"/>
      <c r="C130" s="44"/>
      <c r="D130" s="44"/>
      <c r="E130" s="44"/>
      <c r="F130" s="81">
        <f>$J$15</f>
        <v>50793.17</v>
      </c>
      <c r="G130" s="81">
        <f t="shared" ref="G130:I130" si="50">$J$15</f>
        <v>50793.17</v>
      </c>
      <c r="H130" s="81">
        <f>$J$15/6</f>
        <v>8465.5283333333336</v>
      </c>
      <c r="I130" s="81">
        <f t="shared" si="50"/>
        <v>50793.17</v>
      </c>
      <c r="J130" s="81">
        <f>$J$15</f>
        <v>50793.17</v>
      </c>
      <c r="K130" s="81">
        <f>$J$15</f>
        <v>50793.17</v>
      </c>
      <c r="L130" s="81">
        <f>$J$15</f>
        <v>50793.17</v>
      </c>
      <c r="M130" s="81">
        <f>$J$15</f>
        <v>50793.17</v>
      </c>
      <c r="N130" s="81">
        <f>$J$15</f>
        <v>50793.17</v>
      </c>
      <c r="O130" s="102">
        <f>$J$15*5/12</f>
        <v>21163.820833333331</v>
      </c>
      <c r="P130" s="259">
        <f t="shared" si="33"/>
        <v>435974.70916666661</v>
      </c>
    </row>
    <row r="131" spans="1:16" x14ac:dyDescent="0.3">
      <c r="A131" s="365" t="str">
        <f>$B$15</f>
        <v>Desarrollador Java / C# - Semi senior</v>
      </c>
      <c r="B131" s="346"/>
      <c r="C131" s="346"/>
      <c r="D131" s="346"/>
      <c r="E131" s="346"/>
      <c r="F131" s="346"/>
      <c r="G131" s="346"/>
      <c r="H131" s="346"/>
      <c r="I131" s="346"/>
      <c r="J131" s="346"/>
      <c r="K131" s="346"/>
      <c r="L131" s="346"/>
      <c r="M131" s="121">
        <f>$J$15</f>
        <v>50793.17</v>
      </c>
      <c r="N131" s="121">
        <f>$J$15</f>
        <v>50793.17</v>
      </c>
      <c r="O131" s="122">
        <f>$J$15/4</f>
        <v>12698.2925</v>
      </c>
      <c r="P131" s="259">
        <f t="shared" si="33"/>
        <v>114284.63249999999</v>
      </c>
    </row>
    <row r="132" spans="1:16" x14ac:dyDescent="0.3">
      <c r="O132" s="261" t="s">
        <v>46</v>
      </c>
      <c r="P132" s="260">
        <f>SUM(P118:P131)</f>
        <v>8166120.9708333323</v>
      </c>
    </row>
  </sheetData>
  <mergeCells count="65">
    <mergeCell ref="D66:D69"/>
    <mergeCell ref="A103:A104"/>
    <mergeCell ref="C103:C104"/>
    <mergeCell ref="D103:D104"/>
    <mergeCell ref="A100:A102"/>
    <mergeCell ref="C100:C102"/>
    <mergeCell ref="D100:D102"/>
    <mergeCell ref="A66:A68"/>
    <mergeCell ref="E100:E102"/>
    <mergeCell ref="A116:O116"/>
    <mergeCell ref="A94:D94"/>
    <mergeCell ref="A96:A98"/>
    <mergeCell ref="C96:C98"/>
    <mergeCell ref="D96:D98"/>
    <mergeCell ref="E96:E98"/>
    <mergeCell ref="G96:I99"/>
    <mergeCell ref="E103:E104"/>
    <mergeCell ref="E61:E64"/>
    <mergeCell ref="G31:I35"/>
    <mergeCell ref="A80:O80"/>
    <mergeCell ref="A59:D59"/>
    <mergeCell ref="A61:A64"/>
    <mergeCell ref="C61:C64"/>
    <mergeCell ref="D61:D64"/>
    <mergeCell ref="A70:A71"/>
    <mergeCell ref="C70:C71"/>
    <mergeCell ref="D70:D71"/>
    <mergeCell ref="E70:E71"/>
    <mergeCell ref="A72:A73"/>
    <mergeCell ref="C72:C73"/>
    <mergeCell ref="D72:D73"/>
    <mergeCell ref="E72:E73"/>
    <mergeCell ref="C66:C69"/>
    <mergeCell ref="E66:E68"/>
    <mergeCell ref="E44:E46"/>
    <mergeCell ref="E41:E43"/>
    <mergeCell ref="E37:E40"/>
    <mergeCell ref="E35:E36"/>
    <mergeCell ref="A49:O49"/>
    <mergeCell ref="C44:C46"/>
    <mergeCell ref="D44:D46"/>
    <mergeCell ref="A41:A43"/>
    <mergeCell ref="A44:A46"/>
    <mergeCell ref="C41:C43"/>
    <mergeCell ref="D41:D43"/>
    <mergeCell ref="C35:C36"/>
    <mergeCell ref="D35:D36"/>
    <mergeCell ref="A35:A36"/>
    <mergeCell ref="C37:C40"/>
    <mergeCell ref="F2:G2"/>
    <mergeCell ref="B11:J11"/>
    <mergeCell ref="G61:I68"/>
    <mergeCell ref="A1:M1"/>
    <mergeCell ref="A13:A18"/>
    <mergeCell ref="A19:A20"/>
    <mergeCell ref="A21:A22"/>
    <mergeCell ref="D37:D40"/>
    <mergeCell ref="A37:A40"/>
    <mergeCell ref="A23:A24"/>
    <mergeCell ref="A25:A26"/>
    <mergeCell ref="A31:A34"/>
    <mergeCell ref="A29:D29"/>
    <mergeCell ref="C31:C34"/>
    <mergeCell ref="D31:D34"/>
    <mergeCell ref="E31:E34"/>
  </mergeCells>
  <hyperlinks>
    <hyperlink ref="F2" location="Índice!A1" display="Regresar al índice" xr:uid="{4390D5DE-CF38-4389-9AB0-7C14A961BF95}"/>
    <hyperlink ref="A2" location="'Estructura de costos variables'!A1" display="[Costos Variables]" xr:uid="{DFF1054C-BB17-4957-90DA-8050460D20FF}"/>
    <hyperlink ref="M2" location="'Modelo de egresos'!A1" display="[M. Egresos]" xr:uid="{4CB0F828-9F46-455E-8D4F-074BBD3F281B}"/>
  </hyperlinks>
  <pageMargins left="0.7" right="0.7" top="0.75" bottom="0.75" header="0.3" footer="0.3"/>
  <pageSetup paperSize="9"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62A10-3D8A-467C-BE04-7047223BB437}">
  <dimension ref="A1:M33"/>
  <sheetViews>
    <sheetView showGridLines="0" zoomScaleNormal="100" workbookViewId="0">
      <pane ySplit="2" topLeftCell="A3" activePane="bottomLeft" state="frozen"/>
      <selection pane="bottomLeft" activeCell="B12" sqref="B12"/>
    </sheetView>
  </sheetViews>
  <sheetFormatPr baseColWidth="10" defaultRowHeight="14.4" x14ac:dyDescent="0.3"/>
  <cols>
    <col min="1" max="1" width="9.6640625" bestFit="1" customWidth="1"/>
    <col min="2" max="2" width="8" bestFit="1" customWidth="1"/>
    <col min="3" max="3" width="13.44140625" bestFit="1" customWidth="1"/>
    <col min="4" max="4" width="13.88671875" bestFit="1" customWidth="1"/>
    <col min="5" max="5" width="15.5546875" bestFit="1" customWidth="1"/>
    <col min="6" max="6" width="8.5546875" bestFit="1" customWidth="1"/>
    <col min="7" max="7" width="16.44140625" bestFit="1" customWidth="1"/>
    <col min="8" max="10" width="14.44140625" bestFit="1" customWidth="1"/>
  </cols>
  <sheetData>
    <row r="1" spans="1:13" ht="21" x14ac:dyDescent="0.4">
      <c r="A1" s="686" t="s">
        <v>216</v>
      </c>
      <c r="B1" s="686"/>
      <c r="C1" s="686"/>
      <c r="D1" s="686"/>
      <c r="E1" s="686"/>
      <c r="F1" s="686"/>
      <c r="G1" s="686"/>
      <c r="H1" s="686"/>
      <c r="I1" s="686"/>
      <c r="J1" s="686"/>
      <c r="K1" s="686"/>
      <c r="L1" s="686"/>
      <c r="M1" s="686"/>
    </row>
    <row r="2" spans="1:13" ht="19.8" customHeight="1" x14ac:dyDescent="0.65">
      <c r="A2" s="502" t="s">
        <v>298</v>
      </c>
      <c r="C2" s="12"/>
      <c r="D2" s="12"/>
      <c r="E2" s="12"/>
      <c r="F2" s="740" t="s">
        <v>35</v>
      </c>
      <c r="G2" s="740"/>
      <c r="M2" s="502" t="s">
        <v>300</v>
      </c>
    </row>
    <row r="4" spans="1:13" x14ac:dyDescent="0.3">
      <c r="D4" s="435" t="s">
        <v>50</v>
      </c>
      <c r="E4" s="436">
        <f>'Proyección de ventas'!E4</f>
        <v>220267960</v>
      </c>
      <c r="F4" s="382"/>
      <c r="G4" s="437" t="s">
        <v>47</v>
      </c>
      <c r="H4" s="437" t="s">
        <v>48</v>
      </c>
      <c r="I4" s="438" t="s">
        <v>49</v>
      </c>
    </row>
    <row r="5" spans="1:13" x14ac:dyDescent="0.3">
      <c r="D5" s="439" t="s">
        <v>20</v>
      </c>
      <c r="E5" s="434">
        <f>'Proyección de ventas'!E5</f>
        <v>83448280</v>
      </c>
      <c r="F5" s="385"/>
      <c r="G5" s="430"/>
      <c r="H5" s="430"/>
      <c r="I5" s="440"/>
    </row>
    <row r="6" spans="1:13" x14ac:dyDescent="0.3">
      <c r="D6" s="439" t="s">
        <v>21</v>
      </c>
      <c r="E6" s="434">
        <f>'Proyección de ventas'!E6</f>
        <v>136819680</v>
      </c>
      <c r="F6" s="385"/>
      <c r="G6" s="430"/>
      <c r="H6" s="430"/>
      <c r="I6" s="440"/>
    </row>
    <row r="7" spans="1:13" x14ac:dyDescent="0.3">
      <c r="D7" s="441" t="s">
        <v>80</v>
      </c>
      <c r="E7" s="431">
        <f>'Proyección de ventas'!E7</f>
        <v>7.0000000000000007E-2</v>
      </c>
      <c r="F7" s="385"/>
      <c r="G7" s="433">
        <f>'Proyección de ventas'!G7</f>
        <v>0.03</v>
      </c>
      <c r="H7" s="433">
        <f>'Proyección de ventas'!H7</f>
        <v>0.05</v>
      </c>
      <c r="I7" s="442">
        <f>'Proyección de ventas'!I7</f>
        <v>7.0000000000000007E-2</v>
      </c>
    </row>
    <row r="8" spans="1:13" x14ac:dyDescent="0.3">
      <c r="D8" s="443" t="s">
        <v>83</v>
      </c>
      <c r="E8" s="444">
        <f>'Proyección de ventas'!E8</f>
        <v>15418757.200000001</v>
      </c>
      <c r="F8" s="445"/>
      <c r="G8" s="446">
        <f>'Proyección de ventas'!G8</f>
        <v>6608038.7999999998</v>
      </c>
      <c r="H8" s="446">
        <f>'Proyección de ventas'!H8</f>
        <v>11013398</v>
      </c>
      <c r="I8" s="447">
        <f>'Proyección de ventas'!I8</f>
        <v>15418757.200000001</v>
      </c>
    </row>
    <row r="11" spans="1:13" x14ac:dyDescent="0.3">
      <c r="B11" s="64"/>
      <c r="C11" s="65" t="s">
        <v>47</v>
      </c>
      <c r="D11" s="65" t="s">
        <v>48</v>
      </c>
      <c r="E11" s="65" t="s">
        <v>49</v>
      </c>
      <c r="G11" s="265"/>
      <c r="H11" s="503" t="s">
        <v>47</v>
      </c>
      <c r="I11" s="503" t="s">
        <v>48</v>
      </c>
      <c r="J11" s="503" t="s">
        <v>49</v>
      </c>
    </row>
    <row r="12" spans="1:13" x14ac:dyDescent="0.3">
      <c r="B12" s="262" t="s">
        <v>217</v>
      </c>
      <c r="C12" s="125">
        <f>'Estructura de costos fijos'!N38</f>
        <v>1413260</v>
      </c>
      <c r="D12" s="125">
        <f>'Estructura de costos fijos'!N67</f>
        <v>1532135</v>
      </c>
      <c r="E12" s="125">
        <f>'Estructura de costos fijos'!N96</f>
        <v>1707410</v>
      </c>
      <c r="G12" s="266" t="s">
        <v>217</v>
      </c>
      <c r="H12" s="125">
        <f t="shared" ref="H12:J14" si="0">C12</f>
        <v>1413260</v>
      </c>
      <c r="I12" s="125">
        <f t="shared" si="0"/>
        <v>1532135</v>
      </c>
      <c r="J12" s="125">
        <f t="shared" si="0"/>
        <v>1707410</v>
      </c>
    </row>
    <row r="13" spans="1:13" x14ac:dyDescent="0.3">
      <c r="B13" s="262" t="s">
        <v>218</v>
      </c>
      <c r="C13" s="125">
        <f>'Estructura de costos variables'!M18</f>
        <v>642214.44171428576</v>
      </c>
      <c r="D13" s="125">
        <f>'Estructura de costos variables'!M28</f>
        <v>1091335.3038095238</v>
      </c>
      <c r="E13" s="125">
        <f>'Estructura de costos variables'!M38</f>
        <v>1637325.1693333336</v>
      </c>
      <c r="G13" s="266" t="s">
        <v>218</v>
      </c>
      <c r="H13" s="125">
        <f t="shared" si="0"/>
        <v>642214.44171428576</v>
      </c>
      <c r="I13" s="125">
        <f t="shared" si="0"/>
        <v>1091335.3038095238</v>
      </c>
      <c r="J13" s="125">
        <f t="shared" si="0"/>
        <v>1637325.1693333336</v>
      </c>
    </row>
    <row r="14" spans="1:13" ht="15" thickBot="1" x14ac:dyDescent="0.35">
      <c r="B14" s="263" t="s">
        <v>65</v>
      </c>
      <c r="C14" s="71">
        <f>'Estructura de costos RRHH'!P57</f>
        <v>4258021.7550000008</v>
      </c>
      <c r="D14" s="71">
        <f>'Estructura de costos RRHH'!P92</f>
        <v>6227009.5724999998</v>
      </c>
      <c r="E14" s="71">
        <f>'Estructura de costos RRHH'!P132</f>
        <v>8166120.9708333323</v>
      </c>
      <c r="G14" s="266" t="s">
        <v>65</v>
      </c>
      <c r="H14" s="125">
        <f t="shared" si="0"/>
        <v>4258021.7550000008</v>
      </c>
      <c r="I14" s="125">
        <f t="shared" si="0"/>
        <v>6227009.5724999998</v>
      </c>
      <c r="J14" s="125">
        <f t="shared" si="0"/>
        <v>8166120.9708333323</v>
      </c>
    </row>
    <row r="15" spans="1:13" x14ac:dyDescent="0.3">
      <c r="B15" s="264"/>
      <c r="C15" s="68">
        <f>SUM(C12:C14)</f>
        <v>6313496.1967142867</v>
      </c>
      <c r="D15" s="68">
        <f>SUM(D12:D14)</f>
        <v>8850479.8763095234</v>
      </c>
      <c r="E15" s="68">
        <f>SUM(E12:E14)</f>
        <v>11510856.140166666</v>
      </c>
      <c r="G15" s="266"/>
      <c r="H15" s="125"/>
      <c r="I15" s="125"/>
      <c r="J15" s="125"/>
    </row>
    <row r="16" spans="1:13" x14ac:dyDescent="0.3">
      <c r="B16" s="19"/>
      <c r="C16" s="4"/>
      <c r="D16" s="4"/>
      <c r="E16" s="4"/>
      <c r="G16" s="266" t="s">
        <v>83</v>
      </c>
      <c r="H16" s="125">
        <f>G8</f>
        <v>6608038.7999999998</v>
      </c>
      <c r="I16" s="125">
        <f>H8</f>
        <v>11013398</v>
      </c>
      <c r="J16" s="125">
        <f>I8</f>
        <v>15418757.200000001</v>
      </c>
    </row>
    <row r="17" spans="2:10" x14ac:dyDescent="0.3">
      <c r="G17" s="266" t="s">
        <v>219</v>
      </c>
      <c r="H17" s="125">
        <f>SUM(H12:H14)</f>
        <v>6313496.1967142867</v>
      </c>
      <c r="I17" s="125">
        <f t="shared" ref="I17:J17" si="1">SUM(I12:I14)</f>
        <v>8850479.8763095234</v>
      </c>
      <c r="J17" s="125">
        <f t="shared" si="1"/>
        <v>11510856.140166666</v>
      </c>
    </row>
    <row r="19" spans="2:10" x14ac:dyDescent="0.3">
      <c r="B19" s="14"/>
    </row>
    <row r="20" spans="2:10" x14ac:dyDescent="0.3">
      <c r="B20" s="14"/>
    </row>
    <row r="21" spans="2:10" x14ac:dyDescent="0.3">
      <c r="B21" s="14"/>
    </row>
    <row r="22" spans="2:10" x14ac:dyDescent="0.3">
      <c r="B22" s="14"/>
    </row>
    <row r="23" spans="2:10" x14ac:dyDescent="0.3">
      <c r="B23" s="14"/>
    </row>
    <row r="24" spans="2:10" x14ac:dyDescent="0.3">
      <c r="B24" s="14"/>
    </row>
    <row r="25" spans="2:10" x14ac:dyDescent="0.3">
      <c r="B25" s="14"/>
      <c r="C25" s="14"/>
      <c r="D25" s="14"/>
      <c r="E25" s="14"/>
      <c r="F25" s="14"/>
      <c r="G25" s="14"/>
    </row>
    <row r="32" spans="2:10" x14ac:dyDescent="0.3">
      <c r="F32" s="14"/>
    </row>
    <row r="33" spans="6:6" x14ac:dyDescent="0.3">
      <c r="F33" s="14"/>
    </row>
  </sheetData>
  <mergeCells count="2">
    <mergeCell ref="A1:M1"/>
    <mergeCell ref="F2:G2"/>
  </mergeCells>
  <hyperlinks>
    <hyperlink ref="F2" location="Índice!A1" display="Regresar al índice" xr:uid="{D7240BA6-B24D-42EA-A18D-3EAAA0E1F4DB}"/>
    <hyperlink ref="A2" location="'Estructura de costos RRHH'!A1" display="[Costos RRHH]" xr:uid="{1B50CBDB-53C0-4B12-83E4-4E76B34E4499}"/>
    <hyperlink ref="M2" location="'Modelo de inversión'!A1" display="[M. Inversión]" xr:uid="{1A78BAB2-7F82-4B89-9FB8-B482BF627505}"/>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19</vt:i4>
      </vt:variant>
    </vt:vector>
  </HeadingPairs>
  <TitlesOfParts>
    <vt:vector size="19" baseType="lpstr">
      <vt:lpstr>Carátula</vt:lpstr>
      <vt:lpstr>Índice</vt:lpstr>
      <vt:lpstr>Hipótesis</vt:lpstr>
      <vt:lpstr>Proyección de ventas</vt:lpstr>
      <vt:lpstr>Modelo de ingresos</vt:lpstr>
      <vt:lpstr>Estructura de costos fijos</vt:lpstr>
      <vt:lpstr>Estructura de costos variables</vt:lpstr>
      <vt:lpstr>Estructura de costos RRHH</vt:lpstr>
      <vt:lpstr>Modelo de egresos</vt:lpstr>
      <vt:lpstr>Modelo de inversión</vt:lpstr>
      <vt:lpstr>Amortizaciones</vt:lpstr>
      <vt:lpstr>Presupuesto financiero</vt:lpstr>
      <vt:lpstr>Matriz de riesgos</vt:lpstr>
      <vt:lpstr>Escenario #1</vt:lpstr>
      <vt:lpstr>Escenario #2</vt:lpstr>
      <vt:lpstr>Escenario #3</vt:lpstr>
      <vt:lpstr>Contingencia #1</vt:lpstr>
      <vt:lpstr>Contingencia #2</vt:lpstr>
      <vt:lpstr>Contingencia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2018-11-14T00:32:40Z</dcterms:modified>
</cp:coreProperties>
</file>