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Volumes/mainland/Projects/TAARs/E cell Optimization/"/>
    </mc:Choice>
  </mc:AlternateContent>
  <bookViews>
    <workbookView xWindow="10860" yWindow="1080" windowWidth="28180" windowHeight="22280" tabRatio="500" activeTab="1"/>
  </bookViews>
  <sheets>
    <sheet name="test" sheetId="3" r:id="rId1"/>
    <sheet name="9-29-16" sheetId="2" r:id="rId2"/>
    <sheet name="7-13-16" sheetId="1" r:id="rId3"/>
  </sheets>
  <definedNames>
    <definedName name="huh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huh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omethingelse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h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" i="2" l="1"/>
  <c r="M54" i="2"/>
  <c r="M55" i="2"/>
  <c r="Q57" i="2"/>
  <c r="O59" i="2"/>
  <c r="M59" i="2"/>
  <c r="M57" i="2"/>
  <c r="O57" i="2"/>
  <c r="G54" i="2"/>
  <c r="G55" i="2"/>
  <c r="K57" i="2"/>
  <c r="I59" i="2"/>
  <c r="G59" i="2"/>
  <c r="G57" i="2"/>
  <c r="I57" i="2"/>
  <c r="G25" i="2"/>
  <c r="G12" i="2"/>
  <c r="G5" i="2"/>
  <c r="G6" i="2"/>
  <c r="K8" i="2"/>
  <c r="G8" i="2"/>
  <c r="I8" i="2"/>
  <c r="G13" i="2"/>
  <c r="D21" i="2"/>
  <c r="D28" i="2"/>
  <c r="D56" i="2"/>
  <c r="D49" i="2"/>
  <c r="B29" i="2"/>
  <c r="B43" i="2"/>
  <c r="B57" i="2"/>
  <c r="B60" i="2"/>
  <c r="D60" i="2"/>
  <c r="C60" i="2"/>
  <c r="B59" i="2"/>
  <c r="D59" i="2"/>
  <c r="C59" i="2"/>
  <c r="B58" i="2"/>
  <c r="D58" i="2"/>
  <c r="C58" i="2"/>
  <c r="D57" i="2"/>
  <c r="C57" i="2"/>
  <c r="D42" i="2"/>
  <c r="B39" i="2"/>
  <c r="D39" i="2"/>
  <c r="C39" i="2"/>
  <c r="B38" i="2"/>
  <c r="D38" i="2"/>
  <c r="C38" i="2"/>
  <c r="B37" i="2"/>
  <c r="D37" i="2"/>
  <c r="C37" i="2"/>
  <c r="B36" i="2"/>
  <c r="D36" i="2"/>
  <c r="C36" i="2"/>
  <c r="B32" i="2"/>
  <c r="D32" i="2"/>
  <c r="C32" i="2"/>
  <c r="B31" i="2"/>
  <c r="D31" i="2"/>
  <c r="C31" i="2"/>
  <c r="B30" i="2"/>
  <c r="D30" i="2"/>
  <c r="C30" i="2"/>
  <c r="D29" i="2"/>
  <c r="C29" i="2"/>
  <c r="B17" i="2"/>
  <c r="B18" i="2"/>
  <c r="E12" i="2"/>
  <c r="C18" i="2"/>
  <c r="C17" i="2"/>
  <c r="C15" i="2"/>
  <c r="D15" i="2"/>
  <c r="E5" i="2"/>
  <c r="E15" i="2"/>
  <c r="C14" i="2"/>
  <c r="D14" i="2"/>
  <c r="E14" i="2"/>
  <c r="D13" i="2"/>
  <c r="E13" i="2"/>
  <c r="B53" i="2"/>
  <c r="D53" i="2"/>
  <c r="C53" i="2"/>
  <c r="B52" i="2"/>
  <c r="D52" i="2"/>
  <c r="C52" i="2"/>
  <c r="B51" i="2"/>
  <c r="D51" i="2"/>
  <c r="C51" i="2"/>
  <c r="B50" i="2"/>
  <c r="D50" i="2"/>
  <c r="C50" i="2"/>
  <c r="G26" i="2"/>
  <c r="K28" i="2"/>
  <c r="I28" i="2"/>
  <c r="G28" i="2"/>
  <c r="B46" i="2"/>
  <c r="D46" i="2"/>
  <c r="C46" i="2"/>
  <c r="B45" i="2"/>
  <c r="D45" i="2"/>
  <c r="C45" i="2"/>
  <c r="B44" i="2"/>
  <c r="D44" i="2"/>
  <c r="C44" i="2"/>
  <c r="U25" i="2"/>
  <c r="W25" i="2"/>
  <c r="D43" i="2"/>
  <c r="C43" i="2"/>
  <c r="U22" i="2"/>
  <c r="U23" i="2"/>
  <c r="G19" i="2"/>
  <c r="G20" i="2"/>
  <c r="K22" i="2"/>
  <c r="G22" i="2"/>
  <c r="I22" i="2"/>
  <c r="B25" i="2"/>
  <c r="D25" i="2"/>
  <c r="C25" i="2"/>
  <c r="B24" i="2"/>
  <c r="D24" i="2"/>
  <c r="C24" i="2"/>
  <c r="B23" i="2"/>
  <c r="D23" i="2"/>
  <c r="C23" i="2"/>
  <c r="B22" i="2"/>
  <c r="D22" i="2"/>
  <c r="C22" i="2"/>
  <c r="K15" i="2"/>
  <c r="I15" i="2"/>
  <c r="G15" i="2"/>
  <c r="C10" i="2"/>
  <c r="D10" i="2"/>
  <c r="E10" i="2"/>
  <c r="C9" i="2"/>
  <c r="D9" i="2"/>
  <c r="E9" i="2"/>
  <c r="U8" i="2"/>
  <c r="C8" i="2"/>
  <c r="D8" i="2"/>
  <c r="E8" i="2"/>
  <c r="V7" i="2"/>
  <c r="C7" i="2"/>
  <c r="D7" i="2"/>
  <c r="E7" i="2"/>
  <c r="D6" i="2"/>
  <c r="E6" i="2"/>
  <c r="C20" i="3"/>
  <c r="D20" i="3"/>
  <c r="E17" i="3"/>
  <c r="E20" i="3"/>
  <c r="C19" i="3"/>
  <c r="D19" i="3"/>
  <c r="E19" i="3"/>
  <c r="E18" i="3"/>
  <c r="J34" i="3"/>
  <c r="B32" i="3"/>
  <c r="B33" i="3"/>
  <c r="D33" i="3"/>
  <c r="C33" i="3"/>
  <c r="D32" i="3"/>
  <c r="C32" i="3"/>
  <c r="B31" i="3"/>
  <c r="D31" i="3"/>
  <c r="C31" i="3"/>
  <c r="B30" i="3"/>
  <c r="D30" i="3"/>
  <c r="C30" i="3"/>
  <c r="D29" i="3"/>
  <c r="C29" i="3"/>
  <c r="B25" i="3"/>
  <c r="C25" i="3"/>
  <c r="C24" i="3"/>
  <c r="G13" i="3"/>
  <c r="G14" i="3"/>
  <c r="K16" i="3"/>
  <c r="I18" i="3"/>
  <c r="G18" i="3"/>
  <c r="G16" i="3"/>
  <c r="I16" i="3"/>
  <c r="C15" i="3"/>
  <c r="D15" i="3"/>
  <c r="E15" i="3"/>
  <c r="C14" i="3"/>
  <c r="D14" i="3"/>
  <c r="E14" i="3"/>
  <c r="E13" i="3"/>
  <c r="C10" i="3"/>
  <c r="D10" i="3"/>
  <c r="E10" i="3"/>
  <c r="C9" i="3"/>
  <c r="D9" i="3"/>
  <c r="E9" i="3"/>
  <c r="C8" i="3"/>
  <c r="D8" i="3"/>
  <c r="E8" i="3"/>
  <c r="C7" i="3"/>
  <c r="D7" i="3"/>
  <c r="E7" i="3"/>
  <c r="E6" i="3"/>
  <c r="D28" i="1"/>
  <c r="J34" i="1"/>
  <c r="G13" i="1"/>
  <c r="G14" i="1"/>
  <c r="K16" i="1"/>
  <c r="I18" i="1"/>
  <c r="G18" i="1"/>
  <c r="C21" i="1"/>
  <c r="D21" i="1"/>
  <c r="E21" i="1"/>
  <c r="C20" i="1"/>
  <c r="D20" i="1"/>
  <c r="E20" i="1"/>
  <c r="C19" i="1"/>
  <c r="D19" i="1"/>
  <c r="E19" i="1"/>
  <c r="E18" i="1"/>
  <c r="C15" i="1"/>
  <c r="D15" i="1"/>
  <c r="E15" i="1"/>
  <c r="C14" i="1"/>
  <c r="D14" i="1"/>
  <c r="E14" i="1"/>
  <c r="E13" i="1"/>
  <c r="C8" i="1"/>
  <c r="D8" i="1"/>
  <c r="E8" i="1"/>
  <c r="C7" i="1"/>
  <c r="D7" i="1"/>
  <c r="E7" i="1"/>
  <c r="G16" i="1"/>
  <c r="I16" i="1"/>
  <c r="B32" i="1"/>
  <c r="B33" i="1"/>
  <c r="D33" i="1"/>
  <c r="C33" i="1"/>
  <c r="D32" i="1"/>
  <c r="C32" i="1"/>
  <c r="B31" i="1"/>
  <c r="D31" i="1"/>
  <c r="C31" i="1"/>
  <c r="B30" i="1"/>
  <c r="D30" i="1"/>
  <c r="C30" i="1"/>
  <c r="D29" i="1"/>
  <c r="C29" i="1"/>
  <c r="B25" i="1"/>
  <c r="C25" i="1"/>
  <c r="C24" i="1"/>
  <c r="C10" i="1"/>
  <c r="D10" i="1"/>
  <c r="E10" i="1"/>
  <c r="C9" i="1"/>
  <c r="D9" i="1"/>
  <c r="E9" i="1"/>
  <c r="E6" i="1"/>
</calcChain>
</file>

<file path=xl/sharedStrings.xml><?xml version="1.0" encoding="utf-8"?>
<sst xmlns="http://schemas.openxmlformats.org/spreadsheetml/2006/main" count="642" uniqueCount="253">
  <si>
    <t>purpose:</t>
  </si>
  <si>
    <t xml:space="preserve">Date: </t>
  </si>
  <si>
    <t xml:space="preserve">date plate(s) was read: </t>
  </si>
  <si>
    <t>TAAR5</t>
  </si>
  <si>
    <t>9F08</t>
  </si>
  <si>
    <t>transfection</t>
  </si>
  <si>
    <t>odor stim</t>
  </si>
  <si>
    <t>#plates</t>
  </si>
  <si>
    <t>1. make master mix</t>
  </si>
  <si>
    <t>1. dilute odor in CD293</t>
  </si>
  <si>
    <t>plate format</t>
  </si>
  <si>
    <t>Plates</t>
  </si>
  <si>
    <t>2. distribute to 15mL</t>
  </si>
  <si>
    <t>2. tap out media</t>
  </si>
  <si>
    <t>ng/well</t>
  </si>
  <si>
    <t>uL/plate</t>
  </si>
  <si>
    <t>1 plate</t>
  </si>
  <si>
    <t>Vol needed</t>
  </si>
  <si>
    <t>9 A7</t>
  </si>
  <si>
    <t>TMA</t>
  </si>
  <si>
    <t>3. add receptor</t>
  </si>
  <si>
    <t>3. add 25ul to each well</t>
  </si>
  <si>
    <t>MEM</t>
  </si>
  <si>
    <t>Total Volume for max dilution</t>
  </si>
  <si>
    <t>4. make lipo master mix</t>
  </si>
  <si>
    <t>3. stim for 4 hours</t>
  </si>
  <si>
    <t>RTP</t>
  </si>
  <si>
    <t>Total Volume</t>
  </si>
  <si>
    <t>5. add lipo to MM</t>
  </si>
  <si>
    <t>4. read</t>
  </si>
  <si>
    <t xml:space="preserve">CRE </t>
  </si>
  <si>
    <t>6. complex for 15 mins</t>
  </si>
  <si>
    <t>SV40</t>
  </si>
  <si>
    <t>into</t>
  </si>
  <si>
    <t>7. quench (M10)</t>
  </si>
  <si>
    <t>M3</t>
  </si>
  <si>
    <t>8. add 50ul to cells</t>
  </si>
  <si>
    <t>lipo</t>
  </si>
  <si>
    <t>Lipo</t>
  </si>
  <si>
    <t>complex</t>
  </si>
  <si>
    <t>1 well</t>
  </si>
  <si>
    <t>column</t>
  </si>
  <si>
    <t>Receptor</t>
  </si>
  <si>
    <t>Master</t>
  </si>
  <si>
    <t>Lipo Mix</t>
  </si>
  <si>
    <t>M10 quench</t>
  </si>
  <si>
    <t>M10 to 25-filled</t>
    <phoneticPr fontId="0" type="noConversion"/>
  </si>
  <si>
    <t>plate#  1</t>
  </si>
  <si>
    <t>1,2,3</t>
  </si>
  <si>
    <t>4,5,6</t>
  </si>
  <si>
    <t>7,8,9</t>
  </si>
  <si>
    <t>10,11,12</t>
  </si>
  <si>
    <t>CloneKey</t>
  </si>
  <si>
    <t>odorant #</t>
  </si>
  <si>
    <t>plate#  2</t>
  </si>
  <si>
    <t>plate#  3</t>
  </si>
  <si>
    <t>Rho</t>
  </si>
  <si>
    <t>E cells need to be optimized - this is looking at noise levels trying to repeat nicolle's experiment from 2014 with ecells versus Hana cells - Nicolle didn't use M3 so I'm running a plate with and without M3 for the E cells</t>
  </si>
  <si>
    <t>MM -H3A</t>
  </si>
  <si>
    <t>MM -E no M3</t>
  </si>
  <si>
    <t>MM- E w/ M3</t>
  </si>
  <si>
    <t>Cell Type</t>
  </si>
  <si>
    <t>E cells</t>
  </si>
  <si>
    <t>H3A</t>
  </si>
  <si>
    <t>MM type</t>
  </si>
  <si>
    <t>E -M3</t>
  </si>
  <si>
    <t>E +M3</t>
  </si>
  <si>
    <t>Clone #s</t>
  </si>
  <si>
    <t>Odor #s</t>
  </si>
  <si>
    <t>999</t>
  </si>
  <si>
    <t xml:space="preserve"> # of Max conc wells per plate</t>
  </si>
  <si>
    <t>[init] mM</t>
  </si>
  <si>
    <t>[final] (µM)</t>
  </si>
  <si>
    <t>V 1M stock uL</t>
  </si>
  <si>
    <t>TMA Dilution</t>
  </si>
  <si>
    <t>V prev dilution odor (uL)</t>
  </si>
  <si>
    <t xml:space="preserve">  V CD293</t>
  </si>
  <si>
    <t>total # of wells per receptor and MM</t>
  </si>
  <si>
    <t>Make  6 different complexes:</t>
  </si>
  <si>
    <t>H3A + TAAR5</t>
  </si>
  <si>
    <t>H3A + Rho</t>
  </si>
  <si>
    <t>Ecells  +TAAR5 +M3</t>
  </si>
  <si>
    <t>Ecells  +TAAR5 -M3</t>
  </si>
  <si>
    <t>Ecells +Rho -M3</t>
  </si>
  <si>
    <t>Ecells +Rho +M3</t>
  </si>
  <si>
    <t>Use full M10 quench</t>
  </si>
  <si>
    <t>3 MMs - 2 receptors each</t>
  </si>
  <si>
    <t>*if we are adding 0.06 ul of receptor, that's actually 5 ng of receptor plus the extra 10% which doesn't make a whole lot of sense because extra</t>
  </si>
  <si>
    <t xml:space="preserve">is being added of the MM, so its not actually getting the whole ng according to the master mix either. </t>
  </si>
  <si>
    <t>The question is - will the amount of ng per well change based on  how many plates are run? It would take more math to figure this out…</t>
  </si>
  <si>
    <t>Antag amount - makes 30uM dilution from the dilution blocks</t>
  </si>
  <si>
    <t>Max conc wells per plate</t>
  </si>
  <si>
    <t>0.5 dead volume of in reservoir</t>
  </si>
  <si>
    <t>Total Vol for max dilution</t>
  </si>
  <si>
    <t>Buffer (mL)</t>
  </si>
  <si>
    <t>RL (ul)</t>
  </si>
  <si>
    <t>1M stock</t>
  </si>
  <si>
    <t>Y mM</t>
  </si>
  <si>
    <t xml:space="preserve"> ag + CD293</t>
  </si>
  <si>
    <t>[ ] (µM)</t>
  </si>
  <si>
    <t>2. break down master mix into 15mL falcons</t>
  </si>
  <si>
    <t>amount of RL</t>
  </si>
  <si>
    <t>3. add receptor to MM</t>
  </si>
  <si>
    <t>amount of Luc</t>
  </si>
  <si>
    <t>mL</t>
  </si>
  <si>
    <t>Luc</t>
  </si>
  <si>
    <t xml:space="preserve">5. add lipo to MM </t>
  </si>
  <si>
    <t>0.75ml are needed per plate with an extra 0.5ml for dead volumes</t>
  </si>
  <si>
    <t>agonist reservior TMA: make 42 mLs agonist (TMA)</t>
  </si>
  <si>
    <t xml:space="preserve">6. Mix </t>
  </si>
  <si>
    <t>Dispensing 1ul of reagent on med</t>
  </si>
  <si>
    <t>Total number of wells</t>
  </si>
  <si>
    <t>7. complex for 15 mins</t>
  </si>
  <si>
    <t>Total Volume of TMA (ul)</t>
  </si>
  <si>
    <t>8. quench with m10</t>
  </si>
  <si>
    <t>TMA 1M (uL)</t>
  </si>
  <si>
    <t>CD293 (mL)</t>
  </si>
  <si>
    <t>Total V(ml)</t>
  </si>
  <si>
    <t>9. distribute across a tube strip row</t>
  </si>
  <si>
    <t xml:space="preserve"> # of wells</t>
  </si>
  <si>
    <t>10. tap out media</t>
  </si>
  <si>
    <t>Nonandoic acid at 100uM</t>
  </si>
  <si>
    <t xml:space="preserve">first do 1:10 dilution from the stock for a total of 10uL </t>
  </si>
  <si>
    <t>11. add 12.5ul to each well</t>
  </si>
  <si>
    <t>1.make a reservior of the two agonists and a dilution of nonandoic acid in a 5mL tube</t>
  </si>
  <si>
    <t>Nonandoic acid dilution from stock to 10mM</t>
  </si>
  <si>
    <t>2.add the 239CD volume of agonist (=32 uL) to each well of a 384 per antag block with 300ul multi</t>
  </si>
  <si>
    <t xml:space="preserve"> 293CD</t>
  </si>
  <si>
    <t>Total V (uL)</t>
  </si>
  <si>
    <t>a) add 32ul nonandoic acid in the first 6 wells of the top row on all plates</t>
  </si>
  <si>
    <t>complex S6</t>
  </si>
  <si>
    <t>Forskolin agonist reservoir</t>
  </si>
  <si>
    <t>a) add 1ul from the diluted odor block(antags) to the block you set up in step 2</t>
  </si>
  <si>
    <t>FOR 1M (uL)</t>
  </si>
  <si>
    <t>b) mix thoroughly</t>
  </si>
  <si>
    <t xml:space="preserve"> </t>
  </si>
  <si>
    <t>c)tap out media on corresponding plate while hovering tips on the step 2 block</t>
  </si>
  <si>
    <t>agonist</t>
  </si>
  <si>
    <t>complex Rho</t>
  </si>
  <si>
    <t>plate 1</t>
  </si>
  <si>
    <t>e)eject tips and repeat with each plate</t>
  </si>
  <si>
    <t>plate 2</t>
  </si>
  <si>
    <t xml:space="preserve">*note - it will be easier to do plate 1 followed by 4, 2 followed by 5, and 3 followed by 6, </t>
  </si>
  <si>
    <t>plate 3</t>
  </si>
  <si>
    <t>so the odor dilution blocks only have to be opened one at a time</t>
  </si>
  <si>
    <t>plate 4</t>
  </si>
  <si>
    <t>Forskolin</t>
  </si>
  <si>
    <t>4. Let stim for 4 hours</t>
  </si>
  <si>
    <t>5. read plates</t>
  </si>
  <si>
    <t>SEE BELOW FOR FULL PLATE DETAILS</t>
  </si>
  <si>
    <t>Clones</t>
  </si>
  <si>
    <t>Odors</t>
  </si>
  <si>
    <t>S6</t>
  </si>
  <si>
    <t>fridge</t>
  </si>
  <si>
    <t>1 E10</t>
  </si>
  <si>
    <t>This was completed on 3/7/16</t>
  </si>
  <si>
    <t>nonandoic acid</t>
  </si>
  <si>
    <t>Fridge</t>
  </si>
  <si>
    <t>ODOR DILUTION BLOCK</t>
  </si>
  <si>
    <t>odor stock = 10mM</t>
  </si>
  <si>
    <t>do a 1:10 dilution: make 50 ul = 5 ul odor: 45 uL CD293</t>
  </si>
  <si>
    <t>MM H3A</t>
  </si>
  <si>
    <t>MM E Cells</t>
  </si>
  <si>
    <t>Using mix 7</t>
  </si>
  <si>
    <t>complex taar5 (H3A)</t>
  </si>
  <si>
    <t>complex taar5 (E Cells)</t>
  </si>
  <si>
    <t>(H3A)</t>
  </si>
  <si>
    <t>E Cells</t>
  </si>
  <si>
    <t>(E Cells)</t>
  </si>
  <si>
    <t>1-3</t>
  </si>
  <si>
    <t>4-6</t>
  </si>
  <si>
    <t>7-9</t>
  </si>
  <si>
    <t>10-12</t>
  </si>
  <si>
    <t>13-15</t>
  </si>
  <si>
    <t>16-18</t>
  </si>
  <si>
    <t>19-21</t>
  </si>
  <si>
    <t>22-24</t>
  </si>
  <si>
    <t>A</t>
  </si>
  <si>
    <t>S6 + 1</t>
  </si>
  <si>
    <t>S6+CD293+DMSO</t>
  </si>
  <si>
    <t>hTAAR5 + TMA</t>
  </si>
  <si>
    <t>CD293</t>
  </si>
  <si>
    <t>CD293+DMSO</t>
  </si>
  <si>
    <t>all transfected with hTAAAR5 except row A wells 1-6</t>
  </si>
  <si>
    <t>Rho + Forskolin</t>
  </si>
  <si>
    <t>B</t>
  </si>
  <si>
    <t>all cells are transfected with Rho except row A wells 1-6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</si>
  <si>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</si>
  <si>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</si>
  <si>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</si>
  <si>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</si>
  <si>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</si>
  <si>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</si>
  <si>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</si>
  <si>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</si>
  <si>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</si>
  <si>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</si>
  <si>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</si>
  <si>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</si>
  <si>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</si>
  <si>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</si>
  <si>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Plate Layout with controls</t>
  </si>
  <si>
    <t>Cells</t>
  </si>
  <si>
    <t>I will need to make two odor dilution blocks that I then distribute to the E cells and H3A cells with either TMA or Forskolin</t>
  </si>
  <si>
    <t>I need to make sure that in the middle of the odor dilution blocks I leave three  wells open for a dose response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</si>
  <si>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</si>
  <si>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</si>
  <si>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</si>
  <si>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</si>
  <si>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</si>
  <si>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</si>
  <si>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</si>
  <si>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</si>
  <si>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</si>
  <si>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</si>
  <si>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</si>
  <si>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</si>
  <si>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</si>
  <si>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</si>
  <si>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</si>
  <si>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</si>
  <si>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</si>
  <si>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</si>
  <si>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</si>
  <si>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</si>
  <si>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</si>
  <si>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</si>
  <si>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</si>
  <si>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</si>
  <si>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*organize your tips so that you can skip the dose response part of the plate</t>
  </si>
  <si>
    <t>agonist reservior: make 42 mLs agonist (Forskolin)</t>
  </si>
  <si>
    <t>How much TMA and forskolin to make?</t>
  </si>
  <si>
    <t xml:space="preserve">Do small version of antag screen to compare E Cells to H3A Cells; also running dose response in the middle of the plate to see if </t>
  </si>
  <si>
    <t>Block 2</t>
  </si>
  <si>
    <t>block 3</t>
  </si>
  <si>
    <t>TMA High concentration</t>
  </si>
  <si>
    <t>three fold dilutions</t>
  </si>
  <si>
    <t>just CD293</t>
  </si>
  <si>
    <t>column 10</t>
  </si>
  <si>
    <t>Column 2</t>
  </si>
  <si>
    <t>Column12</t>
  </si>
  <si>
    <t>Block  2</t>
  </si>
  <si>
    <t>Block 3</t>
  </si>
  <si>
    <t>No Antag</t>
  </si>
  <si>
    <t>Have to make 32uL per deep well block because we are adding small amounts of antagonist</t>
  </si>
  <si>
    <t>for the dose response (columns 10-12)</t>
  </si>
  <si>
    <t>No sure if I can make this in the odor block or if I should make it in tube strips and transfer it</t>
  </si>
  <si>
    <t>Forskolin Dilution</t>
  </si>
  <si>
    <t>b) add 32ul TMA to plates</t>
  </si>
  <si>
    <t>c) add 32ul Forskolin to plates</t>
  </si>
  <si>
    <t>d) add CD293 to top row 7-9 and 19-24 on all plates</t>
  </si>
  <si>
    <t>d) pipet 12.5 ul from step2 block to the plate (using the same tips for each block</t>
  </si>
  <si>
    <t>3) add antags to the two odor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</si>
</sst>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E+00"/>
    <numFmt numFmtId="166" formatCode="0.000"/>
    <numFmt numFmtId="167" formatCode="0.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rgb="FFFF0000"/>
      <name val="Calibri"/>
      <family val="2"/>
      <scheme val="minor"/>
    </font>
    <font>
      <i/>
      <sz val="11"/>
      <color theme="1"/>
      <name val="Calibri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4D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57CC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indexed="8"/>
      </right>
      <top style="medium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/>
      <diagonal/>
    </border>
    <border>
      <left style="thin">
        <color indexed="8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thin">
        <color indexed="8"/>
      </top>
      <bottom style="medium">
        <color auto="1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1" fillId="0" borderId="0"/>
  </cellStyleXfs>
  <cellXfs count="293">
    <xf numFmtId="0" fontId="0" fillId="0" borderId="0" xfId="0"/>
    <xf numFmtId="0" fontId="0" fillId="0" borderId="1" xfId="0" applyFill="1" applyBorder="1"/>
    <xf numFmtId="49" fontId="0" fillId="0" borderId="0" xfId="0" applyNumberFormat="1" applyFill="1"/>
    <xf numFmtId="0" fontId="0" fillId="0" borderId="0" xfId="0" applyFill="1"/>
    <xf numFmtId="0" fontId="0" fillId="0" borderId="6" xfId="0" applyFill="1" applyBorder="1"/>
    <xf numFmtId="14" fontId="0" fillId="0" borderId="7" xfId="0" applyNumberFormat="1" applyFill="1" applyBorder="1"/>
    <xf numFmtId="0" fontId="0" fillId="0" borderId="2" xfId="0" applyFill="1" applyBorder="1"/>
    <xf numFmtId="0" fontId="0" fillId="0" borderId="3" xfId="0" applyFill="1" applyBorder="1"/>
    <xf numFmtId="14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4" fillId="0" borderId="9" xfId="1" applyFont="1" applyFill="1" applyBorder="1" applyAlignment="1">
      <alignment horizontal="right" wrapText="1"/>
    </xf>
    <xf numFmtId="0" fontId="5" fillId="0" borderId="9" xfId="1" applyFont="1" applyFill="1" applyBorder="1" applyAlignment="1">
      <alignment wrapText="1"/>
    </xf>
    <xf numFmtId="0" fontId="6" fillId="0" borderId="0" xfId="0" applyFont="1" applyFill="1" applyBorder="1"/>
    <xf numFmtId="0" fontId="7" fillId="0" borderId="0" xfId="0" applyFont="1" applyFill="1" applyBorder="1"/>
    <xf numFmtId="0" fontId="2" fillId="0" borderId="0" xfId="0" applyFont="1" applyFill="1"/>
    <xf numFmtId="0" fontId="8" fillId="0" borderId="10" xfId="2" applyFont="1" applyFill="1" applyBorder="1"/>
    <xf numFmtId="0" fontId="8" fillId="2" borderId="11" xfId="2" applyFill="1" applyBorder="1"/>
    <xf numFmtId="0" fontId="8" fillId="0" borderId="0" xfId="2" applyFill="1"/>
    <xf numFmtId="0" fontId="0" fillId="0" borderId="9" xfId="0" applyFill="1" applyBorder="1" applyAlignment="1">
      <alignment horizontal="left"/>
    </xf>
    <xf numFmtId="0" fontId="0" fillId="0" borderId="9" xfId="0" applyFill="1" applyBorder="1"/>
    <xf numFmtId="0" fontId="0" fillId="0" borderId="13" xfId="0" applyFill="1" applyBorder="1"/>
    <xf numFmtId="49" fontId="0" fillId="0" borderId="9" xfId="0" applyNumberFormat="1" applyFill="1" applyBorder="1"/>
    <xf numFmtId="0" fontId="0" fillId="4" borderId="0" xfId="0" applyFill="1" applyBorder="1"/>
    <xf numFmtId="0" fontId="9" fillId="4" borderId="1" xfId="2" applyFont="1" applyFill="1" applyBorder="1"/>
    <xf numFmtId="0" fontId="0" fillId="0" borderId="14" xfId="0" applyFill="1" applyBorder="1"/>
    <xf numFmtId="0" fontId="8" fillId="0" borderId="15" xfId="2" applyFont="1" applyFill="1" applyBorder="1"/>
    <xf numFmtId="0" fontId="8" fillId="0" borderId="16" xfId="2" applyFont="1" applyFill="1" applyBorder="1"/>
    <xf numFmtId="0" fontId="8" fillId="0" borderId="17" xfId="2" applyFill="1" applyBorder="1"/>
    <xf numFmtId="0" fontId="10" fillId="0" borderId="9" xfId="0" applyFont="1" applyFill="1" applyBorder="1"/>
    <xf numFmtId="0" fontId="0" fillId="5" borderId="0" xfId="0" applyFill="1"/>
    <xf numFmtId="1" fontId="8" fillId="5" borderId="0" xfId="2" applyNumberFormat="1" applyFont="1" applyFill="1" applyBorder="1"/>
    <xf numFmtId="1" fontId="8" fillId="0" borderId="0" xfId="2" applyNumberFormat="1" applyFont="1" applyFill="1" applyBorder="1"/>
    <xf numFmtId="1" fontId="8" fillId="0" borderId="0" xfId="2" applyNumberFormat="1" applyFill="1" applyBorder="1"/>
    <xf numFmtId="0" fontId="8" fillId="0" borderId="18" xfId="2" applyFont="1" applyFill="1" applyBorder="1"/>
    <xf numFmtId="0" fontId="8" fillId="0" borderId="19" xfId="2" applyFill="1" applyBorder="1"/>
    <xf numFmtId="0" fontId="8" fillId="0" borderId="9" xfId="2" applyFill="1" applyBorder="1"/>
    <xf numFmtId="0" fontId="8" fillId="0" borderId="20" xfId="2" applyFill="1" applyBorder="1"/>
    <xf numFmtId="0" fontId="8" fillId="0" borderId="21" xfId="2" applyFill="1" applyBorder="1"/>
    <xf numFmtId="0" fontId="0" fillId="6" borderId="0" xfId="0" applyFill="1" applyBorder="1"/>
    <xf numFmtId="0" fontId="8" fillId="0" borderId="12" xfId="2" applyFont="1" applyFill="1" applyBorder="1"/>
    <xf numFmtId="0" fontId="0" fillId="0" borderId="0" xfId="0" applyFill="1" applyBorder="1" applyAlignment="1">
      <alignment horizontal="left"/>
    </xf>
    <xf numFmtId="1" fontId="8" fillId="0" borderId="9" xfId="2" applyNumberFormat="1" applyFont="1" applyFill="1" applyBorder="1"/>
    <xf numFmtId="0" fontId="8" fillId="0" borderId="22" xfId="2" applyFill="1" applyBorder="1"/>
    <xf numFmtId="0" fontId="8" fillId="0" borderId="23" xfId="2" applyFill="1" applyBorder="1"/>
    <xf numFmtId="0" fontId="8" fillId="0" borderId="24" xfId="2" applyFill="1" applyBorder="1"/>
    <xf numFmtId="0" fontId="8" fillId="0" borderId="25" xfId="2" applyFill="1" applyBorder="1"/>
    <xf numFmtId="0" fontId="9" fillId="6" borderId="1" xfId="2" applyFont="1" applyFill="1" applyBorder="1"/>
    <xf numFmtId="0" fontId="0" fillId="0" borderId="0" xfId="0" applyFill="1" applyBorder="1" applyAlignment="1"/>
    <xf numFmtId="0" fontId="0" fillId="0" borderId="8" xfId="0" applyFill="1" applyBorder="1"/>
    <xf numFmtId="0" fontId="11" fillId="0" borderId="0" xfId="0" applyFont="1" applyFill="1"/>
    <xf numFmtId="0" fontId="8" fillId="0" borderId="29" xfId="2" applyFont="1" applyFill="1" applyBorder="1"/>
    <xf numFmtId="0" fontId="8" fillId="0" borderId="0" xfId="2" applyFill="1" applyBorder="1"/>
    <xf numFmtId="0" fontId="8" fillId="0" borderId="9" xfId="2" applyFont="1" applyFill="1" applyBorder="1"/>
    <xf numFmtId="164" fontId="0" fillId="0" borderId="0" xfId="0" applyNumberFormat="1" applyFill="1"/>
    <xf numFmtId="164" fontId="9" fillId="0" borderId="1" xfId="2" applyNumberFormat="1" applyFont="1" applyFill="1" applyBorder="1"/>
    <xf numFmtId="164" fontId="8" fillId="0" borderId="0" xfId="2" applyNumberFormat="1" applyFill="1"/>
    <xf numFmtId="0" fontId="0" fillId="0" borderId="28" xfId="0" applyFill="1" applyBorder="1" applyAlignment="1"/>
    <xf numFmtId="164" fontId="8" fillId="0" borderId="30" xfId="2" applyNumberFormat="1" applyFill="1" applyBorder="1"/>
    <xf numFmtId="164" fontId="8" fillId="0" borderId="9" xfId="2" applyNumberFormat="1" applyFont="1" applyFill="1" applyBorder="1"/>
    <xf numFmtId="164" fontId="8" fillId="0" borderId="20" xfId="2" applyNumberFormat="1" applyFont="1" applyFill="1" applyBorder="1"/>
    <xf numFmtId="164" fontId="12" fillId="3" borderId="17" xfId="2" applyNumberFormat="1" applyFont="1" applyFill="1" applyBorder="1"/>
    <xf numFmtId="164" fontId="8" fillId="5" borderId="17" xfId="2" applyNumberFormat="1" applyFont="1" applyFill="1" applyBorder="1"/>
    <xf numFmtId="164" fontId="8" fillId="0" borderId="19" xfId="2" applyNumberFormat="1" applyFill="1" applyBorder="1"/>
    <xf numFmtId="164" fontId="8" fillId="0" borderId="20" xfId="2" applyNumberFormat="1" applyFill="1" applyBorder="1"/>
    <xf numFmtId="2" fontId="8" fillId="5" borderId="21" xfId="2" applyNumberFormat="1" applyFill="1" applyBorder="1"/>
    <xf numFmtId="49" fontId="0" fillId="0" borderId="0" xfId="0" applyNumberFormat="1" applyFill="1" applyBorder="1"/>
    <xf numFmtId="164" fontId="8" fillId="6" borderId="21" xfId="2" applyNumberFormat="1" applyFont="1" applyFill="1" applyBorder="1"/>
    <xf numFmtId="2" fontId="8" fillId="6" borderId="21" xfId="2" applyNumberFormat="1" applyFill="1" applyBorder="1"/>
    <xf numFmtId="164" fontId="8" fillId="4" borderId="21" xfId="2" applyNumberFormat="1" applyFont="1" applyFill="1" applyBorder="1"/>
    <xf numFmtId="2" fontId="8" fillId="4" borderId="21" xfId="2" applyNumberFormat="1" applyFill="1" applyBorder="1"/>
    <xf numFmtId="164" fontId="8" fillId="7" borderId="19" xfId="2" applyNumberFormat="1" applyFill="1" applyBorder="1"/>
    <xf numFmtId="164" fontId="8" fillId="7" borderId="20" xfId="2" applyNumberFormat="1" applyFill="1" applyBorder="1"/>
    <xf numFmtId="0" fontId="0" fillId="0" borderId="15" xfId="0" applyFill="1" applyBorder="1"/>
    <xf numFmtId="0" fontId="2" fillId="0" borderId="15" xfId="0" applyFont="1" applyFill="1" applyBorder="1"/>
    <xf numFmtId="0" fontId="2" fillId="0" borderId="32" xfId="0" applyFont="1" applyFill="1" applyBorder="1"/>
    <xf numFmtId="0" fontId="2" fillId="0" borderId="9" xfId="0" applyFont="1" applyFill="1" applyBorder="1"/>
    <xf numFmtId="0" fontId="0" fillId="8" borderId="9" xfId="0" applyFill="1" applyBorder="1"/>
    <xf numFmtId="0" fontId="2" fillId="0" borderId="0" xfId="0" applyFont="1" applyFill="1" applyBorder="1"/>
    <xf numFmtId="0" fontId="12" fillId="0" borderId="0" xfId="0" applyFont="1" applyFill="1" applyBorder="1" applyAlignment="1">
      <alignment vertical="center"/>
    </xf>
    <xf numFmtId="0" fontId="2" fillId="0" borderId="23" xfId="0" applyFont="1" applyFill="1" applyBorder="1"/>
    <xf numFmtId="0" fontId="12" fillId="0" borderId="0" xfId="0" applyFont="1" applyFill="1" applyBorder="1" applyAlignment="1">
      <alignment horizontal="right" vertical="center"/>
    </xf>
    <xf numFmtId="1" fontId="7" fillId="0" borderId="0" xfId="0" applyNumberFormat="1" applyFont="1" applyFill="1" applyBorder="1"/>
    <xf numFmtId="16" fontId="0" fillId="0" borderId="0" xfId="0" applyNumberFormat="1" applyFill="1" applyBorder="1"/>
    <xf numFmtId="0" fontId="10" fillId="0" borderId="0" xfId="0" applyFont="1" applyFill="1" applyBorder="1"/>
    <xf numFmtId="1" fontId="9" fillId="0" borderId="0" xfId="2" applyNumberFormat="1" applyFont="1" applyFill="1" applyBorder="1"/>
    <xf numFmtId="1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2" applyNumberFormat="1" applyFill="1" applyBorder="1"/>
    <xf numFmtId="2" fontId="8" fillId="0" borderId="0" xfId="2" applyNumberFormat="1" applyFill="1" applyBorder="1"/>
    <xf numFmtId="0" fontId="8" fillId="0" borderId="0" xfId="2" applyFont="1" applyFill="1" applyBorder="1"/>
    <xf numFmtId="0" fontId="8" fillId="0" borderId="32" xfId="2" applyFill="1" applyBorder="1"/>
    <xf numFmtId="0" fontId="8" fillId="0" borderId="13" xfId="2" applyFill="1" applyBorder="1"/>
    <xf numFmtId="0" fontId="8" fillId="0" borderId="11" xfId="2" applyFill="1" applyBorder="1"/>
    <xf numFmtId="1" fontId="9" fillId="0" borderId="9" xfId="2" applyNumberFormat="1" applyFont="1" applyFill="1" applyBorder="1"/>
    <xf numFmtId="0" fontId="0" fillId="0" borderId="33" xfId="0" applyFill="1" applyBorder="1" applyAlignment="1"/>
    <xf numFmtId="0" fontId="0" fillId="0" borderId="12" xfId="0" applyFill="1" applyBorder="1" applyAlignment="1"/>
    <xf numFmtId="1" fontId="8" fillId="0" borderId="13" xfId="2" applyNumberFormat="1" applyFont="1" applyFill="1" applyBorder="1"/>
    <xf numFmtId="0" fontId="0" fillId="0" borderId="10" xfId="0" applyFill="1" applyBorder="1" applyAlignment="1"/>
    <xf numFmtId="0" fontId="0" fillId="0" borderId="23" xfId="0" applyFill="1" applyBorder="1"/>
    <xf numFmtId="0" fontId="2" fillId="0" borderId="11" xfId="0" applyFont="1" applyFill="1" applyBorder="1"/>
    <xf numFmtId="0" fontId="4" fillId="0" borderId="29" xfId="1" applyFont="1" applyFill="1" applyBorder="1" applyAlignment="1">
      <alignment horizontal="right" wrapText="1"/>
    </xf>
    <xf numFmtId="0" fontId="0" fillId="0" borderId="34" xfId="0" applyFill="1" applyBorder="1"/>
    <xf numFmtId="49" fontId="0" fillId="0" borderId="9" xfId="0" applyNumberForma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0" fillId="0" borderId="35" xfId="0" applyFill="1" applyBorder="1"/>
    <xf numFmtId="0" fontId="2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65" fontId="0" fillId="0" borderId="0" xfId="0" applyNumberFormat="1" applyFill="1" applyBorder="1"/>
    <xf numFmtId="0" fontId="7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left"/>
    </xf>
    <xf numFmtId="1" fontId="10" fillId="0" borderId="0" xfId="0" applyNumberFormat="1" applyFont="1" applyFill="1" applyBorder="1"/>
    <xf numFmtId="0" fontId="0" fillId="0" borderId="9" xfId="0" applyFill="1" applyBorder="1"/>
    <xf numFmtId="0" fontId="0" fillId="0" borderId="20" xfId="0" applyFill="1" applyBorder="1" applyAlignment="1"/>
    <xf numFmtId="164" fontId="9" fillId="0" borderId="0" xfId="2" applyNumberFormat="1" applyFont="1" applyFill="1" applyBorder="1"/>
    <xf numFmtId="164" fontId="8" fillId="0" borderId="21" xfId="2" applyNumberFormat="1" applyFont="1" applyFill="1" applyBorder="1"/>
    <xf numFmtId="2" fontId="8" fillId="0" borderId="21" xfId="2" applyNumberFormat="1" applyFill="1" applyBorder="1"/>
    <xf numFmtId="164" fontId="8" fillId="7" borderId="25" xfId="2" applyNumberFormat="1" applyFont="1" applyFill="1" applyBorder="1"/>
    <xf numFmtId="2" fontId="8" fillId="7" borderId="25" xfId="2" applyNumberFormat="1" applyFill="1" applyBorder="1"/>
    <xf numFmtId="1" fontId="8" fillId="0" borderId="0" xfId="0" applyNumberFormat="1" applyFont="1" applyFill="1" applyBorder="1"/>
    <xf numFmtId="0" fontId="7" fillId="0" borderId="26" xfId="0" applyFont="1" applyFill="1" applyBorder="1"/>
    <xf numFmtId="1" fontId="7" fillId="0" borderId="27" xfId="0" applyNumberFormat="1" applyFont="1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7" fillId="0" borderId="27" xfId="0" applyFont="1" applyFill="1" applyBorder="1" applyAlignment="1">
      <alignment horizontal="left"/>
    </xf>
    <xf numFmtId="0" fontId="0" fillId="0" borderId="27" xfId="0" applyFill="1" applyBorder="1" applyAlignment="1">
      <alignment horizontal="left"/>
    </xf>
    <xf numFmtId="1" fontId="8" fillId="0" borderId="26" xfId="2" applyNumberFormat="1" applyFill="1" applyBorder="1" applyAlignment="1">
      <alignment horizontal="left"/>
    </xf>
    <xf numFmtId="0" fontId="0" fillId="0" borderId="6" xfId="0" applyFill="1" applyBorder="1" applyAlignment="1">
      <alignment horizontal="right"/>
    </xf>
    <xf numFmtId="0" fontId="0" fillId="0" borderId="31" xfId="0" applyFill="1" applyBorder="1" applyAlignment="1">
      <alignment horizontal="left"/>
    </xf>
    <xf numFmtId="1" fontId="0" fillId="0" borderId="7" xfId="0" applyNumberFormat="1" applyFill="1" applyBorder="1" applyAlignment="1">
      <alignment horizontal="left"/>
    </xf>
    <xf numFmtId="164" fontId="0" fillId="0" borderId="0" xfId="0" applyNumberFormat="1" applyFill="1" applyBorder="1"/>
    <xf numFmtId="0" fontId="0" fillId="0" borderId="9" xfId="0" applyFill="1" applyBorder="1"/>
    <xf numFmtId="0" fontId="0" fillId="0" borderId="1" xfId="0" applyBorder="1"/>
    <xf numFmtId="0" fontId="0" fillId="0" borderId="6" xfId="0" applyBorder="1"/>
    <xf numFmtId="14" fontId="0" fillId="0" borderId="7" xfId="0" applyNumberFormat="1" applyBorder="1"/>
    <xf numFmtId="14" fontId="0" fillId="0" borderId="2" xfId="0" applyNumberFormat="1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8" fillId="0" borderId="10" xfId="2" applyFont="1" applyBorder="1"/>
    <xf numFmtId="0" fontId="8" fillId="9" borderId="11" xfId="2" applyFill="1" applyBorder="1"/>
    <xf numFmtId="0" fontId="8" fillId="0" borderId="0" xfId="2"/>
    <xf numFmtId="0" fontId="0" fillId="0" borderId="29" xfId="0" applyBorder="1"/>
    <xf numFmtId="0" fontId="9" fillId="10" borderId="1" xfId="2" applyFont="1" applyFill="1" applyBorder="1"/>
    <xf numFmtId="0" fontId="0" fillId="0" borderId="14" xfId="0" applyBorder="1"/>
    <xf numFmtId="0" fontId="8" fillId="0" borderId="15" xfId="2" applyFont="1" applyBorder="1"/>
    <xf numFmtId="0" fontId="8" fillId="0" borderId="16" xfId="2" applyFont="1" applyBorder="1"/>
    <xf numFmtId="0" fontId="8" fillId="0" borderId="17" xfId="2" applyBorder="1"/>
    <xf numFmtId="0" fontId="0" fillId="0" borderId="9" xfId="0" applyBorder="1"/>
    <xf numFmtId="0" fontId="8" fillId="0" borderId="18" xfId="2" applyFont="1" applyBorder="1"/>
    <xf numFmtId="0" fontId="8" fillId="0" borderId="19" xfId="2" applyBorder="1"/>
    <xf numFmtId="0" fontId="8" fillId="0" borderId="9" xfId="2" applyBorder="1"/>
    <xf numFmtId="0" fontId="8" fillId="0" borderId="20" xfId="2" applyBorder="1"/>
    <xf numFmtId="0" fontId="8" fillId="0" borderId="21" xfId="2" applyBorder="1"/>
    <xf numFmtId="0" fontId="0" fillId="10" borderId="0" xfId="0" applyFill="1" applyBorder="1"/>
    <xf numFmtId="0" fontId="0" fillId="0" borderId="8" xfId="0" applyBorder="1"/>
    <xf numFmtId="0" fontId="0" fillId="0" borderId="4" xfId="0" applyBorder="1"/>
    <xf numFmtId="0" fontId="0" fillId="0" borderId="5" xfId="0" applyBorder="1"/>
    <xf numFmtId="0" fontId="8" fillId="0" borderId="12" xfId="2" applyFont="1" applyBorder="1"/>
    <xf numFmtId="0" fontId="0" fillId="0" borderId="31" xfId="0" applyBorder="1"/>
    <xf numFmtId="1" fontId="0" fillId="0" borderId="31" xfId="0" applyNumberFormat="1" applyBorder="1"/>
    <xf numFmtId="1" fontId="0" fillId="0" borderId="7" xfId="0" applyNumberFormat="1" applyBorder="1"/>
    <xf numFmtId="0" fontId="0" fillId="11" borderId="0" xfId="0" applyFill="1"/>
    <xf numFmtId="0" fontId="0" fillId="0" borderId="2" xfId="0" applyBorder="1"/>
    <xf numFmtId="1" fontId="0" fillId="0" borderId="3" xfId="0" applyNumberFormat="1" applyBorder="1"/>
    <xf numFmtId="0" fontId="0" fillId="12" borderId="0" xfId="0" applyFill="1" applyBorder="1"/>
    <xf numFmtId="0" fontId="8" fillId="0" borderId="22" xfId="2" applyBorder="1"/>
    <xf numFmtId="0" fontId="8" fillId="0" borderId="23" xfId="2" applyBorder="1"/>
    <xf numFmtId="0" fontId="8" fillId="0" borderId="24" xfId="2" applyBorder="1"/>
    <xf numFmtId="0" fontId="8" fillId="0" borderId="25" xfId="2" applyBorder="1"/>
    <xf numFmtId="0" fontId="9" fillId="12" borderId="1" xfId="2" applyFont="1" applyFill="1" applyBorder="1"/>
    <xf numFmtId="0" fontId="8" fillId="0" borderId="29" xfId="2" applyFont="1" applyBorder="1"/>
    <xf numFmtId="0" fontId="8" fillId="0" borderId="0" xfId="2" applyBorder="1"/>
    <xf numFmtId="164" fontId="0" fillId="0" borderId="26" xfId="0" applyNumberFormat="1" applyBorder="1"/>
    <xf numFmtId="0" fontId="0" fillId="0" borderId="27" xfId="0" applyBorder="1"/>
    <xf numFmtId="0" fontId="8" fillId="0" borderId="9" xfId="2" applyFont="1" applyBorder="1"/>
    <xf numFmtId="1" fontId="0" fillId="0" borderId="26" xfId="0" applyNumberFormat="1" applyBorder="1"/>
    <xf numFmtId="0" fontId="0" fillId="0" borderId="26" xfId="0" applyBorder="1"/>
    <xf numFmtId="0" fontId="0" fillId="0" borderId="27" xfId="0" applyFill="1" applyBorder="1"/>
    <xf numFmtId="164" fontId="9" fillId="0" borderId="1" xfId="2" applyNumberFormat="1" applyFont="1" applyBorder="1"/>
    <xf numFmtId="164" fontId="8" fillId="0" borderId="0" xfId="2" applyNumberFormat="1"/>
    <xf numFmtId="0" fontId="0" fillId="0" borderId="35" xfId="0" applyBorder="1" applyAlignment="1"/>
    <xf numFmtId="164" fontId="0" fillId="0" borderId="6" xfId="0" applyNumberFormat="1" applyBorder="1"/>
    <xf numFmtId="0" fontId="0" fillId="13" borderId="31" xfId="0" applyFill="1" applyBorder="1"/>
    <xf numFmtId="0" fontId="0" fillId="0" borderId="7" xfId="0" applyBorder="1"/>
    <xf numFmtId="164" fontId="8" fillId="0" borderId="30" xfId="2" applyNumberFormat="1" applyBorder="1"/>
    <xf numFmtId="164" fontId="8" fillId="0" borderId="9" xfId="2" applyNumberFormat="1" applyFont="1" applyBorder="1"/>
    <xf numFmtId="164" fontId="8" fillId="0" borderId="20" xfId="2" applyNumberFormat="1" applyFont="1" applyBorder="1"/>
    <xf numFmtId="164" fontId="8" fillId="9" borderId="17" xfId="2" applyNumberFormat="1" applyFill="1" applyBorder="1"/>
    <xf numFmtId="164" fontId="8" fillId="11" borderId="17" xfId="2" applyNumberFormat="1" applyFont="1" applyFill="1" applyBorder="1"/>
    <xf numFmtId="164" fontId="8" fillId="0" borderId="19" xfId="2" applyNumberFormat="1" applyBorder="1"/>
    <xf numFmtId="164" fontId="8" fillId="0" borderId="20" xfId="2" applyNumberFormat="1" applyBorder="1"/>
    <xf numFmtId="2" fontId="8" fillId="11" borderId="21" xfId="2" applyNumberFormat="1" applyFill="1" applyBorder="1"/>
    <xf numFmtId="0" fontId="0" fillId="14" borderId="36" xfId="0" applyFill="1" applyBorder="1"/>
    <xf numFmtId="0" fontId="0" fillId="0" borderId="37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164" fontId="8" fillId="10" borderId="21" xfId="2" applyNumberFormat="1" applyFont="1" applyFill="1" applyBorder="1"/>
    <xf numFmtId="2" fontId="8" fillId="10" borderId="21" xfId="2" applyNumberFormat="1" applyFill="1" applyBorder="1"/>
    <xf numFmtId="0" fontId="0" fillId="14" borderId="18" xfId="0" applyFill="1" applyBorder="1"/>
    <xf numFmtId="0" fontId="0" fillId="0" borderId="39" xfId="0" applyBorder="1"/>
    <xf numFmtId="164" fontId="8" fillId="12" borderId="21" xfId="2" applyNumberFormat="1" applyFont="1" applyFill="1" applyBorder="1"/>
    <xf numFmtId="2" fontId="8" fillId="12" borderId="21" xfId="2" applyNumberFormat="1" applyFill="1" applyBorder="1"/>
    <xf numFmtId="0" fontId="0" fillId="0" borderId="12" xfId="0" applyBorder="1"/>
    <xf numFmtId="0" fontId="0" fillId="0" borderId="13" xfId="0" applyBorder="1"/>
    <xf numFmtId="164" fontId="8" fillId="0" borderId="21" xfId="2" applyNumberFormat="1" applyFont="1" applyBorder="1"/>
    <xf numFmtId="2" fontId="8" fillId="0" borderId="21" xfId="2" applyNumberFormat="1" applyBorder="1"/>
    <xf numFmtId="1" fontId="0" fillId="0" borderId="0" xfId="0" applyNumberFormat="1" applyBorder="1"/>
    <xf numFmtId="0" fontId="0" fillId="0" borderId="20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40" xfId="0" applyBorder="1"/>
    <xf numFmtId="164" fontId="8" fillId="0" borderId="25" xfId="2" applyNumberFormat="1" applyFont="1" applyBorder="1"/>
    <xf numFmtId="2" fontId="8" fillId="0" borderId="25" xfId="2" applyNumberFormat="1" applyBorder="1"/>
    <xf numFmtId="0" fontId="0" fillId="0" borderId="13" xfId="0" applyBorder="1" applyAlignment="1">
      <alignment horizontal="left"/>
    </xf>
    <xf numFmtId="0" fontId="0" fillId="0" borderId="10" xfId="0" applyBorder="1"/>
    <xf numFmtId="0" fontId="0" fillId="14" borderId="23" xfId="0" applyFill="1" applyBorder="1"/>
    <xf numFmtId="0" fontId="0" fillId="0" borderId="23" xfId="0" applyBorder="1"/>
    <xf numFmtId="0" fontId="0" fillId="0" borderId="41" xfId="0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8" xfId="0" applyBorder="1" applyAlignment="1"/>
    <xf numFmtId="0" fontId="0" fillId="0" borderId="0" xfId="0" applyFill="1" applyBorder="1" applyAlignment="1">
      <alignment wrapText="1"/>
    </xf>
    <xf numFmtId="0" fontId="0" fillId="0" borderId="26" xfId="0" applyBorder="1" applyAlignment="1"/>
    <xf numFmtId="0" fontId="0" fillId="0" borderId="26" xfId="0" applyFill="1" applyBorder="1" applyAlignment="1"/>
    <xf numFmtId="0" fontId="0" fillId="0" borderId="6" xfId="0" applyFill="1" applyBorder="1" applyAlignment="1"/>
    <xf numFmtId="0" fontId="4" fillId="0" borderId="23" xfId="1" applyFont="1" applyFill="1" applyBorder="1" applyAlignment="1">
      <alignment horizontal="right" wrapText="1"/>
    </xf>
    <xf numFmtId="0" fontId="0" fillId="0" borderId="31" xfId="0" applyBorder="1" applyAlignment="1">
      <alignment horizontal="right"/>
    </xf>
    <xf numFmtId="0" fontId="0" fillId="0" borderId="33" xfId="0" applyBorder="1"/>
    <xf numFmtId="0" fontId="0" fillId="0" borderId="15" xfId="0" applyBorder="1"/>
    <xf numFmtId="0" fontId="0" fillId="0" borderId="32" xfId="0" applyBorder="1"/>
    <xf numFmtId="0" fontId="4" fillId="0" borderId="12" xfId="1" applyFont="1" applyFill="1" applyBorder="1" applyAlignment="1">
      <alignment horizontal="right" wrapText="1"/>
    </xf>
    <xf numFmtId="0" fontId="10" fillId="0" borderId="13" xfId="0" applyFont="1" applyBorder="1"/>
    <xf numFmtId="0" fontId="0" fillId="0" borderId="12" xfId="0" applyFill="1" applyBorder="1" applyAlignment="1">
      <alignment horizontal="right"/>
    </xf>
    <xf numFmtId="0" fontId="10" fillId="0" borderId="9" xfId="0" applyFont="1" applyBorder="1"/>
    <xf numFmtId="0" fontId="0" fillId="0" borderId="10" xfId="0" applyBorder="1" applyAlignment="1">
      <alignment horizontal="right"/>
    </xf>
    <xf numFmtId="0" fontId="10" fillId="0" borderId="11" xfId="0" applyFont="1" applyBorder="1"/>
    <xf numFmtId="0" fontId="2" fillId="0" borderId="8" xfId="0" applyFont="1" applyBorder="1"/>
    <xf numFmtId="0" fontId="0" fillId="0" borderId="6" xfId="0" applyFill="1" applyBorder="1" applyAlignment="1">
      <alignment horizontal="left"/>
    </xf>
    <xf numFmtId="0" fontId="8" fillId="0" borderId="42" xfId="2" applyFont="1" applyBorder="1"/>
    <xf numFmtId="167" fontId="8" fillId="0" borderId="19" xfId="2" applyNumberFormat="1" applyBorder="1"/>
    <xf numFmtId="49" fontId="0" fillId="15" borderId="43" xfId="0" applyNumberFormat="1" applyFill="1" applyBorder="1" applyAlignment="1">
      <alignment vertical="center" wrapText="1"/>
    </xf>
    <xf numFmtId="49" fontId="14" fillId="15" borderId="44" xfId="0" applyNumberFormat="1" applyFont="1" applyFill="1" applyBorder="1" applyAlignment="1">
      <alignment horizontal="center" vertical="center" wrapText="1"/>
    </xf>
    <xf numFmtId="49" fontId="14" fillId="15" borderId="45" xfId="0" applyNumberFormat="1" applyFont="1" applyFill="1" applyBorder="1" applyAlignment="1">
      <alignment horizontal="center" vertical="center" wrapText="1"/>
    </xf>
    <xf numFmtId="49" fontId="14" fillId="0" borderId="0" xfId="0" applyNumberFormat="1" applyFont="1" applyFill="1" applyBorder="1" applyAlignment="1">
      <alignment horizontal="center" vertical="center" wrapText="1"/>
    </xf>
    <xf numFmtId="0" fontId="14" fillId="15" borderId="46" xfId="0" applyFont="1" applyFill="1" applyBorder="1" applyAlignment="1">
      <alignment horizontal="center" vertical="center" wrapText="1"/>
    </xf>
    <xf numFmtId="0" fontId="0" fillId="16" borderId="9" xfId="0" applyFill="1" applyBorder="1" applyAlignment="1"/>
    <xf numFmtId="0" fontId="0" fillId="17" borderId="9" xfId="0" applyFill="1" applyBorder="1" applyAlignment="1"/>
    <xf numFmtId="0" fontId="0" fillId="18" borderId="9" xfId="0" applyFill="1" applyBorder="1"/>
    <xf numFmtId="0" fontId="0" fillId="18" borderId="13" xfId="0" applyFill="1" applyBorder="1"/>
    <xf numFmtId="0" fontId="14" fillId="15" borderId="47" xfId="0" applyFont="1" applyFill="1" applyBorder="1" applyAlignment="1">
      <alignment horizontal="center" vertical="center" wrapText="1"/>
    </xf>
    <xf numFmtId="0" fontId="0" fillId="18" borderId="23" xfId="0" applyFill="1" applyBorder="1"/>
    <xf numFmtId="0" fontId="0" fillId="18" borderId="11" xfId="0" applyFill="1" applyBorder="1"/>
    <xf numFmtId="9" fontId="0" fillId="0" borderId="0" xfId="0" applyNumberFormat="1"/>
    <xf numFmtId="0" fontId="0" fillId="0" borderId="36" xfId="0" applyFill="1" applyBorder="1"/>
    <xf numFmtId="0" fontId="0" fillId="0" borderId="29" xfId="0" applyFill="1" applyBorder="1"/>
    <xf numFmtId="0" fontId="0" fillId="0" borderId="28" xfId="0" applyFill="1" applyBorder="1"/>
    <xf numFmtId="164" fontId="0" fillId="0" borderId="9" xfId="0" applyNumberFormat="1" applyFill="1" applyBorder="1"/>
    <xf numFmtId="2" fontId="0" fillId="0" borderId="9" xfId="0" applyNumberFormat="1" applyFill="1" applyBorder="1"/>
    <xf numFmtId="164" fontId="0" fillId="0" borderId="31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23" xfId="0" applyNumberFormat="1" applyBorder="1"/>
    <xf numFmtId="0" fontId="0" fillId="8" borderId="33" xfId="0" applyFill="1" applyBorder="1"/>
    <xf numFmtId="0" fontId="0" fillId="0" borderId="15" xfId="0" applyFill="1" applyBorder="1" applyAlignment="1">
      <alignment horizontal="left"/>
    </xf>
    <xf numFmtId="0" fontId="0" fillId="0" borderId="32" xfId="0" applyFill="1" applyBorder="1"/>
    <xf numFmtId="0" fontId="0" fillId="0" borderId="12" xfId="0" applyFill="1" applyBorder="1"/>
    <xf numFmtId="166" fontId="0" fillId="0" borderId="10" xfId="0" applyNumberFormat="1" applyFill="1" applyBorder="1"/>
    <xf numFmtId="1" fontId="0" fillId="0" borderId="23" xfId="0" applyNumberFormat="1" applyFill="1" applyBorder="1"/>
    <xf numFmtId="1" fontId="0" fillId="0" borderId="11" xfId="0" applyNumberFormat="1" applyFill="1" applyBorder="1"/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34" xfId="0" applyFill="1" applyBorder="1" applyAlignment="1">
      <alignment horizontal="left" vertical="top"/>
    </xf>
    <xf numFmtId="0" fontId="0" fillId="0" borderId="9" xfId="0" applyFill="1" applyBorder="1"/>
    <xf numFmtId="0" fontId="0" fillId="2" borderId="9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4" xfId="0" applyBorder="1" applyAlignment="1">
      <alignment horizontal="left" vertical="top"/>
    </xf>
    <xf numFmtId="0" fontId="0" fillId="0" borderId="0" xfId="0" applyFill="1" applyAlignment="1">
      <alignment horizontal="left" wrapText="1"/>
    </xf>
    <xf numFmtId="0" fontId="0" fillId="0" borderId="37" xfId="0" applyFill="1" applyBorder="1" applyAlignment="1">
      <alignment horizontal="left" vertical="top"/>
    </xf>
    <xf numFmtId="0" fontId="0" fillId="0" borderId="20" xfId="0" applyFill="1" applyBorder="1" applyAlignment="1">
      <alignment horizontal="left"/>
    </xf>
    <xf numFmtId="0" fontId="0" fillId="0" borderId="38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9" xfId="0" applyBorder="1" applyAlignment="1"/>
  </cellXfs>
  <cellStyles count="4">
    <cellStyle name="Normal" xfId="0" builtinId="0"/>
    <cellStyle name="Normal 2 2" xfId="3"/>
    <cellStyle name="Normal_2.18.14" xfId="1"/>
    <cellStyle name="Normal_Luciferase Summaries.xls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E7" sqref="E7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272" t="s">
        <v>57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4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114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114"/>
      <c r="I10" s="114"/>
      <c r="J10" s="114"/>
      <c r="K10" s="114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114"/>
      <c r="J11" s="114"/>
      <c r="K11" s="114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114" t="s">
        <v>11</v>
      </c>
      <c r="I12" s="114"/>
      <c r="J12" s="114"/>
      <c r="K12" s="114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114">
        <f>25*G12*G11</f>
        <v>900</v>
      </c>
      <c r="H13" s="114" t="s">
        <v>17</v>
      </c>
      <c r="I13" s="114"/>
      <c r="J13" s="114"/>
      <c r="K13" s="114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114">
        <f>(G13+0.2*G13)*1.5</f>
        <v>1620</v>
      </c>
      <c r="H14" s="20" t="s">
        <v>23</v>
      </c>
      <c r="I14" s="114"/>
      <c r="J14" s="114"/>
      <c r="K14" s="114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114" t="s">
        <v>73</v>
      </c>
      <c r="H15" s="114" t="s">
        <v>71</v>
      </c>
      <c r="I15" s="114" t="s">
        <v>76</v>
      </c>
      <c r="J15" s="114" t="s">
        <v>72</v>
      </c>
      <c r="K15" s="114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114">
        <f>K16*J16/H16/1000</f>
        <v>1.62</v>
      </c>
      <c r="H16" s="78">
        <v>1000</v>
      </c>
      <c r="I16" s="114">
        <f>K16-G16</f>
        <v>1618.38</v>
      </c>
      <c r="J16" s="78">
        <v>1000</v>
      </c>
      <c r="K16" s="114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f>1/96</f>
        <v>1.0416666666666666E-2</v>
      </c>
      <c r="G17" s="275" t="s">
        <v>75</v>
      </c>
      <c r="H17" s="275"/>
      <c r="I17" s="114" t="s">
        <v>76</v>
      </c>
      <c r="J17" s="114"/>
      <c r="K17" s="114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D18*E17</f>
        <v>5.208333333333333</v>
      </c>
      <c r="F18" s="11"/>
      <c r="G18" s="114">
        <f>K16/3</f>
        <v>540</v>
      </c>
      <c r="H18" s="114" t="s">
        <v>33</v>
      </c>
      <c r="I18" s="114">
        <f>K16*2/3</f>
        <v>1080</v>
      </c>
      <c r="J18" s="114"/>
      <c r="K18" s="114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D19*E17</f>
        <v>0.1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D20*E17</f>
        <v>0.05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/>
      <c r="B21" s="44"/>
      <c r="C21" s="45"/>
      <c r="D21" s="46"/>
      <c r="E21" s="47"/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v>96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5.2800000000000011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440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440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4400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2200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114">
        <v>830</v>
      </c>
      <c r="C36" s="114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114">
        <v>817</v>
      </c>
      <c r="C37" s="114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114">
        <v>830</v>
      </c>
      <c r="C42" s="114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114">
        <v>817</v>
      </c>
      <c r="C43" s="114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114">
        <v>830</v>
      </c>
      <c r="C48" s="114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114">
        <v>817</v>
      </c>
      <c r="C49" s="114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 t="s">
        <v>87</v>
      </c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 t="s">
        <v>88</v>
      </c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 t="s">
        <v>89</v>
      </c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132"/>
  <sheetViews>
    <sheetView tabSelected="1" topLeftCell="J1" workbookViewId="0">
      <selection activeCell="AA7" sqref="AA7"/>
    </sheetView>
  </sheetViews>
  <sheetFormatPr baseColWidth="10" defaultColWidth="11.5" defaultRowHeight="15" x14ac:dyDescent="0.2"/>
  <sheetData>
    <row r="1" spans="1:22" ht="16" thickBot="1" x14ac:dyDescent="0.25">
      <c r="A1" s="134" t="s">
        <v>0</v>
      </c>
      <c r="B1" s="280" t="s">
        <v>232</v>
      </c>
      <c r="C1" s="281"/>
      <c r="D1" s="281"/>
      <c r="E1" s="281"/>
      <c r="F1" s="281"/>
      <c r="G1" s="281"/>
      <c r="H1" s="281"/>
      <c r="I1" s="281"/>
      <c r="J1" s="281"/>
      <c r="K1" s="281"/>
      <c r="L1" s="281"/>
      <c r="M1" s="282"/>
    </row>
    <row r="2" spans="1:22" ht="16" thickBot="1" x14ac:dyDescent="0.25">
      <c r="A2" s="135" t="s">
        <v>1</v>
      </c>
      <c r="B2" s="136">
        <v>42642</v>
      </c>
      <c r="C2" s="137">
        <v>42643</v>
      </c>
      <c r="D2" s="138"/>
      <c r="E2" s="138"/>
      <c r="F2" s="139"/>
      <c r="G2" s="11" t="s">
        <v>90</v>
      </c>
      <c r="H2" s="11"/>
      <c r="I2" s="11"/>
      <c r="J2" s="11"/>
      <c r="K2" s="11"/>
      <c r="L2" s="11"/>
      <c r="M2" s="283"/>
      <c r="N2" s="283"/>
      <c r="O2" s="283"/>
    </row>
    <row r="3" spans="1:22" ht="16" thickBot="1" x14ac:dyDescent="0.25">
      <c r="A3" s="141" t="s">
        <v>7</v>
      </c>
      <c r="B3" s="142">
        <v>2</v>
      </c>
      <c r="C3" s="143"/>
      <c r="D3" s="143"/>
      <c r="E3" s="143"/>
      <c r="G3" s="256">
        <v>1</v>
      </c>
      <c r="H3" s="284" t="s">
        <v>91</v>
      </c>
      <c r="I3" s="273"/>
      <c r="J3" s="273"/>
      <c r="K3" s="274"/>
      <c r="L3" s="3"/>
      <c r="M3" s="283"/>
      <c r="N3" s="283"/>
      <c r="O3" s="283"/>
    </row>
    <row r="4" spans="1:22" ht="16" thickBot="1" x14ac:dyDescent="0.25">
      <c r="A4" s="143" t="s">
        <v>10</v>
      </c>
      <c r="B4" s="143">
        <v>384</v>
      </c>
      <c r="C4" s="143"/>
      <c r="D4" s="143"/>
      <c r="E4" s="143"/>
      <c r="G4" s="257">
        <v>2</v>
      </c>
      <c r="H4" s="257" t="s">
        <v>11</v>
      </c>
      <c r="I4" s="257"/>
      <c r="J4" s="257"/>
      <c r="K4" s="257"/>
      <c r="L4" s="3"/>
      <c r="M4" s="3"/>
      <c r="N4" s="3"/>
      <c r="O4" s="3"/>
    </row>
    <row r="5" spans="1:22" ht="16" thickBot="1" x14ac:dyDescent="0.25">
      <c r="A5" s="145" t="s">
        <v>161</v>
      </c>
      <c r="B5" s="146" t="s">
        <v>14</v>
      </c>
      <c r="C5" s="147" t="s">
        <v>15</v>
      </c>
      <c r="D5" s="148" t="s">
        <v>16</v>
      </c>
      <c r="E5" s="149">
        <f>B3</f>
        <v>2</v>
      </c>
      <c r="G5" s="133">
        <f>(12.5*G4*G3)</f>
        <v>25</v>
      </c>
      <c r="H5" s="133" t="s">
        <v>17</v>
      </c>
      <c r="I5" s="133"/>
      <c r="J5" s="133"/>
      <c r="K5" s="133"/>
      <c r="L5" s="3"/>
      <c r="M5" s="79" t="s">
        <v>5</v>
      </c>
      <c r="S5" t="s">
        <v>92</v>
      </c>
    </row>
    <row r="6" spans="1:22" x14ac:dyDescent="0.2">
      <c r="A6" s="151" t="s">
        <v>22</v>
      </c>
      <c r="B6" s="152"/>
      <c r="C6" s="153"/>
      <c r="D6" s="154">
        <f>500*1.25</f>
        <v>625</v>
      </c>
      <c r="E6" s="155">
        <f>D6*E$5</f>
        <v>1250</v>
      </c>
      <c r="G6" s="133">
        <f>(G5+0.2*G5)*1.11111111111111</f>
        <v>33.3333333333333</v>
      </c>
      <c r="H6" s="285" t="s">
        <v>93</v>
      </c>
      <c r="I6" s="286"/>
      <c r="J6" s="287"/>
      <c r="K6" s="258"/>
      <c r="L6" s="3"/>
      <c r="M6" s="156" t="s">
        <v>8</v>
      </c>
      <c r="S6" s="157"/>
      <c r="T6" s="158"/>
      <c r="U6" s="158" t="s">
        <v>94</v>
      </c>
      <c r="V6" s="159" t="s">
        <v>95</v>
      </c>
    </row>
    <row r="7" spans="1:22" ht="16" thickBot="1" x14ac:dyDescent="0.25">
      <c r="A7" s="160" t="s">
        <v>26</v>
      </c>
      <c r="B7" s="152">
        <v>5</v>
      </c>
      <c r="C7" s="153">
        <f>(B7/100*96)*1.25</f>
        <v>6.0000000000000009</v>
      </c>
      <c r="D7" s="154">
        <f>C7</f>
        <v>6.0000000000000009</v>
      </c>
      <c r="E7" s="155">
        <f>D7*E$5</f>
        <v>12.000000000000002</v>
      </c>
      <c r="G7" s="133" t="s">
        <v>96</v>
      </c>
      <c r="H7" s="133" t="s">
        <v>97</v>
      </c>
      <c r="I7" s="133" t="s">
        <v>98</v>
      </c>
      <c r="J7" s="133" t="s">
        <v>99</v>
      </c>
      <c r="K7" s="288" t="s">
        <v>27</v>
      </c>
      <c r="L7" s="288"/>
      <c r="M7" s="140" t="s">
        <v>100</v>
      </c>
      <c r="S7" s="135" t="s">
        <v>101</v>
      </c>
      <c r="T7" s="161"/>
      <c r="U7" s="162">
        <f>ROUNDUP(((B3*0.75*2)+0.5), 0)</f>
        <v>4</v>
      </c>
      <c r="V7" s="163">
        <f>U7*5</f>
        <v>20</v>
      </c>
    </row>
    <row r="8" spans="1:22" ht="16" thickBot="1" x14ac:dyDescent="0.25">
      <c r="A8" s="160" t="s">
        <v>30</v>
      </c>
      <c r="B8" s="152">
        <v>10</v>
      </c>
      <c r="C8" s="153">
        <f>(B8/100*96)*1.25</f>
        <v>12.000000000000002</v>
      </c>
      <c r="D8" s="154">
        <f>C8</f>
        <v>12.000000000000002</v>
      </c>
      <c r="E8" s="155">
        <f>D8*E$5</f>
        <v>24.000000000000004</v>
      </c>
      <c r="G8" s="260">
        <f>K8*J8/H8/1000</f>
        <v>0.999999999999999</v>
      </c>
      <c r="H8" s="133">
        <v>1</v>
      </c>
      <c r="I8" s="259">
        <f>K8-G8</f>
        <v>32.3333333333333</v>
      </c>
      <c r="J8" s="133">
        <v>30</v>
      </c>
      <c r="K8" s="257">
        <f>G6</f>
        <v>33.3333333333333</v>
      </c>
      <c r="L8" s="3"/>
      <c r="M8" s="164" t="s">
        <v>102</v>
      </c>
      <c r="S8" s="165" t="s">
        <v>103</v>
      </c>
      <c r="T8" s="138"/>
      <c r="U8" s="166">
        <f>U7</f>
        <v>4</v>
      </c>
      <c r="V8" s="139" t="s">
        <v>104</v>
      </c>
    </row>
    <row r="9" spans="1:22" x14ac:dyDescent="0.2">
      <c r="A9" s="160" t="s">
        <v>32</v>
      </c>
      <c r="B9" s="152">
        <v>5</v>
      </c>
      <c r="C9" s="153">
        <f>(B9/100*96)*1.25</f>
        <v>6.0000000000000009</v>
      </c>
      <c r="D9" s="154">
        <f>C9</f>
        <v>6.0000000000000009</v>
      </c>
      <c r="E9" s="155">
        <f>D9*E$5</f>
        <v>12.000000000000002</v>
      </c>
      <c r="G9" s="133"/>
      <c r="H9" s="133"/>
      <c r="I9" s="133"/>
      <c r="J9" s="133"/>
      <c r="K9" s="133"/>
      <c r="L9" s="3"/>
      <c r="M9" s="167" t="s">
        <v>24</v>
      </c>
      <c r="S9" t="s">
        <v>105</v>
      </c>
    </row>
    <row r="10" spans="1:22" ht="16" thickBot="1" x14ac:dyDescent="0.25">
      <c r="A10" s="141" t="s">
        <v>35</v>
      </c>
      <c r="B10" s="168">
        <v>2.5</v>
      </c>
      <c r="C10" s="169">
        <f>(B10/100*96)*1.25</f>
        <v>3.0000000000000004</v>
      </c>
      <c r="D10" s="170">
        <f>C10</f>
        <v>3.0000000000000004</v>
      </c>
      <c r="E10" s="171">
        <f>D10*E$5</f>
        <v>6.0000000000000009</v>
      </c>
      <c r="F10" s="140"/>
      <c r="G10" s="3"/>
      <c r="H10" s="11"/>
      <c r="I10" s="11"/>
      <c r="J10" s="11"/>
      <c r="L10" s="140"/>
      <c r="M10" s="11" t="s">
        <v>106</v>
      </c>
      <c r="S10" t="s">
        <v>107</v>
      </c>
    </row>
    <row r="11" spans="1:22" ht="16" thickBot="1" x14ac:dyDescent="0.25">
      <c r="A11" s="91" t="s">
        <v>163</v>
      </c>
      <c r="G11" s="157" t="s">
        <v>108</v>
      </c>
      <c r="H11" s="158"/>
      <c r="I11" s="158"/>
      <c r="J11" s="158"/>
      <c r="K11" s="159"/>
      <c r="M11" t="s">
        <v>109</v>
      </c>
      <c r="S11" t="s">
        <v>110</v>
      </c>
    </row>
    <row r="12" spans="1:22" ht="16" thickBot="1" x14ac:dyDescent="0.25">
      <c r="A12" s="145" t="s">
        <v>162</v>
      </c>
      <c r="B12" s="146" t="s">
        <v>14</v>
      </c>
      <c r="C12" s="147" t="s">
        <v>15</v>
      </c>
      <c r="D12" s="148" t="s">
        <v>16</v>
      </c>
      <c r="E12" s="149">
        <f>B3</f>
        <v>2</v>
      </c>
      <c r="G12" s="175">
        <f>384*2</f>
        <v>768</v>
      </c>
      <c r="H12" s="140" t="s">
        <v>111</v>
      </c>
      <c r="I12" s="140"/>
      <c r="J12" s="140"/>
      <c r="K12" s="176"/>
      <c r="M12" s="11" t="s">
        <v>112</v>
      </c>
    </row>
    <row r="13" spans="1:22" x14ac:dyDescent="0.2">
      <c r="A13" s="151" t="s">
        <v>22</v>
      </c>
      <c r="B13" s="152"/>
      <c r="C13" s="153"/>
      <c r="D13" s="154">
        <f>500*1.25</f>
        <v>625</v>
      </c>
      <c r="E13" s="155">
        <f>D13*E$5</f>
        <v>1250</v>
      </c>
      <c r="G13" s="178">
        <f>I8*G12</f>
        <v>24831.999999999975</v>
      </c>
      <c r="H13" s="140" t="s">
        <v>113</v>
      </c>
      <c r="I13" s="140"/>
      <c r="J13" s="140"/>
      <c r="K13" s="176"/>
      <c r="M13" s="140" t="s">
        <v>114</v>
      </c>
    </row>
    <row r="14" spans="1:22" x14ac:dyDescent="0.2">
      <c r="A14" s="160" t="s">
        <v>30</v>
      </c>
      <c r="B14" s="152">
        <v>27.5</v>
      </c>
      <c r="C14" s="153">
        <f>(B14/100*96)*1.25</f>
        <v>33</v>
      </c>
      <c r="D14" s="154">
        <f>C14</f>
        <v>33</v>
      </c>
      <c r="E14" s="155">
        <f>D14*E$5</f>
        <v>66</v>
      </c>
      <c r="G14" s="179" t="s">
        <v>115</v>
      </c>
      <c r="H14" s="140" t="s">
        <v>97</v>
      </c>
      <c r="I14" s="140" t="s">
        <v>116</v>
      </c>
      <c r="J14" s="150" t="s">
        <v>99</v>
      </c>
      <c r="K14" s="180" t="s">
        <v>117</v>
      </c>
      <c r="M14" s="11" t="s">
        <v>118</v>
      </c>
    </row>
    <row r="15" spans="1:22" ht="16" thickBot="1" x14ac:dyDescent="0.25">
      <c r="A15" s="241" t="s">
        <v>32</v>
      </c>
      <c r="B15" s="152">
        <v>1</v>
      </c>
      <c r="C15" s="153">
        <f>(B15/100*96)*1.25</f>
        <v>1.2</v>
      </c>
      <c r="D15" s="154">
        <f>C15</f>
        <v>1.2</v>
      </c>
      <c r="E15" s="155">
        <f>D15*E$5</f>
        <v>2.4</v>
      </c>
      <c r="G15" s="262">
        <f>(J15*K15)/H15</f>
        <v>12.5</v>
      </c>
      <c r="H15" s="185">
        <v>1000</v>
      </c>
      <c r="I15" s="261">
        <f>K15</f>
        <v>25</v>
      </c>
      <c r="J15" s="185">
        <v>500</v>
      </c>
      <c r="K15" s="186">
        <f>ROUNDUP(G13/1000, 0)</f>
        <v>25</v>
      </c>
      <c r="M15" s="11" t="s">
        <v>120</v>
      </c>
      <c r="N15" s="140"/>
      <c r="O15" s="140"/>
    </row>
    <row r="16" spans="1:22" ht="16" thickBot="1" x14ac:dyDescent="0.25">
      <c r="A16" s="172" t="s">
        <v>37</v>
      </c>
      <c r="G16" t="s">
        <v>121</v>
      </c>
      <c r="I16" t="s">
        <v>122</v>
      </c>
      <c r="M16" s="11" t="s">
        <v>123</v>
      </c>
    </row>
    <row r="17" spans="1:25" ht="16" thickBot="1" x14ac:dyDescent="0.25">
      <c r="A17" s="173" t="s">
        <v>22</v>
      </c>
      <c r="B17" s="153">
        <f>450*1.25</f>
        <v>562.5</v>
      </c>
      <c r="C17" s="153">
        <f>B17*(B3 +E12)</f>
        <v>2250</v>
      </c>
      <c r="D17" s="174"/>
      <c r="E17" s="174"/>
      <c r="G17" s="195">
        <v>6</v>
      </c>
      <c r="H17" s="196" t="s">
        <v>91</v>
      </c>
      <c r="I17" s="197"/>
      <c r="J17" s="197"/>
      <c r="K17" s="198"/>
      <c r="M17" s="11"/>
    </row>
    <row r="18" spans="1:25" x14ac:dyDescent="0.2">
      <c r="A18" s="177" t="s">
        <v>38</v>
      </c>
      <c r="B18" s="153">
        <f>(B17/25)*1.25</f>
        <v>28.125</v>
      </c>
      <c r="C18" s="153">
        <f>B18*(B3+E12)</f>
        <v>112.5</v>
      </c>
      <c r="F18" s="140"/>
      <c r="G18" s="201">
        <v>4</v>
      </c>
      <c r="H18" s="144" t="s">
        <v>11</v>
      </c>
      <c r="I18" s="144"/>
      <c r="J18" s="144"/>
      <c r="K18" s="202"/>
      <c r="M18" t="s">
        <v>6</v>
      </c>
    </row>
    <row r="19" spans="1:25" ht="16" thickBot="1" x14ac:dyDescent="0.25">
      <c r="F19" s="140"/>
      <c r="G19" s="205">
        <f>12.5*G18*G17</f>
        <v>300</v>
      </c>
      <c r="H19" s="150" t="s">
        <v>17</v>
      </c>
      <c r="I19" s="150"/>
      <c r="J19" s="150"/>
      <c r="K19" s="206"/>
      <c r="M19" t="s">
        <v>124</v>
      </c>
      <c r="U19" t="s">
        <v>125</v>
      </c>
    </row>
    <row r="20" spans="1:25" ht="16" thickBot="1" x14ac:dyDescent="0.25">
      <c r="A20" s="181" t="s">
        <v>164</v>
      </c>
      <c r="B20" s="182"/>
      <c r="C20" s="182"/>
      <c r="D20" s="183" t="s">
        <v>119</v>
      </c>
      <c r="F20" s="209"/>
      <c r="G20" s="205">
        <f>(G19+0.2*G19)*1.11111111111111</f>
        <v>399.9999999999996</v>
      </c>
      <c r="H20" s="210" t="s">
        <v>93</v>
      </c>
      <c r="I20" s="211"/>
      <c r="J20" s="212"/>
      <c r="K20" s="213"/>
      <c r="M20" t="s">
        <v>126</v>
      </c>
      <c r="U20" s="195">
        <v>6</v>
      </c>
      <c r="V20" s="196" t="s">
        <v>91</v>
      </c>
      <c r="W20" s="197"/>
      <c r="X20" s="197"/>
      <c r="Y20" s="198"/>
    </row>
    <row r="21" spans="1:25" ht="16" thickBot="1" x14ac:dyDescent="0.25">
      <c r="A21" s="187"/>
      <c r="B21" s="188" t="s">
        <v>40</v>
      </c>
      <c r="C21" s="189" t="s">
        <v>41</v>
      </c>
      <c r="D21" s="190">
        <f>384-12</f>
        <v>372</v>
      </c>
      <c r="G21" s="205" t="s">
        <v>96</v>
      </c>
      <c r="H21" s="150" t="s">
        <v>97</v>
      </c>
      <c r="I21" s="150" t="s">
        <v>127</v>
      </c>
      <c r="J21" s="150" t="s">
        <v>99</v>
      </c>
      <c r="K21" s="216" t="s">
        <v>128</v>
      </c>
      <c r="M21" t="s">
        <v>129</v>
      </c>
      <c r="U21" s="201">
        <v>7</v>
      </c>
      <c r="V21" s="144" t="s">
        <v>11</v>
      </c>
      <c r="W21" s="144"/>
      <c r="X21" s="144"/>
      <c r="Y21" s="202"/>
    </row>
    <row r="22" spans="1:25" ht="16" thickBot="1" x14ac:dyDescent="0.25">
      <c r="A22" s="191" t="s">
        <v>42</v>
      </c>
      <c r="B22" s="242">
        <f>0.05/4</f>
        <v>1.2500000000000001E-2</v>
      </c>
      <c r="C22" s="193">
        <f>B22*8</f>
        <v>0.1</v>
      </c>
      <c r="D22" s="194">
        <f>((B22*D21)*0.25)+(B22*D21)</f>
        <v>5.8125</v>
      </c>
      <c r="E22" s="174"/>
      <c r="G22" s="263">
        <f>K22*J22/H22/1000</f>
        <v>0.39999999999999963</v>
      </c>
      <c r="H22" s="218">
        <v>100</v>
      </c>
      <c r="I22" s="264">
        <f>K22-G22</f>
        <v>399.59999999999962</v>
      </c>
      <c r="J22" s="218">
        <v>100</v>
      </c>
      <c r="K22" s="220">
        <f>G20</f>
        <v>399.9999999999996</v>
      </c>
      <c r="M22" t="s">
        <v>248</v>
      </c>
      <c r="U22" s="205">
        <f>25*U21*U20</f>
        <v>1050</v>
      </c>
      <c r="V22" s="150" t="s">
        <v>17</v>
      </c>
      <c r="W22" s="150"/>
      <c r="X22" s="150"/>
      <c r="Y22" s="206"/>
    </row>
    <row r="23" spans="1:25" ht="16" thickBot="1" x14ac:dyDescent="0.25">
      <c r="A23" s="199" t="s">
        <v>43</v>
      </c>
      <c r="B23" s="192">
        <f>(50/12)/4</f>
        <v>1.0416666666666667</v>
      </c>
      <c r="C23" s="193">
        <f>B23*8</f>
        <v>8.3333333333333339</v>
      </c>
      <c r="D23" s="200">
        <f>((B23*D21)*0.25)+(B23*D21)</f>
        <v>484.375</v>
      </c>
      <c r="G23" t="s">
        <v>131</v>
      </c>
      <c r="M23" t="s">
        <v>249</v>
      </c>
      <c r="U23" s="205">
        <f>(U22+0.2*U22)*1.11111111111111</f>
        <v>1399.9999999999986</v>
      </c>
      <c r="V23" s="210" t="s">
        <v>93</v>
      </c>
      <c r="W23" s="211"/>
      <c r="X23" s="212"/>
      <c r="Y23" s="213"/>
    </row>
    <row r="24" spans="1:25" x14ac:dyDescent="0.2">
      <c r="A24" s="203" t="s">
        <v>44</v>
      </c>
      <c r="B24" s="192">
        <f>(50/12)/4</f>
        <v>1.0416666666666667</v>
      </c>
      <c r="C24" s="193">
        <f>B24*8</f>
        <v>8.3333333333333339</v>
      </c>
      <c r="D24" s="204">
        <f>((B24*D21)*0.25)+(B24*D21)</f>
        <v>484.375</v>
      </c>
      <c r="G24" s="157" t="s">
        <v>230</v>
      </c>
      <c r="H24" s="158"/>
      <c r="I24" s="158"/>
      <c r="J24" s="158"/>
      <c r="K24" s="159"/>
      <c r="M24" t="s">
        <v>250</v>
      </c>
      <c r="U24" s="205" t="s">
        <v>96</v>
      </c>
      <c r="V24" s="150" t="s">
        <v>97</v>
      </c>
      <c r="W24" s="150" t="s">
        <v>127</v>
      </c>
      <c r="X24" s="150" t="s">
        <v>99</v>
      </c>
      <c r="Y24" s="216" t="s">
        <v>128</v>
      </c>
    </row>
    <row r="25" spans="1:25" ht="16" thickBot="1" x14ac:dyDescent="0.25">
      <c r="A25" s="207" t="s">
        <v>45</v>
      </c>
      <c r="B25" s="192">
        <f>(500/12)/4</f>
        <v>10.416666666666666</v>
      </c>
      <c r="C25" s="193">
        <f>B25*8</f>
        <v>83.333333333333329</v>
      </c>
      <c r="D25" s="208">
        <f>((B25*D21)*0.25)+(B25*D21)</f>
        <v>4843.75</v>
      </c>
      <c r="G25" s="175">
        <f>384*2</f>
        <v>768</v>
      </c>
      <c r="H25" s="140" t="s">
        <v>111</v>
      </c>
      <c r="I25" s="140"/>
      <c r="J25" s="140"/>
      <c r="K25" s="176"/>
      <c r="M25" t="s">
        <v>252</v>
      </c>
      <c r="U25" s="217">
        <f>Y25*X25/V25/1000</f>
        <v>1</v>
      </c>
      <c r="V25" s="218">
        <v>1000</v>
      </c>
      <c r="W25" s="219">
        <f>Y25-U25</f>
        <v>9</v>
      </c>
      <c r="X25" s="218">
        <v>100000</v>
      </c>
      <c r="Y25" s="220">
        <v>10</v>
      </c>
    </row>
    <row r="26" spans="1:25" ht="16" thickBot="1" x14ac:dyDescent="0.25">
      <c r="A26" s="214"/>
      <c r="B26" s="192"/>
      <c r="C26" s="193"/>
      <c r="D26" s="215"/>
      <c r="G26" s="178">
        <f>I8*G25</f>
        <v>24831.999999999975</v>
      </c>
      <c r="H26" s="140" t="s">
        <v>113</v>
      </c>
      <c r="I26" s="140"/>
      <c r="J26" s="140"/>
      <c r="K26" s="176"/>
      <c r="M26" s="221" t="s">
        <v>132</v>
      </c>
      <c r="N26" s="140"/>
    </row>
    <row r="27" spans="1:25" ht="16" thickBot="1" x14ac:dyDescent="0.25">
      <c r="A27" s="181" t="s">
        <v>165</v>
      </c>
      <c r="B27" s="182"/>
      <c r="C27" s="182"/>
      <c r="D27" s="183" t="s">
        <v>119</v>
      </c>
      <c r="E27" s="222"/>
      <c r="F27" s="222"/>
      <c r="G27" s="179" t="s">
        <v>133</v>
      </c>
      <c r="H27" s="140" t="s">
        <v>97</v>
      </c>
      <c r="I27" s="140" t="s">
        <v>116</v>
      </c>
      <c r="J27" s="150" t="s">
        <v>99</v>
      </c>
      <c r="K27" s="180" t="s">
        <v>117</v>
      </c>
      <c r="M27" s="221" t="s">
        <v>229</v>
      </c>
      <c r="N27" s="140"/>
    </row>
    <row r="28" spans="1:25" ht="16" thickBot="1" x14ac:dyDescent="0.25">
      <c r="A28" s="187"/>
      <c r="B28" s="188" t="s">
        <v>40</v>
      </c>
      <c r="C28" s="189" t="s">
        <v>41</v>
      </c>
      <c r="D28" s="190">
        <f>D21</f>
        <v>372</v>
      </c>
      <c r="E28" s="222"/>
      <c r="F28" s="222"/>
      <c r="G28" s="184">
        <f>(J28*K28)/H28</f>
        <v>2.5</v>
      </c>
      <c r="H28" s="185">
        <v>10</v>
      </c>
      <c r="I28" s="261">
        <f>K28</f>
        <v>25</v>
      </c>
      <c r="J28" s="185">
        <v>1</v>
      </c>
      <c r="K28" s="186">
        <f>ROUNDUP(G26/1000, 0)</f>
        <v>25</v>
      </c>
      <c r="M28" s="221" t="s">
        <v>134</v>
      </c>
    </row>
    <row r="29" spans="1:25" ht="16" thickBot="1" x14ac:dyDescent="0.25">
      <c r="A29" s="191" t="s">
        <v>42</v>
      </c>
      <c r="B29" s="242">
        <f>(3.75/100)/4</f>
        <v>9.3749999999999997E-3</v>
      </c>
      <c r="C29" s="193">
        <f>B29*8</f>
        <v>7.4999999999999997E-2</v>
      </c>
      <c r="D29" s="194">
        <f>((B29*D28)*0.25)+(B29*D28)</f>
        <v>4.359375</v>
      </c>
      <c r="E29" s="222"/>
      <c r="F29" s="222"/>
      <c r="L29" t="s">
        <v>135</v>
      </c>
      <c r="M29" s="221" t="s">
        <v>136</v>
      </c>
    </row>
    <row r="30" spans="1:25" x14ac:dyDescent="0.2">
      <c r="A30" s="199" t="s">
        <v>43</v>
      </c>
      <c r="B30" s="192">
        <f>(50/12)/4</f>
        <v>1.0416666666666667</v>
      </c>
      <c r="C30" s="193">
        <f>B30*8</f>
        <v>8.3333333333333339</v>
      </c>
      <c r="D30" s="200">
        <f>((B30*D28)*0.25)+(B30*D28)</f>
        <v>484.375</v>
      </c>
      <c r="G30" s="223"/>
      <c r="H30" s="158" t="s">
        <v>52</v>
      </c>
      <c r="I30" s="158" t="s">
        <v>202</v>
      </c>
      <c r="J30" s="158" t="s">
        <v>137</v>
      </c>
      <c r="K30" s="159"/>
      <c r="M30" s="221" t="s">
        <v>251</v>
      </c>
    </row>
    <row r="31" spans="1:25" x14ac:dyDescent="0.2">
      <c r="A31" s="203" t="s">
        <v>44</v>
      </c>
      <c r="B31" s="192">
        <f>(50/12)/4</f>
        <v>1.0416666666666667</v>
      </c>
      <c r="C31" s="193">
        <f>B31*8</f>
        <v>8.3333333333333339</v>
      </c>
      <c r="D31" s="204">
        <f>((B31*D28)*0.25)+(B31*D28)</f>
        <v>484.375</v>
      </c>
      <c r="F31" s="224"/>
      <c r="G31" s="225" t="s">
        <v>139</v>
      </c>
      <c r="H31" s="12">
        <v>999</v>
      </c>
      <c r="I31" s="140" t="s">
        <v>167</v>
      </c>
      <c r="J31" s="140" t="s">
        <v>146</v>
      </c>
      <c r="K31" s="176"/>
      <c r="M31" s="221" t="s">
        <v>140</v>
      </c>
      <c r="N31" s="221"/>
      <c r="O31" s="221"/>
    </row>
    <row r="32" spans="1:25" x14ac:dyDescent="0.2">
      <c r="A32" s="207" t="s">
        <v>45</v>
      </c>
      <c r="B32" s="192">
        <f>(500/12)/4</f>
        <v>10.416666666666666</v>
      </c>
      <c r="C32" s="193">
        <f>B32*8</f>
        <v>83.333333333333329</v>
      </c>
      <c r="D32" s="208">
        <f>((B32*D28)*0.25)+(B32*D28)</f>
        <v>4843.75</v>
      </c>
      <c r="F32" s="224"/>
      <c r="G32" s="226" t="s">
        <v>141</v>
      </c>
      <c r="H32" s="12">
        <v>830</v>
      </c>
      <c r="I32" s="140" t="s">
        <v>167</v>
      </c>
      <c r="J32" s="140" t="s">
        <v>19</v>
      </c>
      <c r="K32" s="176"/>
      <c r="M32" s="221" t="s">
        <v>142</v>
      </c>
    </row>
    <row r="33" spans="1:23" ht="16" thickBot="1" x14ac:dyDescent="0.25">
      <c r="A33" s="214"/>
      <c r="B33" s="192"/>
      <c r="C33" s="193"/>
      <c r="D33" s="215"/>
      <c r="F33" s="224"/>
      <c r="G33" s="225" t="s">
        <v>143</v>
      </c>
      <c r="H33" s="12">
        <v>999</v>
      </c>
      <c r="I33" s="140" t="s">
        <v>63</v>
      </c>
      <c r="J33" s="140" t="s">
        <v>146</v>
      </c>
      <c r="K33" s="176"/>
      <c r="N33" t="s">
        <v>144</v>
      </c>
    </row>
    <row r="34" spans="1:23" ht="16" thickBot="1" x14ac:dyDescent="0.25">
      <c r="A34" s="181" t="s">
        <v>130</v>
      </c>
      <c r="B34" s="182" t="s">
        <v>166</v>
      </c>
      <c r="C34" s="182"/>
      <c r="D34" s="183" t="s">
        <v>119</v>
      </c>
      <c r="F34" s="224"/>
      <c r="G34" s="226" t="s">
        <v>145</v>
      </c>
      <c r="H34" s="12">
        <v>830</v>
      </c>
      <c r="I34" s="140" t="s">
        <v>63</v>
      </c>
      <c r="J34" s="140" t="s">
        <v>19</v>
      </c>
      <c r="K34" s="176"/>
      <c r="M34" t="s">
        <v>147</v>
      </c>
    </row>
    <row r="35" spans="1:23" ht="16" thickBot="1" x14ac:dyDescent="0.25">
      <c r="A35" s="187"/>
      <c r="B35" s="188" t="s">
        <v>40</v>
      </c>
      <c r="C35" s="189" t="s">
        <v>41</v>
      </c>
      <c r="D35" s="190">
        <v>24</v>
      </c>
      <c r="F35" s="140"/>
      <c r="G35" s="226"/>
      <c r="H35" s="12"/>
      <c r="I35" s="140"/>
      <c r="J35" s="140"/>
      <c r="K35" s="176"/>
      <c r="M35" t="s">
        <v>148</v>
      </c>
    </row>
    <row r="36" spans="1:23" x14ac:dyDescent="0.2">
      <c r="A36" s="191" t="s">
        <v>42</v>
      </c>
      <c r="B36" s="242">
        <f>0.05/4</f>
        <v>1.2500000000000001E-2</v>
      </c>
      <c r="C36" s="193">
        <f>B36*8</f>
        <v>0.1</v>
      </c>
      <c r="D36" s="194">
        <f>((B36*D35)*0.25)+(B36*D35)</f>
        <v>0.37500000000000006</v>
      </c>
      <c r="G36" s="226"/>
      <c r="H36" s="12"/>
      <c r="I36" s="140"/>
      <c r="J36" s="140"/>
      <c r="K36" s="176"/>
    </row>
    <row r="37" spans="1:23" ht="16" thickBot="1" x14ac:dyDescent="0.25">
      <c r="A37" s="199" t="s">
        <v>43</v>
      </c>
      <c r="B37" s="192">
        <f>(50/12)/4</f>
        <v>1.0416666666666667</v>
      </c>
      <c r="C37" s="193">
        <f>B37*8</f>
        <v>8.3333333333333339</v>
      </c>
      <c r="D37" s="200">
        <f>((B37*D35)*0.25)+(B37*D35)</f>
        <v>31.25</v>
      </c>
      <c r="G37" s="227"/>
      <c r="H37" s="228"/>
      <c r="I37" s="229"/>
      <c r="J37" s="161"/>
      <c r="K37" s="186"/>
    </row>
    <row r="38" spans="1:23" ht="16" thickBot="1" x14ac:dyDescent="0.25">
      <c r="A38" s="203" t="s">
        <v>44</v>
      </c>
      <c r="B38" s="192">
        <f>(50/12)/4</f>
        <v>1.0416666666666667</v>
      </c>
      <c r="C38" s="193">
        <f>B38*8</f>
        <v>8.3333333333333339</v>
      </c>
      <c r="D38" s="204">
        <f>((B38*D35)*0.25)+(B38*D35)</f>
        <v>31.25</v>
      </c>
      <c r="G38" s="226" t="s">
        <v>149</v>
      </c>
    </row>
    <row r="39" spans="1:23" x14ac:dyDescent="0.2">
      <c r="A39" s="207" t="s">
        <v>45</v>
      </c>
      <c r="B39" s="192">
        <f>(500/12)/4</f>
        <v>10.416666666666666</v>
      </c>
      <c r="C39" s="193">
        <f>B39*8</f>
        <v>83.333333333333329</v>
      </c>
      <c r="D39" s="208">
        <f>((B39*D35)*0.25)+(B39*D35)</f>
        <v>312.5</v>
      </c>
      <c r="G39" s="230" t="s">
        <v>150</v>
      </c>
      <c r="H39" s="231"/>
      <c r="I39" s="231"/>
      <c r="J39" s="231" t="s">
        <v>151</v>
      </c>
      <c r="K39" s="231"/>
      <c r="L39" s="232"/>
    </row>
    <row r="40" spans="1:23" ht="16" thickBot="1" x14ac:dyDescent="0.25">
      <c r="A40" s="214"/>
      <c r="B40" s="192"/>
      <c r="C40" s="193"/>
      <c r="D40" s="215"/>
      <c r="G40" s="233" t="s">
        <v>3</v>
      </c>
      <c r="H40" s="12">
        <v>830</v>
      </c>
      <c r="I40" s="13" t="s">
        <v>4</v>
      </c>
      <c r="J40" s="150" t="s">
        <v>19</v>
      </c>
      <c r="K40" s="150">
        <v>817</v>
      </c>
      <c r="L40" s="234" t="s">
        <v>18</v>
      </c>
    </row>
    <row r="41" spans="1:23" ht="16" thickBot="1" x14ac:dyDescent="0.25">
      <c r="A41" s="181" t="s">
        <v>130</v>
      </c>
      <c r="B41" s="182" t="s">
        <v>167</v>
      </c>
      <c r="C41" s="182"/>
      <c r="D41" s="183" t="s">
        <v>119</v>
      </c>
      <c r="G41" s="235" t="s">
        <v>152</v>
      </c>
      <c r="H41" s="150"/>
      <c r="I41" s="236" t="s">
        <v>153</v>
      </c>
      <c r="J41" s="133" t="s">
        <v>146</v>
      </c>
      <c r="K41" s="150">
        <v>77</v>
      </c>
      <c r="L41" s="234" t="s">
        <v>154</v>
      </c>
      <c r="N41" t="s">
        <v>155</v>
      </c>
    </row>
    <row r="42" spans="1:23" ht="16" thickBot="1" x14ac:dyDescent="0.25">
      <c r="A42" s="187"/>
      <c r="B42" s="188" t="s">
        <v>40</v>
      </c>
      <c r="C42" s="189" t="s">
        <v>41</v>
      </c>
      <c r="D42" s="190">
        <f>24</f>
        <v>24</v>
      </c>
      <c r="G42" s="237" t="s">
        <v>56</v>
      </c>
      <c r="H42" s="219">
        <v>999</v>
      </c>
      <c r="I42" s="219" t="s">
        <v>153</v>
      </c>
      <c r="J42" s="100" t="s">
        <v>156</v>
      </c>
      <c r="K42" s="219">
        <v>1</v>
      </c>
      <c r="L42" s="238" t="s">
        <v>157</v>
      </c>
      <c r="N42" s="239" t="s">
        <v>158</v>
      </c>
      <c r="O42" s="158"/>
      <c r="P42" s="158"/>
      <c r="Q42" s="159"/>
    </row>
    <row r="43" spans="1:23" x14ac:dyDescent="0.2">
      <c r="A43" s="191" t="s">
        <v>42</v>
      </c>
      <c r="B43" s="242">
        <f>(3.75/100)/4</f>
        <v>9.3749999999999997E-3</v>
      </c>
      <c r="C43" s="193">
        <f>B43*8</f>
        <v>7.4999999999999997E-2</v>
      </c>
      <c r="D43" s="194">
        <f>((B43*D42)*0.25)+(B43*D42)</f>
        <v>0.28125</v>
      </c>
      <c r="G43" s="140"/>
      <c r="H43" s="140"/>
      <c r="I43" s="140"/>
      <c r="J43" s="140"/>
      <c r="K43" s="140"/>
      <c r="N43" s="226" t="s">
        <v>159</v>
      </c>
      <c r="O43" s="140"/>
      <c r="P43" s="140"/>
      <c r="Q43" s="176"/>
    </row>
    <row r="44" spans="1:23" ht="16" thickBot="1" x14ac:dyDescent="0.25">
      <c r="A44" s="199" t="s">
        <v>43</v>
      </c>
      <c r="B44" s="192">
        <f>(50/12)/4</f>
        <v>1.0416666666666667</v>
      </c>
      <c r="C44" s="193">
        <f>B44*8</f>
        <v>8.3333333333333339</v>
      </c>
      <c r="D44" s="200">
        <f>((B44*D42)*0.25)+(B44*D42)</f>
        <v>31.25</v>
      </c>
      <c r="N44" s="240" t="s">
        <v>160</v>
      </c>
      <c r="O44" s="161"/>
      <c r="P44" s="161"/>
      <c r="Q44" s="186"/>
    </row>
    <row r="45" spans="1:23" ht="16" thickBot="1" x14ac:dyDescent="0.25">
      <c r="A45" s="203" t="s">
        <v>44</v>
      </c>
      <c r="B45" s="192">
        <f>(50/12)/4</f>
        <v>1.0416666666666667</v>
      </c>
      <c r="C45" s="193">
        <f>B45*8</f>
        <v>8.3333333333333339</v>
      </c>
      <c r="D45" s="204">
        <f>((B45*D42)*0.25)+(B45*D42)</f>
        <v>31.25</v>
      </c>
      <c r="G45" t="s">
        <v>231</v>
      </c>
    </row>
    <row r="46" spans="1:23" x14ac:dyDescent="0.2">
      <c r="A46" s="207" t="s">
        <v>45</v>
      </c>
      <c r="B46" s="192">
        <f>(500/12)/4</f>
        <v>10.416666666666666</v>
      </c>
      <c r="C46" s="193">
        <f>B46*8</f>
        <v>83.333333333333329</v>
      </c>
      <c r="D46" s="208">
        <f>((B46*D42)*0.25)+(B46*D42)</f>
        <v>312.5</v>
      </c>
      <c r="G46" t="s">
        <v>244</v>
      </c>
      <c r="S46" s="265"/>
      <c r="T46" s="266"/>
      <c r="U46" s="74"/>
      <c r="V46" s="74"/>
      <c r="W46" s="267"/>
    </row>
    <row r="47" spans="1:23" ht="16" thickBot="1" x14ac:dyDescent="0.25">
      <c r="A47" s="214"/>
      <c r="B47" s="192"/>
      <c r="C47" s="193"/>
      <c r="D47" s="215"/>
      <c r="S47" s="268"/>
      <c r="T47" s="133"/>
      <c r="U47" s="133"/>
      <c r="V47" s="133"/>
      <c r="W47" s="22"/>
    </row>
    <row r="48" spans="1:23" ht="16" thickBot="1" x14ac:dyDescent="0.25">
      <c r="A48" s="181" t="s">
        <v>138</v>
      </c>
      <c r="B48" s="182" t="s">
        <v>166</v>
      </c>
      <c r="C48" s="182"/>
      <c r="D48" s="183" t="s">
        <v>119</v>
      </c>
      <c r="F48" s="255"/>
      <c r="S48" s="268"/>
      <c r="T48" s="259"/>
      <c r="U48" s="133"/>
      <c r="V48" s="133"/>
      <c r="W48" s="22"/>
    </row>
    <row r="49" spans="1:23" ht="16" thickBot="1" x14ac:dyDescent="0.25">
      <c r="A49" s="187"/>
      <c r="B49" s="188" t="s">
        <v>40</v>
      </c>
      <c r="C49" s="189" t="s">
        <v>41</v>
      </c>
      <c r="D49" s="190">
        <f>D21</f>
        <v>372</v>
      </c>
      <c r="S49" s="268"/>
      <c r="T49" s="20"/>
      <c r="U49" s="133"/>
      <c r="V49" s="133"/>
      <c r="W49" s="22"/>
    </row>
    <row r="50" spans="1:23" ht="16" thickBot="1" x14ac:dyDescent="0.25">
      <c r="A50" s="191" t="s">
        <v>42</v>
      </c>
      <c r="B50" s="242">
        <f>0.05/4</f>
        <v>1.2500000000000001E-2</v>
      </c>
      <c r="C50" s="193">
        <f>B50*8</f>
        <v>0.1</v>
      </c>
      <c r="D50" s="194">
        <f>((B50*D49)*0.25)+(B50*D49)</f>
        <v>5.8125</v>
      </c>
      <c r="G50" t="s">
        <v>245</v>
      </c>
      <c r="S50" s="269"/>
      <c r="T50" s="100"/>
      <c r="U50" s="270"/>
      <c r="V50" s="100"/>
      <c r="W50" s="271"/>
    </row>
    <row r="51" spans="1:23" x14ac:dyDescent="0.2">
      <c r="A51" s="199" t="s">
        <v>43</v>
      </c>
      <c r="B51" s="192">
        <f>(50/12)/4</f>
        <v>1.0416666666666667</v>
      </c>
      <c r="C51" s="193">
        <f>B51*8</f>
        <v>8.3333333333333339</v>
      </c>
      <c r="D51" s="200">
        <f>((B51*D49)*0.25)+(B51*D49)</f>
        <v>484.375</v>
      </c>
      <c r="G51" s="77" t="s">
        <v>74</v>
      </c>
      <c r="H51" s="133"/>
      <c r="I51" s="133"/>
      <c r="J51" s="133"/>
      <c r="K51" s="133"/>
      <c r="M51" s="77" t="s">
        <v>247</v>
      </c>
      <c r="N51" s="133"/>
      <c r="O51" s="133"/>
      <c r="P51" s="133"/>
      <c r="Q51" s="133"/>
    </row>
    <row r="52" spans="1:23" x14ac:dyDescent="0.2">
      <c r="A52" s="203" t="s">
        <v>44</v>
      </c>
      <c r="B52" s="192">
        <f>(50/12)/4</f>
        <v>1.0416666666666667</v>
      </c>
      <c r="C52" s="193">
        <f>B52*8</f>
        <v>8.3333333333333339</v>
      </c>
      <c r="D52" s="204">
        <f>((B52*D49)*0.25)+(B52*D49)</f>
        <v>484.375</v>
      </c>
      <c r="G52" s="78">
        <v>3</v>
      </c>
      <c r="H52" s="20" t="s">
        <v>70</v>
      </c>
      <c r="I52" s="133"/>
      <c r="J52" s="133"/>
      <c r="K52" s="133"/>
      <c r="M52" s="78">
        <v>3</v>
      </c>
      <c r="N52" s="20" t="s">
        <v>70</v>
      </c>
      <c r="O52" s="133"/>
      <c r="P52" s="133"/>
      <c r="Q52" s="133"/>
    </row>
    <row r="53" spans="1:23" x14ac:dyDescent="0.2">
      <c r="A53" s="207" t="s">
        <v>45</v>
      </c>
      <c r="B53" s="192">
        <f>(500/12)/4</f>
        <v>10.416666666666666</v>
      </c>
      <c r="C53" s="193">
        <f>B53*8</f>
        <v>83.333333333333329</v>
      </c>
      <c r="D53" s="208">
        <f>((B53*D49)*0.25)+(B53*D49)</f>
        <v>4843.75</v>
      </c>
      <c r="G53" s="78">
        <v>2</v>
      </c>
      <c r="H53" s="133" t="s">
        <v>11</v>
      </c>
      <c r="I53" s="133"/>
      <c r="J53" s="133"/>
      <c r="K53" s="133"/>
      <c r="M53" s="78">
        <v>2</v>
      </c>
      <c r="N53" s="133" t="s">
        <v>11</v>
      </c>
      <c r="O53" s="133"/>
      <c r="P53" s="133"/>
      <c r="Q53" s="133"/>
    </row>
    <row r="54" spans="1:23" ht="16" thickBot="1" x14ac:dyDescent="0.25">
      <c r="A54" s="214"/>
      <c r="B54" s="192"/>
      <c r="C54" s="193"/>
      <c r="D54" s="215"/>
      <c r="G54" s="133">
        <f>25*G53*G52</f>
        <v>150</v>
      </c>
      <c r="H54" s="133" t="s">
        <v>17</v>
      </c>
      <c r="I54" s="133"/>
      <c r="J54" s="133"/>
      <c r="K54" s="133"/>
      <c r="M54" s="133">
        <f>25*M53*M52</f>
        <v>150</v>
      </c>
      <c r="N54" s="133" t="s">
        <v>17</v>
      </c>
      <c r="O54" s="133"/>
      <c r="P54" s="133"/>
      <c r="Q54" s="133"/>
    </row>
    <row r="55" spans="1:23" ht="16" thickBot="1" x14ac:dyDescent="0.25">
      <c r="A55" s="181" t="s">
        <v>138</v>
      </c>
      <c r="B55" s="182" t="s">
        <v>168</v>
      </c>
      <c r="C55" s="182"/>
      <c r="D55" s="183" t="s">
        <v>119</v>
      </c>
      <c r="G55" s="133">
        <f>(G54+0.2*G54)*1.5</f>
        <v>270</v>
      </c>
      <c r="H55" s="20" t="s">
        <v>23</v>
      </c>
      <c r="I55" s="133"/>
      <c r="J55" s="133"/>
      <c r="K55" s="133"/>
      <c r="M55" s="133">
        <f>(M54+0.2*M54)*1.5</f>
        <v>270</v>
      </c>
      <c r="N55" s="20" t="s">
        <v>23</v>
      </c>
      <c r="O55" s="133"/>
      <c r="P55" s="133"/>
      <c r="Q55" s="133"/>
    </row>
    <row r="56" spans="1:23" ht="16" thickBot="1" x14ac:dyDescent="0.25">
      <c r="A56" s="187"/>
      <c r="B56" s="188" t="s">
        <v>40</v>
      </c>
      <c r="C56" s="189" t="s">
        <v>41</v>
      </c>
      <c r="D56" s="190">
        <f>D28</f>
        <v>372</v>
      </c>
      <c r="G56" s="133" t="s">
        <v>73</v>
      </c>
      <c r="H56" s="133" t="s">
        <v>71</v>
      </c>
      <c r="I56" s="133" t="s">
        <v>76</v>
      </c>
      <c r="J56" s="133" t="s">
        <v>72</v>
      </c>
      <c r="K56" s="133" t="s">
        <v>27</v>
      </c>
      <c r="M56" s="133" t="s">
        <v>73</v>
      </c>
      <c r="N56" s="133" t="s">
        <v>71</v>
      </c>
      <c r="O56" s="133" t="s">
        <v>76</v>
      </c>
      <c r="P56" s="133" t="s">
        <v>72</v>
      </c>
      <c r="Q56" s="133" t="s">
        <v>27</v>
      </c>
    </row>
    <row r="57" spans="1:23" x14ac:dyDescent="0.2">
      <c r="A57" s="191" t="s">
        <v>42</v>
      </c>
      <c r="B57" s="242">
        <f>B43</f>
        <v>9.3749999999999997E-3</v>
      </c>
      <c r="C57" s="193">
        <f>B57*8</f>
        <v>7.4999999999999997E-2</v>
      </c>
      <c r="D57" s="194">
        <f>((B57*D56)*0.25)+(B57*D56)</f>
        <v>4.359375</v>
      </c>
      <c r="G57" s="133">
        <f>K57*J57/H57/1000</f>
        <v>0.27</v>
      </c>
      <c r="H57" s="78">
        <v>1000</v>
      </c>
      <c r="I57" s="133">
        <f>K57-G57</f>
        <v>269.73</v>
      </c>
      <c r="J57" s="78">
        <v>1000</v>
      </c>
      <c r="K57" s="133">
        <f>G55</f>
        <v>270</v>
      </c>
      <c r="M57" s="133">
        <f>Q57*P57/N57/1000</f>
        <v>0.27</v>
      </c>
      <c r="N57" s="78">
        <v>10</v>
      </c>
      <c r="O57" s="133">
        <f>Q57-M57</f>
        <v>269.73</v>
      </c>
      <c r="P57" s="78">
        <v>10</v>
      </c>
      <c r="Q57" s="133">
        <f>M55</f>
        <v>270</v>
      </c>
    </row>
    <row r="58" spans="1:23" x14ac:dyDescent="0.2">
      <c r="A58" s="199" t="s">
        <v>43</v>
      </c>
      <c r="B58" s="192">
        <f>(50/12)/4</f>
        <v>1.0416666666666667</v>
      </c>
      <c r="C58" s="193">
        <f>B58*8</f>
        <v>8.3333333333333339</v>
      </c>
      <c r="D58" s="200">
        <f>((B58*D56)*0.25)+(B58*D56)</f>
        <v>484.375</v>
      </c>
      <c r="G58" s="275" t="s">
        <v>75</v>
      </c>
      <c r="H58" s="275"/>
      <c r="I58" s="133" t="s">
        <v>76</v>
      </c>
      <c r="J58" s="133"/>
      <c r="K58" s="133"/>
      <c r="M58" s="275" t="s">
        <v>75</v>
      </c>
      <c r="N58" s="275"/>
      <c r="O58" s="133" t="s">
        <v>76</v>
      </c>
      <c r="P58" s="133"/>
      <c r="Q58" s="133"/>
    </row>
    <row r="59" spans="1:23" x14ac:dyDescent="0.2">
      <c r="A59" s="203" t="s">
        <v>44</v>
      </c>
      <c r="B59" s="192">
        <f>(50/12)/4</f>
        <v>1.0416666666666667</v>
      </c>
      <c r="C59" s="193">
        <f>B59*8</f>
        <v>8.3333333333333339</v>
      </c>
      <c r="D59" s="204">
        <f>((B59*D56)*0.25)+(B59*D56)</f>
        <v>484.375</v>
      </c>
      <c r="G59" s="133">
        <f>K57/3</f>
        <v>90</v>
      </c>
      <c r="H59" s="133" t="s">
        <v>33</v>
      </c>
      <c r="I59" s="133">
        <f>K57*2/3</f>
        <v>180</v>
      </c>
      <c r="J59" s="133"/>
      <c r="K59" s="133"/>
      <c r="M59" s="133">
        <f>Q57/3</f>
        <v>90</v>
      </c>
      <c r="N59" s="133" t="s">
        <v>33</v>
      </c>
      <c r="O59" s="133">
        <f>Q57*2/3</f>
        <v>180</v>
      </c>
      <c r="P59" s="133"/>
      <c r="Q59" s="133"/>
    </row>
    <row r="60" spans="1:23" x14ac:dyDescent="0.2">
      <c r="A60" s="207" t="s">
        <v>45</v>
      </c>
      <c r="B60" s="192">
        <f>(500/12)/4</f>
        <v>10.416666666666666</v>
      </c>
      <c r="C60" s="193">
        <f>B60*8</f>
        <v>83.333333333333329</v>
      </c>
      <c r="D60" s="208">
        <f>((B60*D56)*0.25)+(B60*D56)</f>
        <v>4843.75</v>
      </c>
      <c r="G60" t="s">
        <v>246</v>
      </c>
    </row>
    <row r="61" spans="1:23" ht="16" thickBot="1" x14ac:dyDescent="0.25">
      <c r="A61" s="214"/>
      <c r="B61" s="192"/>
      <c r="C61" s="193"/>
      <c r="D61" s="215"/>
    </row>
    <row r="64" spans="1:23" ht="16" thickBot="1" x14ac:dyDescent="0.25">
      <c r="A64" t="s">
        <v>201</v>
      </c>
    </row>
    <row r="65" spans="1:24" x14ac:dyDescent="0.2">
      <c r="A65" s="243"/>
      <c r="B65" s="244" t="s">
        <v>169</v>
      </c>
      <c r="C65" s="244" t="s">
        <v>170</v>
      </c>
      <c r="D65" s="244" t="s">
        <v>171</v>
      </c>
      <c r="E65" s="244" t="s">
        <v>172</v>
      </c>
      <c r="F65" s="244" t="s">
        <v>173</v>
      </c>
      <c r="G65" s="244" t="s">
        <v>174</v>
      </c>
      <c r="H65" s="244" t="s">
        <v>175</v>
      </c>
      <c r="I65" s="245" t="s">
        <v>176</v>
      </c>
      <c r="J65" s="246"/>
      <c r="K65" s="246"/>
      <c r="L65" s="246"/>
      <c r="M65" s="246"/>
      <c r="N65" s="246"/>
      <c r="O65" s="243"/>
      <c r="P65" s="244" t="s">
        <v>169</v>
      </c>
      <c r="Q65" s="244" t="s">
        <v>170</v>
      </c>
      <c r="R65" s="244" t="s">
        <v>171</v>
      </c>
      <c r="S65" s="244" t="s">
        <v>172</v>
      </c>
      <c r="T65" s="244" t="s">
        <v>173</v>
      </c>
      <c r="U65" s="244" t="s">
        <v>174</v>
      </c>
      <c r="V65" s="244" t="s">
        <v>175</v>
      </c>
      <c r="W65" s="245" t="s">
        <v>176</v>
      </c>
      <c r="X65" s="246"/>
    </row>
    <row r="66" spans="1:24" x14ac:dyDescent="0.2">
      <c r="A66" s="247" t="s">
        <v>177</v>
      </c>
      <c r="B66" s="276" t="s">
        <v>178</v>
      </c>
      <c r="C66" s="276"/>
      <c r="D66" s="277" t="s">
        <v>179</v>
      </c>
      <c r="E66" s="277"/>
      <c r="F66" s="278" t="s">
        <v>180</v>
      </c>
      <c r="G66" s="278"/>
      <c r="H66" s="248" t="s">
        <v>181</v>
      </c>
      <c r="I66" s="249" t="s">
        <v>182</v>
      </c>
      <c r="J66" s="279" t="s">
        <v>183</v>
      </c>
      <c r="K66" s="49"/>
      <c r="L66" s="49"/>
      <c r="M66" s="49"/>
      <c r="N66" s="49"/>
      <c r="O66" s="247" t="s">
        <v>177</v>
      </c>
      <c r="P66" s="276" t="s">
        <v>178</v>
      </c>
      <c r="Q66" s="276"/>
      <c r="R66" s="277" t="s">
        <v>179</v>
      </c>
      <c r="S66" s="277"/>
      <c r="T66" s="278" t="s">
        <v>184</v>
      </c>
      <c r="U66" s="278"/>
      <c r="V66" s="248" t="s">
        <v>181</v>
      </c>
      <c r="W66" s="249" t="s">
        <v>182</v>
      </c>
      <c r="X66" s="49"/>
    </row>
    <row r="67" spans="1:24" x14ac:dyDescent="0.2">
      <c r="A67" s="247" t="s">
        <v>185</v>
      </c>
      <c r="B67" s="250"/>
      <c r="C67" s="250"/>
      <c r="D67" s="250"/>
      <c r="E67" s="250"/>
      <c r="F67" s="250"/>
      <c r="G67" s="250"/>
      <c r="H67" s="250"/>
      <c r="I67" s="250"/>
      <c r="J67" s="279"/>
      <c r="K67" s="11"/>
      <c r="L67" s="11"/>
      <c r="M67" s="11"/>
      <c r="N67" s="11"/>
      <c r="O67" s="247" t="s">
        <v>185</v>
      </c>
      <c r="P67" s="250"/>
      <c r="Q67" s="250"/>
      <c r="R67" s="250"/>
      <c r="S67" s="250"/>
      <c r="T67" s="250"/>
      <c r="U67" s="250"/>
      <c r="V67" s="250"/>
      <c r="W67" s="250"/>
      <c r="X67" s="279" t="s">
        <v>186</v>
      </c>
    </row>
    <row r="68" spans="1:24" x14ac:dyDescent="0.2">
      <c r="A68" s="247" t="s">
        <v>187</v>
      </c>
      <c r="B68" s="250"/>
      <c r="C68" s="250"/>
      <c r="D68" s="250"/>
      <c r="E68" s="250"/>
      <c r="F68" s="250"/>
      <c r="G68" s="250"/>
      <c r="H68" s="250"/>
      <c r="I68" s="251"/>
      <c r="J68" s="279"/>
      <c r="K68" s="11"/>
      <c r="L68" s="11"/>
      <c r="M68" s="11"/>
      <c r="N68" s="11"/>
      <c r="O68" s="247" t="s">
        <v>187</v>
      </c>
      <c r="P68" s="250"/>
      <c r="Q68" s="250"/>
      <c r="R68" s="250"/>
      <c r="S68" s="250"/>
      <c r="T68" s="250"/>
      <c r="U68" s="250"/>
      <c r="V68" s="250"/>
      <c r="W68" s="251"/>
      <c r="X68" s="279"/>
    </row>
    <row r="69" spans="1:24" x14ac:dyDescent="0.2">
      <c r="A69" s="247" t="s">
        <v>188</v>
      </c>
      <c r="B69" s="250"/>
      <c r="C69" s="250"/>
      <c r="D69" s="250"/>
      <c r="E69" s="250"/>
      <c r="F69" s="250"/>
      <c r="G69" s="250"/>
      <c r="H69" s="250"/>
      <c r="I69" s="251"/>
      <c r="J69" s="279"/>
      <c r="K69" s="11"/>
      <c r="L69" s="11"/>
      <c r="M69" s="11"/>
      <c r="N69" s="11"/>
      <c r="O69" s="247" t="s">
        <v>188</v>
      </c>
      <c r="P69" s="250"/>
      <c r="Q69" s="250"/>
      <c r="R69" s="250"/>
      <c r="S69" s="250"/>
      <c r="T69" s="250"/>
      <c r="U69" s="250"/>
      <c r="V69" s="250"/>
      <c r="W69" s="251"/>
      <c r="X69" s="279"/>
    </row>
    <row r="70" spans="1:24" x14ac:dyDescent="0.2">
      <c r="A70" s="247" t="s">
        <v>189</v>
      </c>
      <c r="B70" s="250"/>
      <c r="C70" s="250"/>
      <c r="D70" s="250"/>
      <c r="E70" s="250"/>
      <c r="F70" s="250"/>
      <c r="G70" s="250"/>
      <c r="H70" s="250"/>
      <c r="I70" s="251"/>
      <c r="J70" s="279"/>
      <c r="K70" s="11"/>
      <c r="L70" s="11"/>
      <c r="M70" s="11"/>
      <c r="N70" s="11"/>
      <c r="O70" s="247" t="s">
        <v>189</v>
      </c>
      <c r="P70" s="250"/>
      <c r="Q70" s="250"/>
      <c r="R70" s="250"/>
      <c r="S70" s="250"/>
      <c r="T70" s="250"/>
      <c r="U70" s="250"/>
      <c r="V70" s="250"/>
      <c r="W70" s="251"/>
      <c r="X70" s="279"/>
    </row>
    <row r="71" spans="1:24" x14ac:dyDescent="0.2">
      <c r="A71" s="247" t="s">
        <v>190</v>
      </c>
      <c r="B71" s="250"/>
      <c r="C71" s="250"/>
      <c r="D71" s="250"/>
      <c r="E71" s="250"/>
      <c r="F71" s="250"/>
      <c r="G71" s="250"/>
      <c r="H71" s="250"/>
      <c r="I71" s="251"/>
      <c r="J71" s="279"/>
      <c r="K71" s="11"/>
      <c r="L71" s="11"/>
      <c r="M71" s="11"/>
      <c r="N71" s="11"/>
      <c r="O71" s="247" t="s">
        <v>190</v>
      </c>
      <c r="P71" s="250"/>
      <c r="Q71" s="250"/>
      <c r="R71" s="250"/>
      <c r="S71" s="250"/>
      <c r="T71" s="250"/>
      <c r="U71" s="250"/>
      <c r="V71" s="250"/>
      <c r="W71" s="251"/>
      <c r="X71" s="279"/>
    </row>
    <row r="72" spans="1:24" x14ac:dyDescent="0.2">
      <c r="A72" s="247" t="s">
        <v>191</v>
      </c>
      <c r="B72" s="250"/>
      <c r="C72" s="250"/>
      <c r="D72" s="250"/>
      <c r="E72" s="250"/>
      <c r="F72" s="250"/>
      <c r="G72" s="250"/>
      <c r="H72" s="250"/>
      <c r="I72" s="251"/>
      <c r="J72" s="11"/>
      <c r="K72" s="11"/>
      <c r="L72" s="11"/>
      <c r="M72" s="11"/>
      <c r="N72" s="11"/>
      <c r="O72" s="247" t="s">
        <v>191</v>
      </c>
      <c r="P72" s="250"/>
      <c r="Q72" s="250"/>
      <c r="R72" s="250"/>
      <c r="S72" s="250"/>
      <c r="T72" s="250"/>
      <c r="U72" s="250"/>
      <c r="V72" s="250"/>
      <c r="W72" s="251"/>
      <c r="X72" s="11"/>
    </row>
    <row r="73" spans="1:24" x14ac:dyDescent="0.2">
      <c r="A73" s="247" t="s">
        <v>192</v>
      </c>
      <c r="B73" s="250"/>
      <c r="C73" s="250"/>
      <c r="D73" s="250"/>
      <c r="E73" s="250"/>
      <c r="F73" s="250"/>
      <c r="G73" s="250"/>
      <c r="H73" s="250"/>
      <c r="I73" s="251"/>
      <c r="J73" s="11"/>
      <c r="K73" s="11"/>
      <c r="L73" s="11"/>
      <c r="M73" s="11"/>
      <c r="N73" s="11"/>
      <c r="O73" s="247" t="s">
        <v>192</v>
      </c>
      <c r="P73" s="250"/>
      <c r="Q73" s="250"/>
      <c r="R73" s="250"/>
      <c r="S73" s="250"/>
      <c r="T73" s="250"/>
      <c r="U73" s="250"/>
      <c r="V73" s="250"/>
      <c r="W73" s="251"/>
      <c r="X73" s="11"/>
    </row>
    <row r="74" spans="1:24" x14ac:dyDescent="0.2">
      <c r="A74" s="247" t="s">
        <v>193</v>
      </c>
      <c r="B74" s="250"/>
      <c r="C74" s="250"/>
      <c r="D74" s="250"/>
      <c r="E74" s="250"/>
      <c r="F74" s="250"/>
      <c r="G74" s="250"/>
      <c r="H74" s="250"/>
      <c r="I74" s="251"/>
      <c r="J74" s="11"/>
      <c r="K74" s="11"/>
      <c r="L74" s="11"/>
      <c r="M74" s="11"/>
      <c r="N74" s="11"/>
      <c r="O74" s="247" t="s">
        <v>193</v>
      </c>
      <c r="P74" s="250"/>
      <c r="Q74" s="250"/>
      <c r="R74" s="250"/>
      <c r="S74" s="250"/>
      <c r="T74" s="250"/>
      <c r="U74" s="250"/>
      <c r="V74" s="250"/>
      <c r="W74" s="251"/>
      <c r="X74" s="11"/>
    </row>
    <row r="75" spans="1:24" x14ac:dyDescent="0.2">
      <c r="A75" s="247" t="s">
        <v>194</v>
      </c>
      <c r="B75" s="250"/>
      <c r="C75" s="250"/>
      <c r="D75" s="250"/>
      <c r="E75" s="250"/>
      <c r="F75" s="250"/>
      <c r="G75" s="250"/>
      <c r="H75" s="250"/>
      <c r="I75" s="251"/>
      <c r="J75" s="11"/>
      <c r="K75" s="11"/>
      <c r="L75" s="11"/>
      <c r="M75" s="11"/>
      <c r="N75" s="11"/>
      <c r="O75" s="247" t="s">
        <v>194</v>
      </c>
      <c r="P75" s="250"/>
      <c r="Q75" s="250"/>
      <c r="R75" s="250"/>
      <c r="S75" s="250"/>
      <c r="T75" s="250"/>
      <c r="U75" s="250"/>
      <c r="V75" s="250"/>
      <c r="W75" s="251"/>
      <c r="X75" s="11"/>
    </row>
    <row r="76" spans="1:24" x14ac:dyDescent="0.2">
      <c r="A76" s="247" t="s">
        <v>195</v>
      </c>
      <c r="B76" s="250"/>
      <c r="C76" s="250"/>
      <c r="D76" s="250"/>
      <c r="E76" s="250"/>
      <c r="F76" s="250"/>
      <c r="G76" s="250"/>
      <c r="H76" s="250"/>
      <c r="I76" s="251"/>
      <c r="J76" s="11"/>
      <c r="K76" s="11"/>
      <c r="L76" s="11"/>
      <c r="M76" s="11"/>
      <c r="N76" s="11"/>
      <c r="O76" s="247" t="s">
        <v>195</v>
      </c>
      <c r="P76" s="250"/>
      <c r="Q76" s="250"/>
      <c r="R76" s="250"/>
      <c r="S76" s="250"/>
      <c r="T76" s="250"/>
      <c r="U76" s="250"/>
      <c r="V76" s="250"/>
      <c r="W76" s="251"/>
      <c r="X76" s="11"/>
    </row>
    <row r="77" spans="1:24" x14ac:dyDescent="0.2">
      <c r="A77" s="247" t="s">
        <v>196</v>
      </c>
      <c r="B77" s="250"/>
      <c r="C77" s="250"/>
      <c r="D77" s="250"/>
      <c r="E77" s="250"/>
      <c r="F77" s="250"/>
      <c r="G77" s="250"/>
      <c r="H77" s="250"/>
      <c r="I77" s="251"/>
      <c r="J77" s="11"/>
      <c r="K77" s="11"/>
      <c r="L77" s="11"/>
      <c r="M77" s="11"/>
      <c r="N77" s="11"/>
      <c r="O77" s="247" t="s">
        <v>196</v>
      </c>
      <c r="P77" s="250"/>
      <c r="Q77" s="250"/>
      <c r="R77" s="250"/>
      <c r="S77" s="250"/>
      <c r="T77" s="250"/>
      <c r="U77" s="250"/>
      <c r="V77" s="250"/>
      <c r="W77" s="251"/>
      <c r="X77" s="11"/>
    </row>
    <row r="78" spans="1:24" x14ac:dyDescent="0.2">
      <c r="A78" s="247" t="s">
        <v>197</v>
      </c>
      <c r="B78" s="250"/>
      <c r="C78" s="250"/>
      <c r="D78" s="250"/>
      <c r="E78" s="250"/>
      <c r="F78" s="250"/>
      <c r="G78" s="250"/>
      <c r="H78" s="250"/>
      <c r="I78" s="251"/>
      <c r="J78" s="11"/>
      <c r="K78" s="11"/>
      <c r="L78" s="11"/>
      <c r="M78" s="11"/>
      <c r="N78" s="11"/>
      <c r="O78" s="247" t="s">
        <v>197</v>
      </c>
      <c r="P78" s="250"/>
      <c r="Q78" s="250"/>
      <c r="R78" s="250"/>
      <c r="S78" s="250"/>
      <c r="T78" s="250"/>
      <c r="U78" s="250"/>
      <c r="V78" s="250"/>
      <c r="W78" s="251"/>
      <c r="X78" s="11"/>
    </row>
    <row r="79" spans="1:24" x14ac:dyDescent="0.2">
      <c r="A79" s="247" t="s">
        <v>198</v>
      </c>
      <c r="B79" s="250"/>
      <c r="C79" s="250"/>
      <c r="D79" s="250"/>
      <c r="E79" s="250"/>
      <c r="F79" s="250"/>
      <c r="G79" s="250"/>
      <c r="H79" s="250"/>
      <c r="I79" s="251"/>
      <c r="J79" s="11"/>
      <c r="K79" s="11"/>
      <c r="L79" s="11"/>
      <c r="M79" s="11"/>
      <c r="N79" s="11"/>
      <c r="O79" s="247" t="s">
        <v>198</v>
      </c>
      <c r="P79" s="250"/>
      <c r="Q79" s="250"/>
      <c r="R79" s="250"/>
      <c r="S79" s="250"/>
      <c r="T79" s="250"/>
      <c r="U79" s="250"/>
      <c r="V79" s="250"/>
      <c r="W79" s="251"/>
      <c r="X79" s="11"/>
    </row>
    <row r="80" spans="1:24" x14ac:dyDescent="0.2">
      <c r="A80" s="247" t="s">
        <v>199</v>
      </c>
      <c r="B80" s="250"/>
      <c r="C80" s="250"/>
      <c r="D80" s="250"/>
      <c r="E80" s="250"/>
      <c r="F80" s="250"/>
      <c r="G80" s="250"/>
      <c r="H80" s="250"/>
      <c r="I80" s="251"/>
      <c r="J80" s="11"/>
      <c r="K80" s="11"/>
      <c r="L80" s="11"/>
      <c r="M80" s="11"/>
      <c r="N80" s="11"/>
      <c r="O80" s="247" t="s">
        <v>199</v>
      </c>
      <c r="P80" s="250"/>
      <c r="Q80" s="250"/>
      <c r="R80" s="250"/>
      <c r="S80" s="250"/>
      <c r="T80" s="250"/>
      <c r="U80" s="250"/>
      <c r="V80" s="250"/>
      <c r="W80" s="251"/>
      <c r="X80" s="11"/>
    </row>
    <row r="81" spans="1:25" ht="16" thickBot="1" x14ac:dyDescent="0.25">
      <c r="A81" s="252" t="s">
        <v>200</v>
      </c>
      <c r="B81" s="253"/>
      <c r="C81" s="253"/>
      <c r="D81" s="253"/>
      <c r="E81" s="253"/>
      <c r="F81" s="253"/>
      <c r="G81" s="253"/>
      <c r="H81" s="253"/>
      <c r="I81" s="254"/>
      <c r="J81" s="11"/>
      <c r="K81" s="11"/>
      <c r="L81" s="11"/>
      <c r="M81" s="11"/>
      <c r="N81" s="11"/>
      <c r="O81" s="252" t="s">
        <v>200</v>
      </c>
      <c r="P81" s="253"/>
      <c r="Q81" s="253"/>
      <c r="R81" s="253"/>
      <c r="S81" s="253"/>
      <c r="T81" s="253"/>
      <c r="U81" s="253"/>
      <c r="V81" s="253"/>
      <c r="W81" s="254"/>
      <c r="X81" s="11"/>
    </row>
    <row r="89" spans="1:25" x14ac:dyDescent="0.2">
      <c r="A89" t="s">
        <v>203</v>
      </c>
    </row>
    <row r="90" spans="1:25" x14ac:dyDescent="0.2">
      <c r="A90" t="s">
        <v>204</v>
      </c>
    </row>
    <row r="92" spans="1:25" ht="16" thickBot="1" x14ac:dyDescent="0.25"/>
    <row r="93" spans="1:25" x14ac:dyDescent="0.2">
      <c r="A93" s="243"/>
      <c r="B93" s="244" t="s">
        <v>205</v>
      </c>
      <c r="C93" s="244" t="s">
        <v>206</v>
      </c>
      <c r="D93" s="244" t="s">
        <v>207</v>
      </c>
      <c r="E93" s="244" t="s">
        <v>208</v>
      </c>
      <c r="F93" s="244" t="s">
        <v>209</v>
      </c>
      <c r="G93" s="244" t="s">
        <v>210</v>
      </c>
      <c r="H93" s="244" t="s">
        <v>211</v>
      </c>
      <c r="I93" s="245" t="s">
        <v>212</v>
      </c>
      <c r="J93" s="244" t="s">
        <v>213</v>
      </c>
      <c r="K93" s="244" t="s">
        <v>214</v>
      </c>
      <c r="L93" s="244" t="s">
        <v>215</v>
      </c>
      <c r="M93" s="244" t="s">
        <v>216</v>
      </c>
      <c r="N93" s="244" t="s">
        <v>217</v>
      </c>
      <c r="O93" s="244" t="s">
        <v>218</v>
      </c>
      <c r="P93" s="244" t="s">
        <v>219</v>
      </c>
      <c r="Q93" s="245" t="s">
        <v>220</v>
      </c>
      <c r="R93" s="244" t="s">
        <v>221</v>
      </c>
      <c r="S93" s="244" t="s">
        <v>222</v>
      </c>
      <c r="T93" s="244" t="s">
        <v>223</v>
      </c>
      <c r="U93" s="244" t="s">
        <v>224</v>
      </c>
      <c r="V93" s="244" t="s">
        <v>225</v>
      </c>
      <c r="W93" s="244" t="s">
        <v>226</v>
      </c>
      <c r="X93" s="244" t="s">
        <v>227</v>
      </c>
      <c r="Y93" s="245" t="s">
        <v>228</v>
      </c>
    </row>
    <row r="94" spans="1:25" x14ac:dyDescent="0.2">
      <c r="A94" s="247" t="s">
        <v>177</v>
      </c>
      <c r="B94" s="291" t="s">
        <v>178</v>
      </c>
      <c r="C94" s="291"/>
      <c r="D94" s="291"/>
      <c r="E94" s="291"/>
      <c r="F94" s="291"/>
      <c r="G94" s="291"/>
      <c r="H94" s="291" t="s">
        <v>179</v>
      </c>
      <c r="I94" s="291"/>
      <c r="J94" s="291"/>
      <c r="K94" s="291"/>
      <c r="L94" s="291"/>
      <c r="M94" s="291"/>
      <c r="N94" s="289" t="s">
        <v>180</v>
      </c>
      <c r="O94" s="289"/>
      <c r="P94" s="289"/>
      <c r="Q94" s="289"/>
      <c r="R94" s="289"/>
      <c r="S94" s="289"/>
      <c r="T94" s="289" t="s">
        <v>181</v>
      </c>
      <c r="U94" s="289"/>
      <c r="V94" s="289"/>
      <c r="W94" s="289" t="s">
        <v>182</v>
      </c>
      <c r="X94" s="289"/>
      <c r="Y94" s="289"/>
    </row>
    <row r="95" spans="1:25" x14ac:dyDescent="0.2">
      <c r="A95" s="247" t="s">
        <v>185</v>
      </c>
      <c r="B95" s="133">
        <v>903</v>
      </c>
      <c r="C95" s="133">
        <v>809</v>
      </c>
      <c r="D95" s="133">
        <v>911</v>
      </c>
      <c r="E95" s="133">
        <v>817</v>
      </c>
      <c r="F95" s="133">
        <v>919</v>
      </c>
      <c r="G95" s="133">
        <v>825</v>
      </c>
      <c r="H95" s="133">
        <v>927</v>
      </c>
      <c r="I95" s="133">
        <v>833</v>
      </c>
      <c r="J95" s="133">
        <v>935</v>
      </c>
      <c r="K95" s="292" t="s">
        <v>237</v>
      </c>
      <c r="L95" s="292"/>
      <c r="M95" s="292"/>
      <c r="N95" s="133">
        <v>841</v>
      </c>
      <c r="O95" s="133">
        <v>943</v>
      </c>
      <c r="P95" s="133">
        <v>849</v>
      </c>
      <c r="Q95" s="133">
        <v>951</v>
      </c>
      <c r="R95" s="133">
        <v>857</v>
      </c>
      <c r="S95" s="133">
        <v>959</v>
      </c>
      <c r="T95" s="150">
        <v>481</v>
      </c>
      <c r="U95" s="150">
        <v>521</v>
      </c>
      <c r="V95" s="150">
        <v>433</v>
      </c>
      <c r="W95" s="150">
        <v>529</v>
      </c>
      <c r="X95" s="150">
        <v>441</v>
      </c>
      <c r="Y95" s="150">
        <v>537</v>
      </c>
    </row>
    <row r="96" spans="1:25" x14ac:dyDescent="0.2">
      <c r="A96" s="247" t="s">
        <v>187</v>
      </c>
      <c r="B96" s="133">
        <v>1217</v>
      </c>
      <c r="C96" s="133">
        <v>1125</v>
      </c>
      <c r="D96" s="133">
        <v>1225</v>
      </c>
      <c r="E96" s="133">
        <v>1133</v>
      </c>
      <c r="F96" s="133">
        <v>1233</v>
      </c>
      <c r="G96" s="133">
        <v>1141</v>
      </c>
      <c r="H96" s="133">
        <v>1241</v>
      </c>
      <c r="I96" s="133">
        <v>1149</v>
      </c>
      <c r="J96" s="133">
        <v>1249</v>
      </c>
      <c r="K96" s="289" t="s">
        <v>236</v>
      </c>
      <c r="L96" s="289"/>
      <c r="M96" s="289"/>
      <c r="N96" s="133">
        <v>1157</v>
      </c>
      <c r="O96" s="133">
        <v>1257</v>
      </c>
      <c r="P96" s="133">
        <v>1165</v>
      </c>
      <c r="Q96" s="133">
        <v>1265</v>
      </c>
      <c r="R96" s="133">
        <v>1173</v>
      </c>
      <c r="S96" s="133">
        <v>1273</v>
      </c>
      <c r="T96" s="150">
        <v>673</v>
      </c>
      <c r="U96" s="150">
        <v>713</v>
      </c>
      <c r="V96" s="150">
        <v>625</v>
      </c>
      <c r="W96" s="150">
        <v>721</v>
      </c>
      <c r="X96" s="150">
        <v>633</v>
      </c>
      <c r="Y96" s="150">
        <v>729</v>
      </c>
    </row>
    <row r="97" spans="1:25" x14ac:dyDescent="0.2">
      <c r="A97" s="247" t="s">
        <v>188</v>
      </c>
      <c r="B97" s="133">
        <v>904</v>
      </c>
      <c r="C97" s="133">
        <v>810</v>
      </c>
      <c r="D97" s="133">
        <v>912</v>
      </c>
      <c r="E97" s="133">
        <v>818</v>
      </c>
      <c r="F97" s="133">
        <v>920</v>
      </c>
      <c r="G97" s="133">
        <v>826</v>
      </c>
      <c r="H97" s="133">
        <v>928</v>
      </c>
      <c r="I97" s="133">
        <v>834</v>
      </c>
      <c r="J97" s="133">
        <v>936</v>
      </c>
      <c r="K97" s="289" t="s">
        <v>236</v>
      </c>
      <c r="L97" s="289"/>
      <c r="M97" s="289"/>
      <c r="N97" s="133">
        <v>842</v>
      </c>
      <c r="O97" s="133">
        <v>944</v>
      </c>
      <c r="P97" s="133">
        <v>850</v>
      </c>
      <c r="Q97" s="133">
        <v>952</v>
      </c>
      <c r="R97" s="133">
        <v>858</v>
      </c>
      <c r="S97" s="133">
        <v>960</v>
      </c>
      <c r="T97" s="150">
        <v>482</v>
      </c>
      <c r="U97" s="150">
        <v>522</v>
      </c>
      <c r="V97" s="150">
        <v>434</v>
      </c>
      <c r="W97" s="150">
        <v>530</v>
      </c>
      <c r="X97" s="150">
        <v>442</v>
      </c>
      <c r="Y97" s="150">
        <v>538</v>
      </c>
    </row>
    <row r="98" spans="1:25" x14ac:dyDescent="0.2">
      <c r="A98" s="247" t="s">
        <v>189</v>
      </c>
      <c r="B98" s="133">
        <v>1218</v>
      </c>
      <c r="C98" s="133">
        <v>1126</v>
      </c>
      <c r="D98" s="133">
        <v>1226</v>
      </c>
      <c r="E98" s="133">
        <v>1134</v>
      </c>
      <c r="F98" s="133">
        <v>1234</v>
      </c>
      <c r="G98" s="133">
        <v>1142</v>
      </c>
      <c r="H98" s="133">
        <v>1242</v>
      </c>
      <c r="I98" s="133">
        <v>1150</v>
      </c>
      <c r="J98" s="133">
        <v>1250</v>
      </c>
      <c r="K98" s="289" t="s">
        <v>236</v>
      </c>
      <c r="L98" s="289"/>
      <c r="M98" s="289"/>
      <c r="N98" s="133">
        <v>1158</v>
      </c>
      <c r="O98" s="133">
        <v>1258</v>
      </c>
      <c r="P98" s="133">
        <v>1166</v>
      </c>
      <c r="Q98" s="133">
        <v>1266</v>
      </c>
      <c r="R98" s="133">
        <v>1174</v>
      </c>
      <c r="S98" s="133">
        <v>1274</v>
      </c>
      <c r="T98" s="150">
        <v>674</v>
      </c>
      <c r="U98" s="150">
        <v>714</v>
      </c>
      <c r="V98" s="150">
        <v>626</v>
      </c>
      <c r="W98" s="150">
        <v>722</v>
      </c>
      <c r="X98" s="150">
        <v>634</v>
      </c>
      <c r="Y98" s="150">
        <v>730</v>
      </c>
    </row>
    <row r="99" spans="1:25" x14ac:dyDescent="0.2">
      <c r="A99" s="247" t="s">
        <v>190</v>
      </c>
      <c r="B99" s="133">
        <v>905</v>
      </c>
      <c r="C99" s="133">
        <v>811</v>
      </c>
      <c r="D99" s="133">
        <v>913</v>
      </c>
      <c r="E99" s="133">
        <v>819</v>
      </c>
      <c r="F99" s="133">
        <v>921</v>
      </c>
      <c r="G99" s="133">
        <v>827</v>
      </c>
      <c r="H99" s="133">
        <v>929</v>
      </c>
      <c r="I99" s="133">
        <v>835</v>
      </c>
      <c r="J99" s="133">
        <v>937</v>
      </c>
      <c r="K99" s="289" t="s">
        <v>236</v>
      </c>
      <c r="L99" s="289"/>
      <c r="M99" s="289"/>
      <c r="N99" s="133">
        <v>843</v>
      </c>
      <c r="O99" s="133">
        <v>945</v>
      </c>
      <c r="P99" s="133">
        <v>851</v>
      </c>
      <c r="Q99" s="133">
        <v>953</v>
      </c>
      <c r="R99" s="133">
        <v>859</v>
      </c>
      <c r="S99" s="133">
        <v>961</v>
      </c>
      <c r="T99" s="150">
        <v>483</v>
      </c>
      <c r="U99" s="150">
        <v>523</v>
      </c>
      <c r="V99" s="150">
        <v>435</v>
      </c>
      <c r="W99" s="150">
        <v>531</v>
      </c>
      <c r="X99" s="150">
        <v>443</v>
      </c>
      <c r="Y99" s="150">
        <v>539</v>
      </c>
    </row>
    <row r="100" spans="1:25" x14ac:dyDescent="0.2">
      <c r="A100" s="247" t="s">
        <v>191</v>
      </c>
      <c r="B100" s="133">
        <v>1219</v>
      </c>
      <c r="C100" s="133">
        <v>1127</v>
      </c>
      <c r="D100" s="133">
        <v>1227</v>
      </c>
      <c r="E100" s="133">
        <v>1135</v>
      </c>
      <c r="F100" s="133">
        <v>1235</v>
      </c>
      <c r="G100" s="133">
        <v>1143</v>
      </c>
      <c r="H100" s="133">
        <v>1243</v>
      </c>
      <c r="I100" s="133">
        <v>1151</v>
      </c>
      <c r="J100" s="133">
        <v>1251</v>
      </c>
      <c r="K100" s="289" t="s">
        <v>236</v>
      </c>
      <c r="L100" s="289"/>
      <c r="M100" s="289"/>
      <c r="N100" s="133">
        <v>1159</v>
      </c>
      <c r="O100" s="133">
        <v>1259</v>
      </c>
      <c r="P100" s="133">
        <v>1167</v>
      </c>
      <c r="Q100" s="133">
        <v>1267</v>
      </c>
      <c r="R100" s="133">
        <v>1175</v>
      </c>
      <c r="S100" s="133">
        <v>1275</v>
      </c>
      <c r="T100" s="150">
        <v>675</v>
      </c>
      <c r="U100" s="150">
        <v>715</v>
      </c>
      <c r="V100" s="150">
        <v>627</v>
      </c>
      <c r="W100" s="150">
        <v>723</v>
      </c>
      <c r="X100" s="150">
        <v>635</v>
      </c>
      <c r="Y100" s="150">
        <v>731</v>
      </c>
    </row>
    <row r="101" spans="1:25" x14ac:dyDescent="0.2">
      <c r="A101" s="247" t="s">
        <v>192</v>
      </c>
      <c r="B101" s="133">
        <v>906</v>
      </c>
      <c r="C101" s="133">
        <v>812</v>
      </c>
      <c r="D101" s="133">
        <v>914</v>
      </c>
      <c r="E101" s="133">
        <v>820</v>
      </c>
      <c r="F101" s="133">
        <v>922</v>
      </c>
      <c r="G101" s="133">
        <v>828</v>
      </c>
      <c r="H101" s="133">
        <v>930</v>
      </c>
      <c r="I101" s="133">
        <v>836</v>
      </c>
      <c r="J101" s="133">
        <v>938</v>
      </c>
      <c r="K101" s="289" t="s">
        <v>236</v>
      </c>
      <c r="L101" s="289"/>
      <c r="M101" s="289"/>
      <c r="N101" s="133">
        <v>844</v>
      </c>
      <c r="O101" s="133">
        <v>946</v>
      </c>
      <c r="P101" s="133">
        <v>852</v>
      </c>
      <c r="Q101" s="133">
        <v>954</v>
      </c>
      <c r="R101" s="133">
        <v>860</v>
      </c>
      <c r="S101" s="133">
        <v>962</v>
      </c>
      <c r="T101" s="150">
        <v>484</v>
      </c>
      <c r="U101" s="150">
        <v>524</v>
      </c>
      <c r="V101" s="150">
        <v>436</v>
      </c>
      <c r="W101" s="150">
        <v>532</v>
      </c>
      <c r="X101" s="150">
        <v>444</v>
      </c>
      <c r="Y101" s="150">
        <v>540</v>
      </c>
    </row>
    <row r="102" spans="1:25" x14ac:dyDescent="0.2">
      <c r="A102" s="247" t="s">
        <v>193</v>
      </c>
      <c r="B102" s="133">
        <v>1220</v>
      </c>
      <c r="C102" s="133">
        <v>1128</v>
      </c>
      <c r="D102" s="133">
        <v>1228</v>
      </c>
      <c r="E102" s="133">
        <v>1136</v>
      </c>
      <c r="F102" s="133">
        <v>1236</v>
      </c>
      <c r="G102" s="133">
        <v>1144</v>
      </c>
      <c r="H102" s="133">
        <v>1244</v>
      </c>
      <c r="I102" s="133">
        <v>1152</v>
      </c>
      <c r="J102" s="133">
        <v>1252</v>
      </c>
      <c r="K102" s="289" t="s">
        <v>236</v>
      </c>
      <c r="L102" s="289"/>
      <c r="M102" s="289"/>
      <c r="N102" s="133">
        <v>1160</v>
      </c>
      <c r="O102" s="133">
        <v>1260</v>
      </c>
      <c r="P102" s="133">
        <v>1168</v>
      </c>
      <c r="Q102" s="133">
        <v>1268</v>
      </c>
      <c r="R102" s="133">
        <v>1176</v>
      </c>
      <c r="S102" s="133">
        <v>1276</v>
      </c>
      <c r="T102" s="150">
        <v>676</v>
      </c>
      <c r="U102" s="150">
        <v>716</v>
      </c>
      <c r="V102" s="150">
        <v>628</v>
      </c>
      <c r="W102" s="150">
        <v>724</v>
      </c>
      <c r="X102" s="150">
        <v>636</v>
      </c>
      <c r="Y102" s="150">
        <v>732</v>
      </c>
    </row>
    <row r="103" spans="1:25" x14ac:dyDescent="0.2">
      <c r="A103" s="247" t="s">
        <v>194</v>
      </c>
      <c r="B103" s="133">
        <v>907</v>
      </c>
      <c r="C103" s="133">
        <v>813</v>
      </c>
      <c r="D103" s="133">
        <v>915</v>
      </c>
      <c r="E103" s="133">
        <v>821</v>
      </c>
      <c r="F103" s="133">
        <v>923</v>
      </c>
      <c r="G103" s="133">
        <v>829</v>
      </c>
      <c r="H103" s="133">
        <v>931</v>
      </c>
      <c r="I103" s="133">
        <v>837</v>
      </c>
      <c r="J103" s="133">
        <v>939</v>
      </c>
      <c r="K103" s="289" t="s">
        <v>236</v>
      </c>
      <c r="L103" s="289"/>
      <c r="M103" s="289"/>
      <c r="N103" s="133">
        <v>845</v>
      </c>
      <c r="O103" s="133">
        <v>947</v>
      </c>
      <c r="P103" s="133">
        <v>853</v>
      </c>
      <c r="Q103" s="133">
        <v>955</v>
      </c>
      <c r="R103" s="133">
        <v>867</v>
      </c>
      <c r="S103" s="133">
        <v>963</v>
      </c>
      <c r="T103" s="150">
        <v>485</v>
      </c>
      <c r="U103" s="150">
        <v>525</v>
      </c>
      <c r="V103" s="150">
        <v>437</v>
      </c>
      <c r="W103" s="150">
        <v>533</v>
      </c>
      <c r="X103" s="150">
        <v>445</v>
      </c>
      <c r="Y103" s="150">
        <v>541</v>
      </c>
    </row>
    <row r="104" spans="1:25" x14ac:dyDescent="0.2">
      <c r="A104" s="247" t="s">
        <v>195</v>
      </c>
      <c r="B104" s="133">
        <v>1221</v>
      </c>
      <c r="C104" s="133">
        <v>1129</v>
      </c>
      <c r="D104" s="133">
        <v>1229</v>
      </c>
      <c r="E104" s="133">
        <v>1137</v>
      </c>
      <c r="F104" s="133">
        <v>1237</v>
      </c>
      <c r="G104" s="133">
        <v>1145</v>
      </c>
      <c r="H104" s="133">
        <v>1245</v>
      </c>
      <c r="I104" s="133">
        <v>1153</v>
      </c>
      <c r="J104" s="133">
        <v>1253</v>
      </c>
      <c r="K104" s="289" t="s">
        <v>236</v>
      </c>
      <c r="L104" s="289"/>
      <c r="M104" s="289"/>
      <c r="N104" s="133">
        <v>1161</v>
      </c>
      <c r="O104" s="133">
        <v>1261</v>
      </c>
      <c r="P104" s="133">
        <v>1169</v>
      </c>
      <c r="Q104" s="133">
        <v>1269</v>
      </c>
      <c r="R104" s="133">
        <v>1177</v>
      </c>
      <c r="S104" s="133">
        <v>1277</v>
      </c>
      <c r="T104" s="150">
        <v>677</v>
      </c>
      <c r="U104" s="150">
        <v>717</v>
      </c>
      <c r="V104" s="150">
        <v>629</v>
      </c>
      <c r="W104" s="150">
        <v>725</v>
      </c>
      <c r="X104" s="150">
        <v>637</v>
      </c>
      <c r="Y104" s="150">
        <v>733</v>
      </c>
    </row>
    <row r="105" spans="1:25" x14ac:dyDescent="0.2">
      <c r="A105" s="247" t="s">
        <v>196</v>
      </c>
      <c r="B105" s="133">
        <v>908</v>
      </c>
      <c r="C105" s="133">
        <v>814</v>
      </c>
      <c r="D105" s="133">
        <v>916</v>
      </c>
      <c r="E105" s="133">
        <v>822</v>
      </c>
      <c r="F105" s="133">
        <v>924</v>
      </c>
      <c r="G105" s="133">
        <v>830</v>
      </c>
      <c r="H105" s="133">
        <v>932</v>
      </c>
      <c r="I105" s="133">
        <v>838</v>
      </c>
      <c r="J105" s="133">
        <v>940</v>
      </c>
      <c r="K105" s="289" t="s">
        <v>236</v>
      </c>
      <c r="L105" s="289"/>
      <c r="M105" s="289"/>
      <c r="N105" s="133">
        <v>846</v>
      </c>
      <c r="O105" s="133">
        <v>948</v>
      </c>
      <c r="P105" s="133">
        <v>854</v>
      </c>
      <c r="Q105" s="133">
        <v>956</v>
      </c>
      <c r="R105" s="133">
        <v>868</v>
      </c>
      <c r="S105" s="133">
        <v>964</v>
      </c>
      <c r="T105" s="150">
        <v>486</v>
      </c>
      <c r="U105" s="150">
        <v>526</v>
      </c>
      <c r="V105" s="150">
        <v>438</v>
      </c>
      <c r="W105" s="150">
        <v>534</v>
      </c>
      <c r="X105" s="150">
        <v>446</v>
      </c>
      <c r="Y105" s="150">
        <v>542</v>
      </c>
    </row>
    <row r="106" spans="1:25" x14ac:dyDescent="0.2">
      <c r="A106" s="247" t="s">
        <v>197</v>
      </c>
      <c r="B106" s="133">
        <v>1222</v>
      </c>
      <c r="C106" s="133">
        <v>1130</v>
      </c>
      <c r="D106" s="133">
        <v>1230</v>
      </c>
      <c r="E106" s="133">
        <v>1138</v>
      </c>
      <c r="F106" s="133">
        <v>1238</v>
      </c>
      <c r="G106" s="133">
        <v>1146</v>
      </c>
      <c r="H106" s="133">
        <v>1246</v>
      </c>
      <c r="I106" s="133">
        <v>1154</v>
      </c>
      <c r="J106" s="133">
        <v>1254</v>
      </c>
      <c r="K106" s="289" t="s">
        <v>236</v>
      </c>
      <c r="L106" s="289"/>
      <c r="M106" s="289"/>
      <c r="N106" s="133">
        <v>1162</v>
      </c>
      <c r="O106" s="133">
        <v>1262</v>
      </c>
      <c r="P106" s="133">
        <v>1170</v>
      </c>
      <c r="Q106" s="133">
        <v>1270</v>
      </c>
      <c r="R106" s="133">
        <v>1178</v>
      </c>
      <c r="S106" s="133">
        <v>1278</v>
      </c>
      <c r="T106" s="150">
        <v>678</v>
      </c>
      <c r="U106" s="150">
        <v>718</v>
      </c>
      <c r="V106" s="150">
        <v>630</v>
      </c>
      <c r="W106" s="150">
        <v>726</v>
      </c>
      <c r="X106" s="150">
        <v>638</v>
      </c>
      <c r="Y106" s="150">
        <v>734</v>
      </c>
    </row>
    <row r="107" spans="1:25" x14ac:dyDescent="0.2">
      <c r="A107" s="247" t="s">
        <v>198</v>
      </c>
      <c r="B107" s="133">
        <v>909</v>
      </c>
      <c r="C107" s="133">
        <v>815</v>
      </c>
      <c r="D107" s="133">
        <v>917</v>
      </c>
      <c r="E107" s="133">
        <v>823</v>
      </c>
      <c r="F107" s="133">
        <v>925</v>
      </c>
      <c r="G107" s="133">
        <v>831</v>
      </c>
      <c r="H107" s="133">
        <v>933</v>
      </c>
      <c r="I107" s="133">
        <v>839</v>
      </c>
      <c r="J107" s="133">
        <v>941</v>
      </c>
      <c r="K107" s="289" t="s">
        <v>236</v>
      </c>
      <c r="L107" s="289"/>
      <c r="M107" s="289"/>
      <c r="N107" s="133">
        <v>847</v>
      </c>
      <c r="O107" s="133">
        <v>949</v>
      </c>
      <c r="P107" s="133">
        <v>855</v>
      </c>
      <c r="Q107" s="133">
        <v>957</v>
      </c>
      <c r="R107" s="133">
        <v>869</v>
      </c>
      <c r="S107" s="133">
        <v>965</v>
      </c>
      <c r="T107" s="150">
        <v>487</v>
      </c>
      <c r="U107" s="150">
        <v>527</v>
      </c>
      <c r="V107" s="150">
        <v>439</v>
      </c>
      <c r="W107" s="150">
        <v>535</v>
      </c>
      <c r="X107" s="150">
        <v>447</v>
      </c>
      <c r="Y107" s="150">
        <v>543</v>
      </c>
    </row>
    <row r="108" spans="1:25" x14ac:dyDescent="0.2">
      <c r="A108" s="247" t="s">
        <v>199</v>
      </c>
      <c r="B108" s="133">
        <v>1223</v>
      </c>
      <c r="C108" s="133">
        <v>1131</v>
      </c>
      <c r="D108" s="133">
        <v>1231</v>
      </c>
      <c r="E108" s="133">
        <v>1139</v>
      </c>
      <c r="F108" s="133">
        <v>1239</v>
      </c>
      <c r="G108" s="133">
        <v>1147</v>
      </c>
      <c r="H108" s="133">
        <v>1247</v>
      </c>
      <c r="I108" s="133">
        <v>1155</v>
      </c>
      <c r="J108" s="133">
        <v>1255</v>
      </c>
      <c r="K108" s="289" t="s">
        <v>236</v>
      </c>
      <c r="L108" s="289"/>
      <c r="M108" s="289"/>
      <c r="N108" s="133">
        <v>1163</v>
      </c>
      <c r="O108" s="133">
        <v>1263</v>
      </c>
      <c r="P108" s="133">
        <v>1171</v>
      </c>
      <c r="Q108" s="133">
        <v>1271</v>
      </c>
      <c r="R108" s="133">
        <v>1179</v>
      </c>
      <c r="S108" s="133">
        <v>1279</v>
      </c>
      <c r="T108" s="150">
        <v>679</v>
      </c>
      <c r="U108" s="150">
        <v>719</v>
      </c>
      <c r="V108" s="150">
        <v>631</v>
      </c>
      <c r="W108" s="150">
        <v>727</v>
      </c>
      <c r="X108" s="150">
        <v>639</v>
      </c>
      <c r="Y108" s="150">
        <v>735</v>
      </c>
    </row>
    <row r="109" spans="1:25" ht="16" thickBot="1" x14ac:dyDescent="0.25">
      <c r="A109" s="252" t="s">
        <v>200</v>
      </c>
      <c r="B109" s="133">
        <v>910</v>
      </c>
      <c r="C109" s="133">
        <v>816</v>
      </c>
      <c r="D109" s="133">
        <v>918</v>
      </c>
      <c r="E109" s="133">
        <v>824</v>
      </c>
      <c r="F109" s="133">
        <v>926</v>
      </c>
      <c r="G109" s="133">
        <v>832</v>
      </c>
      <c r="H109" s="133">
        <v>934</v>
      </c>
      <c r="I109" s="133">
        <v>840</v>
      </c>
      <c r="J109" s="133">
        <v>942</v>
      </c>
      <c r="K109" s="289" t="s">
        <v>235</v>
      </c>
      <c r="L109" s="289"/>
      <c r="M109" s="289"/>
      <c r="N109" s="133">
        <v>848</v>
      </c>
      <c r="O109" s="133">
        <v>950</v>
      </c>
      <c r="P109" s="133">
        <v>856</v>
      </c>
      <c r="Q109" s="133">
        <v>958</v>
      </c>
      <c r="R109" s="133">
        <v>870</v>
      </c>
      <c r="S109" s="133">
        <v>966</v>
      </c>
      <c r="T109" s="150">
        <v>488</v>
      </c>
      <c r="U109" s="150">
        <v>528</v>
      </c>
      <c r="V109" s="150">
        <v>440</v>
      </c>
      <c r="W109" s="150">
        <v>536</v>
      </c>
      <c r="X109" s="150">
        <v>448</v>
      </c>
      <c r="Y109" s="150">
        <v>544</v>
      </c>
    </row>
    <row r="110" spans="1:25" x14ac:dyDescent="0.2">
      <c r="B110" t="s">
        <v>234</v>
      </c>
      <c r="K110" s="290" t="s">
        <v>243</v>
      </c>
      <c r="L110" s="290"/>
      <c r="M110" s="290"/>
      <c r="N110" t="s">
        <v>242</v>
      </c>
      <c r="T110" t="s">
        <v>233</v>
      </c>
      <c r="U110" t="s">
        <v>233</v>
      </c>
      <c r="V110" t="s">
        <v>233</v>
      </c>
      <c r="W110" t="s">
        <v>233</v>
      </c>
      <c r="X110" t="s">
        <v>233</v>
      </c>
      <c r="Y110" t="s">
        <v>241</v>
      </c>
    </row>
    <row r="111" spans="1:25" x14ac:dyDescent="0.2">
      <c r="B111" t="s">
        <v>238</v>
      </c>
      <c r="C111">
        <v>11</v>
      </c>
      <c r="D111">
        <v>12</v>
      </c>
      <c r="E111">
        <v>13</v>
      </c>
      <c r="F111">
        <v>14</v>
      </c>
      <c r="G111">
        <v>15</v>
      </c>
      <c r="H111">
        <v>16</v>
      </c>
      <c r="I111">
        <v>17</v>
      </c>
      <c r="J111">
        <v>18</v>
      </c>
      <c r="N111">
        <v>19</v>
      </c>
      <c r="O111">
        <v>20</v>
      </c>
      <c r="P111">
        <v>21</v>
      </c>
      <c r="Q111">
        <v>22</v>
      </c>
      <c r="R111">
        <v>23</v>
      </c>
      <c r="S111">
        <v>24</v>
      </c>
      <c r="T111" t="s">
        <v>239</v>
      </c>
      <c r="U111" t="s">
        <v>240</v>
      </c>
      <c r="V111">
        <v>13</v>
      </c>
      <c r="W111">
        <v>14</v>
      </c>
      <c r="X111">
        <v>15</v>
      </c>
      <c r="Y111">
        <v>16</v>
      </c>
    </row>
    <row r="117" spans="22:25" x14ac:dyDescent="0.2">
      <c r="V117" s="11"/>
      <c r="Y117" s="11"/>
    </row>
    <row r="118" spans="22:25" x14ac:dyDescent="0.2">
      <c r="V118" s="11"/>
      <c r="Y118" s="11"/>
    </row>
    <row r="119" spans="22:25" x14ac:dyDescent="0.2">
      <c r="V119" s="11"/>
      <c r="Y119" s="11"/>
    </row>
    <row r="120" spans="22:25" x14ac:dyDescent="0.2">
      <c r="V120" s="11"/>
      <c r="Y120" s="11"/>
    </row>
    <row r="121" spans="22:25" x14ac:dyDescent="0.2">
      <c r="V121" s="11"/>
      <c r="Y121" s="11"/>
    </row>
    <row r="122" spans="22:25" x14ac:dyDescent="0.2">
      <c r="V122" s="11"/>
      <c r="Y122" s="11"/>
    </row>
    <row r="123" spans="22:25" x14ac:dyDescent="0.2">
      <c r="V123" s="11"/>
      <c r="Y123" s="11"/>
    </row>
    <row r="124" spans="22:25" x14ac:dyDescent="0.2">
      <c r="V124" s="11"/>
      <c r="Y124" s="11"/>
    </row>
    <row r="125" spans="22:25" x14ac:dyDescent="0.2">
      <c r="V125" s="11"/>
      <c r="Y125" s="11"/>
    </row>
    <row r="126" spans="22:25" x14ac:dyDescent="0.2">
      <c r="V126" s="11"/>
      <c r="Y126" s="11"/>
    </row>
    <row r="127" spans="22:25" x14ac:dyDescent="0.2">
      <c r="V127" s="11"/>
      <c r="Y127" s="11"/>
    </row>
    <row r="128" spans="22:25" x14ac:dyDescent="0.2">
      <c r="V128" s="11"/>
      <c r="Y128" s="11"/>
    </row>
    <row r="129" spans="22:25" x14ac:dyDescent="0.2">
      <c r="V129" s="11"/>
      <c r="Y129" s="11"/>
    </row>
    <row r="130" spans="22:25" x14ac:dyDescent="0.2">
      <c r="V130" s="11"/>
      <c r="Y130" s="11"/>
    </row>
    <row r="131" spans="22:25" x14ac:dyDescent="0.2">
      <c r="V131" s="11"/>
      <c r="Y131" s="11"/>
    </row>
    <row r="132" spans="22:25" x14ac:dyDescent="0.2">
      <c r="Y132" s="11"/>
    </row>
  </sheetData>
  <mergeCells count="36">
    <mergeCell ref="K106:M106"/>
    <mergeCell ref="K107:M107"/>
    <mergeCell ref="K110:M110"/>
    <mergeCell ref="G58:H58"/>
    <mergeCell ref="M58:N58"/>
    <mergeCell ref="K100:M100"/>
    <mergeCell ref="K101:M101"/>
    <mergeCell ref="K102:M102"/>
    <mergeCell ref="K103:M103"/>
    <mergeCell ref="K104:M104"/>
    <mergeCell ref="K105:M105"/>
    <mergeCell ref="H94:M94"/>
    <mergeCell ref="B94:G94"/>
    <mergeCell ref="K109:M109"/>
    <mergeCell ref="K108:M108"/>
    <mergeCell ref="K95:M95"/>
    <mergeCell ref="K96:M96"/>
    <mergeCell ref="K97:M97"/>
    <mergeCell ref="K98:M98"/>
    <mergeCell ref="K99:M99"/>
    <mergeCell ref="P66:Q66"/>
    <mergeCell ref="R66:S66"/>
    <mergeCell ref="T66:U66"/>
    <mergeCell ref="X67:X71"/>
    <mergeCell ref="W94:Y94"/>
    <mergeCell ref="T94:V94"/>
    <mergeCell ref="N94:S94"/>
    <mergeCell ref="B66:C66"/>
    <mergeCell ref="D66:E66"/>
    <mergeCell ref="F66:G66"/>
    <mergeCell ref="J66:J71"/>
    <mergeCell ref="B1:M1"/>
    <mergeCell ref="M2:O3"/>
    <mergeCell ref="H3:K3"/>
    <mergeCell ref="H6:J6"/>
    <mergeCell ref="K7:L7"/>
  </mergeCells>
  <phoneticPr fontId="13" type="noConversion"/>
  <pageMargins left="0.7" right="0.7" top="0.75" bottom="0.75" header="0.3" footer="0.3"/>
  <pageSetup scale="3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Y63"/>
  <sheetViews>
    <sheetView workbookViewId="0">
      <selection activeCell="G10" sqref="G10:K18"/>
    </sheetView>
  </sheetViews>
  <sheetFormatPr baseColWidth="10" defaultColWidth="8.6640625" defaultRowHeight="15" x14ac:dyDescent="0.2"/>
  <cols>
    <col min="1" max="1" width="11.1640625" style="3" customWidth="1"/>
    <col min="2" max="2" width="11" style="3" bestFit="1" customWidth="1"/>
    <col min="3" max="4" width="8.6640625" style="3"/>
    <col min="5" max="6" width="11" style="3" bestFit="1" customWidth="1"/>
    <col min="7" max="7" width="11.33203125" style="3" customWidth="1"/>
    <col min="8" max="9" width="8.6640625" style="3"/>
    <col min="10" max="10" width="9.83203125" style="3" customWidth="1"/>
    <col min="11" max="11" width="10.33203125" style="3" customWidth="1"/>
    <col min="12" max="12" width="8.6640625" style="3"/>
    <col min="13" max="13" width="9" style="3" bestFit="1" customWidth="1"/>
    <col min="14" max="14" width="8.6640625" style="3"/>
    <col min="15" max="15" width="9.6640625" style="3" customWidth="1"/>
    <col min="16" max="262" width="8.6640625" style="3"/>
    <col min="263" max="263" width="9.6640625" style="3" customWidth="1"/>
    <col min="264" max="518" width="8.6640625" style="3"/>
    <col min="519" max="519" width="9.6640625" style="3" customWidth="1"/>
    <col min="520" max="774" width="8.6640625" style="3"/>
    <col min="775" max="775" width="9.6640625" style="3" customWidth="1"/>
    <col min="776" max="1030" width="8.6640625" style="3"/>
    <col min="1031" max="1031" width="9.6640625" style="3" customWidth="1"/>
    <col min="1032" max="1286" width="8.6640625" style="3"/>
    <col min="1287" max="1287" width="9.6640625" style="3" customWidth="1"/>
    <col min="1288" max="1542" width="8.6640625" style="3"/>
    <col min="1543" max="1543" width="9.6640625" style="3" customWidth="1"/>
    <col min="1544" max="1798" width="8.6640625" style="3"/>
    <col min="1799" max="1799" width="9.6640625" style="3" customWidth="1"/>
    <col min="1800" max="2054" width="8.6640625" style="3"/>
    <col min="2055" max="2055" width="9.6640625" style="3" customWidth="1"/>
    <col min="2056" max="2310" width="8.6640625" style="3"/>
    <col min="2311" max="2311" width="9.6640625" style="3" customWidth="1"/>
    <col min="2312" max="2566" width="8.6640625" style="3"/>
    <col min="2567" max="2567" width="9.6640625" style="3" customWidth="1"/>
    <col min="2568" max="2822" width="8.6640625" style="3"/>
    <col min="2823" max="2823" width="9.6640625" style="3" customWidth="1"/>
    <col min="2824" max="3078" width="8.6640625" style="3"/>
    <col min="3079" max="3079" width="9.6640625" style="3" customWidth="1"/>
    <col min="3080" max="3334" width="8.6640625" style="3"/>
    <col min="3335" max="3335" width="9.6640625" style="3" customWidth="1"/>
    <col min="3336" max="3590" width="8.6640625" style="3"/>
    <col min="3591" max="3591" width="9.6640625" style="3" customWidth="1"/>
    <col min="3592" max="3846" width="8.6640625" style="3"/>
    <col min="3847" max="3847" width="9.6640625" style="3" customWidth="1"/>
    <col min="3848" max="4102" width="8.6640625" style="3"/>
    <col min="4103" max="4103" width="9.6640625" style="3" customWidth="1"/>
    <col min="4104" max="4358" width="8.6640625" style="3"/>
    <col min="4359" max="4359" width="9.6640625" style="3" customWidth="1"/>
    <col min="4360" max="4614" width="8.6640625" style="3"/>
    <col min="4615" max="4615" width="9.6640625" style="3" customWidth="1"/>
    <col min="4616" max="4870" width="8.6640625" style="3"/>
    <col min="4871" max="4871" width="9.6640625" style="3" customWidth="1"/>
    <col min="4872" max="5126" width="8.6640625" style="3"/>
    <col min="5127" max="5127" width="9.6640625" style="3" customWidth="1"/>
    <col min="5128" max="5382" width="8.6640625" style="3"/>
    <col min="5383" max="5383" width="9.6640625" style="3" customWidth="1"/>
    <col min="5384" max="5638" width="8.6640625" style="3"/>
    <col min="5639" max="5639" width="9.6640625" style="3" customWidth="1"/>
    <col min="5640" max="5894" width="8.6640625" style="3"/>
    <col min="5895" max="5895" width="9.6640625" style="3" customWidth="1"/>
    <col min="5896" max="6150" width="8.6640625" style="3"/>
    <col min="6151" max="6151" width="9.6640625" style="3" customWidth="1"/>
    <col min="6152" max="6406" width="8.6640625" style="3"/>
    <col min="6407" max="6407" width="9.6640625" style="3" customWidth="1"/>
    <col min="6408" max="6662" width="8.6640625" style="3"/>
    <col min="6663" max="6663" width="9.6640625" style="3" customWidth="1"/>
    <col min="6664" max="6918" width="8.6640625" style="3"/>
    <col min="6919" max="6919" width="9.6640625" style="3" customWidth="1"/>
    <col min="6920" max="7174" width="8.6640625" style="3"/>
    <col min="7175" max="7175" width="9.6640625" style="3" customWidth="1"/>
    <col min="7176" max="7430" width="8.6640625" style="3"/>
    <col min="7431" max="7431" width="9.6640625" style="3" customWidth="1"/>
    <col min="7432" max="7686" width="8.6640625" style="3"/>
    <col min="7687" max="7687" width="9.6640625" style="3" customWidth="1"/>
    <col min="7688" max="7942" width="8.6640625" style="3"/>
    <col min="7943" max="7943" width="9.6640625" style="3" customWidth="1"/>
    <col min="7944" max="8198" width="8.6640625" style="3"/>
    <col min="8199" max="8199" width="9.6640625" style="3" customWidth="1"/>
    <col min="8200" max="8454" width="8.6640625" style="3"/>
    <col min="8455" max="8455" width="9.6640625" style="3" customWidth="1"/>
    <col min="8456" max="8710" width="8.6640625" style="3"/>
    <col min="8711" max="8711" width="9.6640625" style="3" customWidth="1"/>
    <col min="8712" max="8966" width="8.6640625" style="3"/>
    <col min="8967" max="8967" width="9.6640625" style="3" customWidth="1"/>
    <col min="8968" max="9222" width="8.6640625" style="3"/>
    <col min="9223" max="9223" width="9.6640625" style="3" customWidth="1"/>
    <col min="9224" max="9478" width="8.6640625" style="3"/>
    <col min="9479" max="9479" width="9.6640625" style="3" customWidth="1"/>
    <col min="9480" max="9734" width="8.6640625" style="3"/>
    <col min="9735" max="9735" width="9.6640625" style="3" customWidth="1"/>
    <col min="9736" max="9990" width="8.6640625" style="3"/>
    <col min="9991" max="9991" width="9.6640625" style="3" customWidth="1"/>
    <col min="9992" max="10246" width="8.6640625" style="3"/>
    <col min="10247" max="10247" width="9.6640625" style="3" customWidth="1"/>
    <col min="10248" max="10502" width="8.6640625" style="3"/>
    <col min="10503" max="10503" width="9.6640625" style="3" customWidth="1"/>
    <col min="10504" max="10758" width="8.6640625" style="3"/>
    <col min="10759" max="10759" width="9.6640625" style="3" customWidth="1"/>
    <col min="10760" max="11014" width="8.6640625" style="3"/>
    <col min="11015" max="11015" width="9.6640625" style="3" customWidth="1"/>
    <col min="11016" max="11270" width="8.6640625" style="3"/>
    <col min="11271" max="11271" width="9.6640625" style="3" customWidth="1"/>
    <col min="11272" max="11526" width="8.6640625" style="3"/>
    <col min="11527" max="11527" width="9.6640625" style="3" customWidth="1"/>
    <col min="11528" max="11782" width="8.6640625" style="3"/>
    <col min="11783" max="11783" width="9.6640625" style="3" customWidth="1"/>
    <col min="11784" max="12038" width="8.6640625" style="3"/>
    <col min="12039" max="12039" width="9.6640625" style="3" customWidth="1"/>
    <col min="12040" max="12294" width="8.6640625" style="3"/>
    <col min="12295" max="12295" width="9.6640625" style="3" customWidth="1"/>
    <col min="12296" max="12550" width="8.6640625" style="3"/>
    <col min="12551" max="12551" width="9.6640625" style="3" customWidth="1"/>
    <col min="12552" max="12806" width="8.6640625" style="3"/>
    <col min="12807" max="12807" width="9.6640625" style="3" customWidth="1"/>
    <col min="12808" max="13062" width="8.6640625" style="3"/>
    <col min="13063" max="13063" width="9.6640625" style="3" customWidth="1"/>
    <col min="13064" max="13318" width="8.6640625" style="3"/>
    <col min="13319" max="13319" width="9.6640625" style="3" customWidth="1"/>
    <col min="13320" max="13574" width="8.6640625" style="3"/>
    <col min="13575" max="13575" width="9.6640625" style="3" customWidth="1"/>
    <col min="13576" max="13830" width="8.6640625" style="3"/>
    <col min="13831" max="13831" width="9.6640625" style="3" customWidth="1"/>
    <col min="13832" max="14086" width="8.6640625" style="3"/>
    <col min="14087" max="14087" width="9.6640625" style="3" customWidth="1"/>
    <col min="14088" max="14342" width="8.6640625" style="3"/>
    <col min="14343" max="14343" width="9.6640625" style="3" customWidth="1"/>
    <col min="14344" max="14598" width="8.6640625" style="3"/>
    <col min="14599" max="14599" width="9.6640625" style="3" customWidth="1"/>
    <col min="14600" max="14854" width="8.6640625" style="3"/>
    <col min="14855" max="14855" width="9.6640625" style="3" customWidth="1"/>
    <col min="14856" max="15110" width="8.6640625" style="3"/>
    <col min="15111" max="15111" width="9.6640625" style="3" customWidth="1"/>
    <col min="15112" max="15366" width="8.6640625" style="3"/>
    <col min="15367" max="15367" width="9.6640625" style="3" customWidth="1"/>
    <col min="15368" max="15622" width="8.6640625" style="3"/>
    <col min="15623" max="15623" width="9.6640625" style="3" customWidth="1"/>
    <col min="15624" max="15878" width="8.6640625" style="3"/>
    <col min="15879" max="15879" width="9.6640625" style="3" customWidth="1"/>
    <col min="15880" max="16134" width="8.6640625" style="3"/>
    <col min="16135" max="16135" width="9.6640625" style="3" customWidth="1"/>
    <col min="16136" max="16384" width="8.6640625" style="3"/>
  </cols>
  <sheetData>
    <row r="1" spans="1:25" ht="16" thickBot="1" x14ac:dyDescent="0.25">
      <c r="A1" s="1" t="s">
        <v>0</v>
      </c>
      <c r="B1" s="272" t="s">
        <v>57</v>
      </c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4"/>
      <c r="N1" s="2"/>
      <c r="O1" s="2"/>
    </row>
    <row r="2" spans="1:25" ht="16" thickBot="1" x14ac:dyDescent="0.25">
      <c r="A2" s="4" t="s">
        <v>1</v>
      </c>
      <c r="B2" s="5">
        <v>42564</v>
      </c>
      <c r="C2" s="6" t="s">
        <v>2</v>
      </c>
      <c r="D2" s="7"/>
      <c r="E2" s="8">
        <v>42565</v>
      </c>
      <c r="F2" s="103"/>
      <c r="G2" s="79"/>
      <c r="H2" s="11"/>
      <c r="I2" s="11"/>
      <c r="J2" s="11"/>
      <c r="K2" s="11"/>
      <c r="L2" s="11"/>
      <c r="X2" s="16"/>
    </row>
    <row r="3" spans="1:25" ht="16" thickBot="1" x14ac:dyDescent="0.25">
      <c r="A3" s="17" t="s">
        <v>7</v>
      </c>
      <c r="B3" s="18">
        <v>3</v>
      </c>
      <c r="C3" s="19"/>
      <c r="D3" s="19"/>
      <c r="E3" s="19"/>
      <c r="G3" s="11"/>
      <c r="L3" s="14" t="s">
        <v>5</v>
      </c>
      <c r="M3" s="15"/>
      <c r="N3" s="15"/>
      <c r="O3" s="16" t="s">
        <v>6</v>
      </c>
      <c r="P3" s="15"/>
    </row>
    <row r="4" spans="1:25" ht="16" thickBot="1" x14ac:dyDescent="0.25">
      <c r="A4" s="19" t="s">
        <v>10</v>
      </c>
      <c r="B4" s="19"/>
      <c r="C4" s="19"/>
      <c r="D4" s="19"/>
      <c r="E4" s="19"/>
      <c r="G4" s="1" t="s">
        <v>67</v>
      </c>
      <c r="L4" s="24" t="s">
        <v>8</v>
      </c>
      <c r="M4" s="24"/>
      <c r="N4" s="11"/>
      <c r="O4" s="3" t="s">
        <v>9</v>
      </c>
      <c r="P4" s="11"/>
    </row>
    <row r="5" spans="1:25" ht="16" thickBot="1" x14ac:dyDescent="0.25">
      <c r="A5" s="25" t="s">
        <v>58</v>
      </c>
      <c r="B5" s="26" t="s">
        <v>14</v>
      </c>
      <c r="C5" s="27" t="s">
        <v>15</v>
      </c>
      <c r="D5" s="28" t="s">
        <v>16</v>
      </c>
      <c r="E5" s="29">
        <v>1</v>
      </c>
      <c r="G5" s="102" t="s">
        <v>3</v>
      </c>
      <c r="H5" s="12">
        <v>830</v>
      </c>
      <c r="I5" s="13" t="s">
        <v>4</v>
      </c>
      <c r="L5" s="11" t="s">
        <v>12</v>
      </c>
      <c r="M5" s="11"/>
      <c r="N5" s="11"/>
      <c r="O5" s="3" t="s">
        <v>13</v>
      </c>
      <c r="P5" s="11"/>
    </row>
    <row r="6" spans="1:25" ht="16" thickBot="1" x14ac:dyDescent="0.25">
      <c r="A6" s="35" t="s">
        <v>22</v>
      </c>
      <c r="B6" s="36"/>
      <c r="C6" s="37"/>
      <c r="D6" s="38">
        <v>500</v>
      </c>
      <c r="E6" s="39">
        <f>D6*E$5</f>
        <v>500</v>
      </c>
      <c r="G6" s="105" t="s">
        <v>56</v>
      </c>
      <c r="H6" s="104" t="s">
        <v>69</v>
      </c>
      <c r="I6" s="23"/>
      <c r="L6" s="31" t="s">
        <v>20</v>
      </c>
      <c r="M6" s="32"/>
      <c r="N6" s="33"/>
      <c r="O6" s="3" t="s">
        <v>21</v>
      </c>
      <c r="P6" s="34"/>
    </row>
    <row r="7" spans="1:25" x14ac:dyDescent="0.2">
      <c r="A7" s="41" t="s">
        <v>26</v>
      </c>
      <c r="B7" s="36">
        <v>5</v>
      </c>
      <c r="C7" s="37">
        <f>B7/100*96</f>
        <v>4.8000000000000007</v>
      </c>
      <c r="D7" s="38">
        <f>C7</f>
        <v>4.8000000000000007</v>
      </c>
      <c r="E7" s="39">
        <f>D7*E$5</f>
        <v>4.8000000000000007</v>
      </c>
      <c r="G7" s="106" t="s">
        <v>68</v>
      </c>
      <c r="L7" s="40" t="s">
        <v>24</v>
      </c>
      <c r="M7" s="40"/>
      <c r="N7" s="11"/>
      <c r="O7" s="3" t="s">
        <v>25</v>
      </c>
      <c r="P7" s="11"/>
    </row>
    <row r="8" spans="1:25" x14ac:dyDescent="0.2">
      <c r="A8" s="41" t="s">
        <v>30</v>
      </c>
      <c r="B8" s="36">
        <v>10</v>
      </c>
      <c r="C8" s="37">
        <f>B8/100*96</f>
        <v>9.6000000000000014</v>
      </c>
      <c r="D8" s="38">
        <f>C8</f>
        <v>9.6000000000000014</v>
      </c>
      <c r="E8" s="39">
        <f>D8*E$5</f>
        <v>9.6000000000000014</v>
      </c>
      <c r="G8" s="21">
        <v>817</v>
      </c>
      <c r="H8" s="30" t="s">
        <v>18</v>
      </c>
      <c r="I8" s="23" t="s">
        <v>19</v>
      </c>
      <c r="L8" s="11" t="s">
        <v>28</v>
      </c>
      <c r="M8" s="15"/>
      <c r="N8" s="15"/>
      <c r="O8" s="11" t="s">
        <v>29</v>
      </c>
      <c r="P8" s="15"/>
    </row>
    <row r="9" spans="1:25" x14ac:dyDescent="0.2">
      <c r="A9" s="41" t="s">
        <v>32</v>
      </c>
      <c r="B9" s="36">
        <v>5</v>
      </c>
      <c r="C9" s="37">
        <f>B9/100*96</f>
        <v>4.8000000000000007</v>
      </c>
      <c r="D9" s="38">
        <f>C9</f>
        <v>4.8000000000000007</v>
      </c>
      <c r="E9" s="39">
        <f>D9*E$5</f>
        <v>4.8000000000000007</v>
      </c>
      <c r="G9" s="11"/>
      <c r="H9" s="67"/>
      <c r="I9" s="67"/>
      <c r="J9" s="11"/>
      <c r="L9" s="11" t="s">
        <v>31</v>
      </c>
      <c r="M9" s="11"/>
      <c r="N9" s="11"/>
      <c r="O9" s="11"/>
      <c r="P9" s="11"/>
    </row>
    <row r="10" spans="1:25" ht="16" thickBot="1" x14ac:dyDescent="0.25">
      <c r="A10" s="17" t="s">
        <v>35</v>
      </c>
      <c r="B10" s="44">
        <v>2.5</v>
      </c>
      <c r="C10" s="45">
        <f>B10/100*96</f>
        <v>2.4000000000000004</v>
      </c>
      <c r="D10" s="46">
        <f>C10</f>
        <v>2.4000000000000004</v>
      </c>
      <c r="E10" s="47">
        <f>D10*E$5</f>
        <v>2.4000000000000004</v>
      </c>
      <c r="G10" s="77" t="s">
        <v>74</v>
      </c>
      <c r="H10" s="21"/>
      <c r="I10" s="21"/>
      <c r="J10" s="21"/>
      <c r="K10" s="21"/>
      <c r="L10" s="11" t="s">
        <v>34</v>
      </c>
      <c r="M10" s="11"/>
      <c r="N10" s="11"/>
      <c r="O10" s="11"/>
      <c r="P10" s="11"/>
    </row>
    <row r="11" spans="1:25" ht="16" thickBot="1" x14ac:dyDescent="0.25">
      <c r="G11" s="78">
        <v>12</v>
      </c>
      <c r="H11" s="20" t="s">
        <v>70</v>
      </c>
      <c r="I11" s="21"/>
      <c r="J11" s="21"/>
      <c r="K11" s="21"/>
      <c r="L11" s="11" t="s">
        <v>36</v>
      </c>
      <c r="M11" s="33"/>
      <c r="N11" s="33"/>
      <c r="O11" s="33"/>
      <c r="P11" s="34"/>
      <c r="R11" s="11"/>
      <c r="S11" s="11"/>
      <c r="T11" s="11"/>
      <c r="U11" s="11"/>
      <c r="Y11" s="51"/>
    </row>
    <row r="12" spans="1:25" ht="16" thickBot="1" x14ac:dyDescent="0.25">
      <c r="A12" s="25" t="s">
        <v>59</v>
      </c>
      <c r="B12" s="26" t="s">
        <v>14</v>
      </c>
      <c r="C12" s="27" t="s">
        <v>15</v>
      </c>
      <c r="D12" s="27" t="s">
        <v>16</v>
      </c>
      <c r="E12" s="92">
        <v>1</v>
      </c>
      <c r="G12" s="78">
        <v>3</v>
      </c>
      <c r="H12" s="21" t="s">
        <v>11</v>
      </c>
      <c r="I12" s="21"/>
      <c r="J12" s="21"/>
      <c r="K12" s="21"/>
      <c r="L12" s="49"/>
      <c r="M12" s="11"/>
      <c r="N12" s="11"/>
      <c r="O12" s="11"/>
      <c r="P12" s="11"/>
      <c r="Q12" s="11"/>
      <c r="R12" s="11"/>
      <c r="S12" s="11"/>
      <c r="T12" s="11"/>
      <c r="U12" s="11"/>
    </row>
    <row r="13" spans="1:25" x14ac:dyDescent="0.2">
      <c r="A13" s="35" t="s">
        <v>22</v>
      </c>
      <c r="B13" s="37"/>
      <c r="C13" s="37"/>
      <c r="D13" s="37">
        <v>500</v>
      </c>
      <c r="E13" s="93">
        <f>D13*E$12</f>
        <v>500</v>
      </c>
      <c r="G13" s="21">
        <f>25*G12*G11</f>
        <v>900</v>
      </c>
      <c r="H13" s="21" t="s">
        <v>17</v>
      </c>
      <c r="I13" s="21"/>
      <c r="J13" s="21"/>
      <c r="K13" s="21"/>
      <c r="L13" s="49"/>
      <c r="M13" s="11"/>
      <c r="N13" s="11"/>
      <c r="O13" s="11"/>
      <c r="P13" s="11"/>
      <c r="Q13" s="11"/>
      <c r="R13" s="11"/>
      <c r="S13" s="11"/>
      <c r="T13" s="11"/>
      <c r="U13" s="11"/>
      <c r="V13" s="11"/>
      <c r="Y13" s="55"/>
    </row>
    <row r="14" spans="1:25" x14ac:dyDescent="0.2">
      <c r="A14" s="41" t="s">
        <v>30</v>
      </c>
      <c r="B14" s="37">
        <v>10</v>
      </c>
      <c r="C14" s="37">
        <f>B14/100*96</f>
        <v>9.6000000000000014</v>
      </c>
      <c r="D14" s="37">
        <f>C14</f>
        <v>9.6000000000000014</v>
      </c>
      <c r="E14" s="93">
        <f>D14*E$12</f>
        <v>9.6000000000000014</v>
      </c>
      <c r="G14" s="21">
        <f>(G13+0.2*G13)*1.5</f>
        <v>1620</v>
      </c>
      <c r="H14" s="20" t="s">
        <v>23</v>
      </c>
      <c r="I14" s="21"/>
      <c r="J14" s="21"/>
      <c r="K14" s="21"/>
      <c r="L14" s="49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5" ht="16" thickBot="1" x14ac:dyDescent="0.25">
      <c r="A15" s="17" t="s">
        <v>32</v>
      </c>
      <c r="B15" s="45">
        <v>5</v>
      </c>
      <c r="C15" s="45">
        <f>B15/100*96</f>
        <v>4.8000000000000007</v>
      </c>
      <c r="D15" s="45">
        <f>C15</f>
        <v>4.8000000000000007</v>
      </c>
      <c r="E15" s="94">
        <f>D15*E$12</f>
        <v>4.8000000000000007</v>
      </c>
      <c r="G15" s="21" t="s">
        <v>73</v>
      </c>
      <c r="H15" s="21" t="s">
        <v>71</v>
      </c>
      <c r="I15" s="21" t="s">
        <v>76</v>
      </c>
      <c r="J15" s="21" t="s">
        <v>72</v>
      </c>
      <c r="K15" s="21" t="s">
        <v>27</v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5" ht="16" thickBot="1" x14ac:dyDescent="0.25">
      <c r="A16" s="91"/>
      <c r="B16" s="53"/>
      <c r="C16" s="53"/>
      <c r="D16" s="53"/>
      <c r="E16" s="53"/>
      <c r="G16" s="21">
        <f>K16*J16/H16/1000</f>
        <v>1.62</v>
      </c>
      <c r="H16" s="78">
        <v>1000</v>
      </c>
      <c r="I16" s="21">
        <f>K16-G16</f>
        <v>1618.38</v>
      </c>
      <c r="J16" s="78">
        <v>1000</v>
      </c>
      <c r="K16" s="21">
        <f>G14</f>
        <v>1620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Y16" s="55"/>
    </row>
    <row r="17" spans="1:25" ht="16" thickBot="1" x14ac:dyDescent="0.25">
      <c r="A17" s="25" t="s">
        <v>60</v>
      </c>
      <c r="B17" s="26" t="s">
        <v>14</v>
      </c>
      <c r="C17" s="27" t="s">
        <v>15</v>
      </c>
      <c r="D17" s="28" t="s">
        <v>16</v>
      </c>
      <c r="E17" s="29">
        <v>1</v>
      </c>
      <c r="G17" s="275" t="s">
        <v>75</v>
      </c>
      <c r="H17" s="275"/>
      <c r="I17" s="21" t="s">
        <v>76</v>
      </c>
      <c r="J17" s="21"/>
      <c r="K17" s="21"/>
      <c r="L17" s="11"/>
      <c r="M17" s="11"/>
      <c r="N17" s="11"/>
      <c r="O17" s="11"/>
      <c r="P17" s="11"/>
      <c r="Q17" s="11"/>
      <c r="R17" s="11"/>
      <c r="S17" s="33"/>
      <c r="T17" s="67"/>
      <c r="U17" s="67"/>
      <c r="V17" s="11"/>
    </row>
    <row r="18" spans="1:25" x14ac:dyDescent="0.2">
      <c r="A18" s="35" t="s">
        <v>22</v>
      </c>
      <c r="B18" s="36"/>
      <c r="C18" s="37"/>
      <c r="D18" s="38">
        <v>500</v>
      </c>
      <c r="E18" s="39">
        <f>D18*E$5</f>
        <v>500</v>
      </c>
      <c r="F18" s="11"/>
      <c r="G18" s="21">
        <f>K16/3</f>
        <v>540</v>
      </c>
      <c r="H18" s="21" t="s">
        <v>33</v>
      </c>
      <c r="I18" s="21">
        <f>K16*2/3</f>
        <v>1080</v>
      </c>
      <c r="J18" s="21"/>
      <c r="K18" s="21"/>
      <c r="L18" s="11"/>
      <c r="M18" s="79"/>
      <c r="N18" s="11"/>
      <c r="O18" s="11"/>
      <c r="P18" s="11"/>
      <c r="Q18" s="11"/>
      <c r="R18" s="11"/>
      <c r="S18" s="11"/>
      <c r="T18" s="11"/>
      <c r="U18" s="11"/>
      <c r="V18" s="11"/>
    </row>
    <row r="19" spans="1:25" x14ac:dyDescent="0.2">
      <c r="A19" s="41" t="s">
        <v>30</v>
      </c>
      <c r="B19" s="36">
        <v>10</v>
      </c>
      <c r="C19" s="37">
        <f>B19/100*96</f>
        <v>9.6000000000000014</v>
      </c>
      <c r="D19" s="38">
        <f>C19</f>
        <v>9.6000000000000014</v>
      </c>
      <c r="E19" s="39">
        <f>D19*E$5</f>
        <v>9.6000000000000014</v>
      </c>
      <c r="F19" s="11"/>
      <c r="M19" s="11"/>
      <c r="N19" s="42"/>
      <c r="O19" s="11"/>
      <c r="P19" s="11"/>
      <c r="Q19" s="11"/>
      <c r="R19" s="11"/>
      <c r="S19" s="34"/>
      <c r="T19" s="67"/>
      <c r="U19" s="67"/>
      <c r="V19" s="11"/>
      <c r="Y19" s="55"/>
    </row>
    <row r="20" spans="1:25" x14ac:dyDescent="0.2">
      <c r="A20" s="41" t="s">
        <v>32</v>
      </c>
      <c r="B20" s="36">
        <v>5</v>
      </c>
      <c r="C20" s="37">
        <f>B20/100*96</f>
        <v>4.8000000000000007</v>
      </c>
      <c r="D20" s="38">
        <f>C20</f>
        <v>4.8000000000000007</v>
      </c>
      <c r="E20" s="39">
        <f>D20*E$5</f>
        <v>4.8000000000000007</v>
      </c>
      <c r="F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5" ht="16" thickBot="1" x14ac:dyDescent="0.25">
      <c r="A21" s="17" t="s">
        <v>35</v>
      </c>
      <c r="B21" s="44">
        <v>2.5</v>
      </c>
      <c r="C21" s="45">
        <f>B21/100*96</f>
        <v>2.4000000000000004</v>
      </c>
      <c r="D21" s="46">
        <f>C21</f>
        <v>2.4000000000000004</v>
      </c>
      <c r="E21" s="47">
        <f>D21*E$5</f>
        <v>2.4000000000000004</v>
      </c>
      <c r="F21" s="11"/>
      <c r="M21" s="113"/>
      <c r="N21" s="11"/>
      <c r="O21" s="11"/>
      <c r="P21" s="11"/>
      <c r="Q21" s="11"/>
      <c r="R21" s="11"/>
      <c r="S21" s="11"/>
      <c r="T21" s="11"/>
      <c r="U21" s="11"/>
    </row>
    <row r="22" spans="1:25" ht="16" thickBot="1" x14ac:dyDescent="0.25">
      <c r="F22" s="11"/>
      <c r="M22" s="11"/>
      <c r="N22" s="42"/>
      <c r="O22" s="11"/>
      <c r="P22" s="11"/>
      <c r="Q22" s="11"/>
      <c r="R22" s="11"/>
      <c r="S22" s="11"/>
      <c r="T22" s="11"/>
      <c r="U22" s="11"/>
    </row>
    <row r="23" spans="1:25" ht="16" thickBot="1" x14ac:dyDescent="0.25">
      <c r="A23" s="48" t="s">
        <v>37</v>
      </c>
      <c r="F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5" x14ac:dyDescent="0.2">
      <c r="A24" s="52" t="s">
        <v>22</v>
      </c>
      <c r="B24" s="37">
        <v>450</v>
      </c>
      <c r="C24" s="37">
        <f>B24*B3</f>
        <v>1350</v>
      </c>
      <c r="D24" s="53"/>
      <c r="E24" s="53"/>
      <c r="F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5" x14ac:dyDescent="0.2">
      <c r="A25" s="54" t="s">
        <v>38</v>
      </c>
      <c r="B25" s="37">
        <f>B24/25</f>
        <v>18</v>
      </c>
      <c r="C25" s="37">
        <f>B25*B3</f>
        <v>54</v>
      </c>
      <c r="F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5" ht="16" thickBot="1" x14ac:dyDescent="0.25">
      <c r="F26" s="11"/>
      <c r="H26" s="3" t="s">
        <v>86</v>
      </c>
      <c r="M26" s="79"/>
      <c r="N26" s="11"/>
      <c r="O26" s="11"/>
      <c r="P26" s="11"/>
      <c r="Q26" s="11"/>
      <c r="R26" s="11"/>
      <c r="S26" s="11"/>
      <c r="T26" s="11"/>
      <c r="U26" s="11"/>
    </row>
    <row r="27" spans="1:25" ht="16" thickBot="1" x14ac:dyDescent="0.25">
      <c r="A27" s="56" t="s">
        <v>39</v>
      </c>
      <c r="B27" s="57"/>
      <c r="C27" s="57"/>
      <c r="D27" s="58" t="s">
        <v>77</v>
      </c>
      <c r="E27" s="115"/>
      <c r="F27" s="116"/>
      <c r="G27" s="89"/>
      <c r="H27" s="50" t="s">
        <v>78</v>
      </c>
      <c r="I27" s="9"/>
      <c r="J27" s="10"/>
      <c r="M27" s="11"/>
      <c r="N27" s="42"/>
      <c r="O27" s="11"/>
      <c r="P27" s="11"/>
      <c r="Q27" s="11"/>
      <c r="R27" s="11"/>
      <c r="S27" s="11"/>
      <c r="T27" s="11"/>
      <c r="U27" s="11"/>
    </row>
    <row r="28" spans="1:25" ht="16" thickBot="1" x14ac:dyDescent="0.25">
      <c r="A28" s="59"/>
      <c r="B28" s="60" t="s">
        <v>40</v>
      </c>
      <c r="C28" s="61" t="s">
        <v>41</v>
      </c>
      <c r="D28" s="62">
        <f>6*8</f>
        <v>48</v>
      </c>
      <c r="F28" s="89"/>
      <c r="G28" s="88"/>
      <c r="H28" s="122" t="s">
        <v>79</v>
      </c>
      <c r="I28" s="83"/>
      <c r="J28" s="123">
        <v>6</v>
      </c>
      <c r="K28" s="110"/>
      <c r="M28" s="11"/>
      <c r="N28" s="11"/>
      <c r="O28" s="11"/>
      <c r="P28" s="11"/>
      <c r="Q28" s="11"/>
      <c r="R28" s="11"/>
      <c r="S28" s="11"/>
      <c r="T28" s="11"/>
      <c r="U28" s="11"/>
    </row>
    <row r="29" spans="1:25" x14ac:dyDescent="0.2">
      <c r="A29" s="63" t="s">
        <v>42</v>
      </c>
      <c r="B29" s="64">
        <v>0.05</v>
      </c>
      <c r="C29" s="65">
        <f>B29*8</f>
        <v>0.4</v>
      </c>
      <c r="D29" s="66">
        <f>((B29*D28)*0.1)+(B29*D28)</f>
        <v>2.6400000000000006</v>
      </c>
      <c r="F29" s="88"/>
      <c r="G29" s="89"/>
      <c r="H29" s="124" t="s">
        <v>80</v>
      </c>
      <c r="I29" s="107"/>
      <c r="J29" s="125">
        <v>6</v>
      </c>
      <c r="K29" s="11"/>
      <c r="M29" s="113"/>
      <c r="N29" s="11"/>
      <c r="O29" s="11"/>
      <c r="P29" s="11"/>
      <c r="Q29" s="11"/>
      <c r="R29" s="11"/>
      <c r="S29" s="11"/>
      <c r="T29" s="11"/>
      <c r="U29" s="11"/>
    </row>
    <row r="30" spans="1:25" x14ac:dyDescent="0.2">
      <c r="A30" s="68" t="s">
        <v>43</v>
      </c>
      <c r="B30" s="64">
        <f>50/12</f>
        <v>4.166666666666667</v>
      </c>
      <c r="C30" s="65">
        <f>B30*8</f>
        <v>33.333333333333336</v>
      </c>
      <c r="D30" s="69">
        <f>((B30*D28)*0.1)+(B30*D28)</f>
        <v>220</v>
      </c>
      <c r="F30" s="88"/>
      <c r="G30" s="89"/>
      <c r="H30" s="124" t="s">
        <v>82</v>
      </c>
      <c r="I30" s="111"/>
      <c r="J30" s="126">
        <v>6</v>
      </c>
      <c r="K30" s="11"/>
      <c r="M30" s="11"/>
      <c r="N30" s="42"/>
      <c r="O30" s="11"/>
      <c r="P30" s="11"/>
      <c r="Q30" s="11"/>
      <c r="R30" s="11"/>
      <c r="S30" s="11"/>
      <c r="T30" s="11"/>
      <c r="U30" s="11"/>
    </row>
    <row r="31" spans="1:25" x14ac:dyDescent="0.2">
      <c r="A31" s="70" t="s">
        <v>44</v>
      </c>
      <c r="B31" s="64">
        <f>50/12</f>
        <v>4.166666666666667</v>
      </c>
      <c r="C31" s="65">
        <f>B31*8</f>
        <v>33.333333333333336</v>
      </c>
      <c r="D31" s="71">
        <f>((B31*D28)*0.1)+(B31*D28)</f>
        <v>220</v>
      </c>
      <c r="F31" s="88"/>
      <c r="G31" s="89"/>
      <c r="H31" s="124" t="s">
        <v>81</v>
      </c>
      <c r="I31" s="42"/>
      <c r="J31" s="127">
        <v>6</v>
      </c>
      <c r="K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5" x14ac:dyDescent="0.2">
      <c r="A32" s="117" t="s">
        <v>45</v>
      </c>
      <c r="B32" s="64">
        <f>500/12</f>
        <v>41.666666666666664</v>
      </c>
      <c r="C32" s="65">
        <f>B32*8</f>
        <v>333.33333333333331</v>
      </c>
      <c r="D32" s="118">
        <f>((B32*D28)*0.1)+(B32*D28)</f>
        <v>2200</v>
      </c>
      <c r="E32" s="55"/>
      <c r="F32" s="88" t="s">
        <v>85</v>
      </c>
      <c r="G32" s="89"/>
      <c r="H32" s="124" t="s">
        <v>83</v>
      </c>
      <c r="I32" s="42"/>
      <c r="J32" s="127">
        <v>6</v>
      </c>
      <c r="K32" s="11"/>
      <c r="M32" s="87"/>
      <c r="N32" s="11"/>
      <c r="O32" s="87"/>
      <c r="P32" s="11"/>
      <c r="Q32" s="87"/>
      <c r="R32" s="11"/>
      <c r="S32" s="11"/>
      <c r="T32" s="11"/>
      <c r="U32" s="11"/>
    </row>
    <row r="33" spans="1:22" ht="16" thickBot="1" x14ac:dyDescent="0.25">
      <c r="A33" s="119" t="s">
        <v>46</v>
      </c>
      <c r="B33" s="72">
        <f>B32/2</f>
        <v>20.833333333333332</v>
      </c>
      <c r="C33" s="73">
        <f>B33*8</f>
        <v>166.66666666666666</v>
      </c>
      <c r="D33" s="120">
        <f>((B33*D28)*0.1)+(B33*D28)</f>
        <v>1100</v>
      </c>
      <c r="F33" s="88"/>
      <c r="G33" s="89"/>
      <c r="H33" s="128" t="s">
        <v>84</v>
      </c>
      <c r="I33" s="42"/>
      <c r="J33" s="127">
        <v>6</v>
      </c>
      <c r="K33" s="11"/>
      <c r="M33" s="11"/>
      <c r="N33" s="11"/>
      <c r="O33" s="132"/>
      <c r="P33" s="11"/>
      <c r="Q33" s="11"/>
      <c r="R33" s="11"/>
      <c r="S33" s="11"/>
      <c r="T33" s="11"/>
      <c r="U33" s="11"/>
    </row>
    <row r="34" spans="1:22" ht="16" thickBot="1" x14ac:dyDescent="0.25">
      <c r="D34" s="16"/>
      <c r="E34" s="16"/>
      <c r="F34" s="80"/>
      <c r="G34" s="11"/>
      <c r="H34" s="129"/>
      <c r="I34" s="130"/>
      <c r="J34" s="131">
        <f>SUM(J28:J33)</f>
        <v>36</v>
      </c>
      <c r="K34" s="11"/>
      <c r="M34" s="79"/>
      <c r="N34" s="11"/>
      <c r="O34" s="11"/>
      <c r="P34" s="11"/>
      <c r="Q34" s="11"/>
      <c r="R34" s="11"/>
      <c r="S34" s="11"/>
      <c r="T34" s="11"/>
      <c r="U34" s="11"/>
    </row>
    <row r="35" spans="1:22" x14ac:dyDescent="0.2">
      <c r="A35" s="96" t="s">
        <v>47</v>
      </c>
      <c r="B35" s="74" t="s">
        <v>48</v>
      </c>
      <c r="C35" s="74" t="s">
        <v>49</v>
      </c>
      <c r="D35" s="75" t="s">
        <v>50</v>
      </c>
      <c r="E35" s="76" t="s">
        <v>51</v>
      </c>
      <c r="F35" s="80"/>
      <c r="G35" s="11"/>
      <c r="H35" s="11"/>
      <c r="I35" s="11"/>
      <c r="J35" s="11"/>
      <c r="K35" s="11"/>
      <c r="M35" s="11"/>
      <c r="N35" s="42"/>
      <c r="O35" s="11"/>
      <c r="P35" s="11"/>
      <c r="Q35" s="11"/>
      <c r="R35" s="11"/>
      <c r="S35" s="11"/>
      <c r="T35" s="11"/>
      <c r="U35" s="11"/>
    </row>
    <row r="36" spans="1:22" x14ac:dyDescent="0.2">
      <c r="A36" s="97" t="s">
        <v>52</v>
      </c>
      <c r="B36" s="21">
        <v>830</v>
      </c>
      <c r="C36" s="21">
        <v>999</v>
      </c>
      <c r="D36" s="77">
        <v>830</v>
      </c>
      <c r="E36" s="22">
        <v>999</v>
      </c>
      <c r="F36" s="82"/>
      <c r="J36" s="11"/>
      <c r="K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2" x14ac:dyDescent="0.2">
      <c r="A37" s="97" t="s">
        <v>53</v>
      </c>
      <c r="B37" s="21">
        <v>817</v>
      </c>
      <c r="C37" s="21">
        <v>817</v>
      </c>
      <c r="D37" s="77">
        <v>817</v>
      </c>
      <c r="E37" s="22">
        <v>817</v>
      </c>
      <c r="F37" s="11"/>
      <c r="J37" s="11"/>
      <c r="K37" s="84"/>
      <c r="M37" s="85"/>
      <c r="N37" s="11"/>
      <c r="O37" s="11"/>
      <c r="P37" s="11"/>
      <c r="Q37" s="11"/>
      <c r="R37" s="11"/>
      <c r="S37" s="11"/>
      <c r="T37" s="11"/>
      <c r="U37" s="11"/>
    </row>
    <row r="38" spans="1:22" x14ac:dyDescent="0.2">
      <c r="A38" s="97" t="s">
        <v>61</v>
      </c>
      <c r="B38" s="43" t="s">
        <v>62</v>
      </c>
      <c r="C38" s="43" t="s">
        <v>62</v>
      </c>
      <c r="D38" s="95" t="s">
        <v>63</v>
      </c>
      <c r="E38" s="98" t="s">
        <v>63</v>
      </c>
      <c r="F38" s="11"/>
      <c r="J38" s="108"/>
      <c r="K38" s="108"/>
      <c r="M38" s="11"/>
      <c r="N38" s="42"/>
      <c r="O38" s="11"/>
      <c r="P38" s="11"/>
      <c r="Q38" s="11"/>
      <c r="R38" s="11"/>
      <c r="S38" s="11"/>
      <c r="T38" s="11"/>
      <c r="U38" s="11"/>
    </row>
    <row r="39" spans="1:22" ht="16" thickBot="1" x14ac:dyDescent="0.25">
      <c r="A39" s="99" t="s">
        <v>64</v>
      </c>
      <c r="B39" s="100" t="s">
        <v>65</v>
      </c>
      <c r="C39" s="100" t="s">
        <v>65</v>
      </c>
      <c r="D39" s="81" t="s">
        <v>63</v>
      </c>
      <c r="E39" s="101" t="s">
        <v>63</v>
      </c>
      <c r="F39" s="11"/>
      <c r="J39" s="111"/>
      <c r="K39" s="111"/>
      <c r="M39" s="11"/>
      <c r="N39" s="11"/>
      <c r="O39" s="11"/>
      <c r="P39" s="11"/>
      <c r="Q39" s="11"/>
      <c r="R39" s="11"/>
      <c r="S39" s="11"/>
      <c r="T39" s="11"/>
      <c r="U39" s="11"/>
    </row>
    <row r="40" spans="1:22" ht="16" thickBot="1" x14ac:dyDescent="0.25">
      <c r="F40" s="11"/>
      <c r="J40" s="112"/>
      <c r="K40" s="112"/>
      <c r="M40" s="87"/>
      <c r="N40" s="11"/>
      <c r="O40" s="87"/>
      <c r="P40" s="11"/>
      <c r="Q40" s="87"/>
      <c r="R40" s="11"/>
      <c r="S40" s="11"/>
      <c r="T40" s="11"/>
      <c r="U40" s="11"/>
    </row>
    <row r="41" spans="1:22" x14ac:dyDescent="0.2">
      <c r="A41" s="96" t="s">
        <v>54</v>
      </c>
      <c r="B41" s="74" t="s">
        <v>48</v>
      </c>
      <c r="C41" s="74" t="s">
        <v>49</v>
      </c>
      <c r="D41" s="75" t="s">
        <v>50</v>
      </c>
      <c r="E41" s="76" t="s">
        <v>51</v>
      </c>
      <c r="F41" s="11"/>
      <c r="J41" s="112"/>
      <c r="K41" s="112"/>
      <c r="M41" s="11"/>
      <c r="N41" s="11"/>
      <c r="O41" s="11"/>
      <c r="P41" s="11"/>
      <c r="Q41" s="11"/>
      <c r="R41" s="11"/>
      <c r="S41" s="11"/>
      <c r="T41" s="11"/>
      <c r="U41" s="11"/>
    </row>
    <row r="42" spans="1:22" x14ac:dyDescent="0.2">
      <c r="A42" s="97" t="s">
        <v>52</v>
      </c>
      <c r="B42" s="21">
        <v>830</v>
      </c>
      <c r="C42" s="21">
        <v>999</v>
      </c>
      <c r="D42" s="77">
        <v>830</v>
      </c>
      <c r="E42" s="22">
        <v>999</v>
      </c>
      <c r="F42" s="11"/>
      <c r="J42" s="112"/>
      <c r="K42" s="112"/>
      <c r="M42" s="79"/>
      <c r="N42" s="11"/>
      <c r="O42" s="11"/>
      <c r="P42" s="11"/>
      <c r="Q42" s="11"/>
      <c r="R42" s="11"/>
      <c r="S42" s="11"/>
      <c r="T42" s="11"/>
      <c r="U42" s="11"/>
    </row>
    <row r="43" spans="1:22" x14ac:dyDescent="0.2">
      <c r="A43" s="97" t="s">
        <v>53</v>
      </c>
      <c r="B43" s="21">
        <v>817</v>
      </c>
      <c r="C43" s="21">
        <v>817</v>
      </c>
      <c r="D43" s="77">
        <v>817</v>
      </c>
      <c r="E43" s="22">
        <v>817</v>
      </c>
      <c r="F43" s="11"/>
      <c r="J43" s="112"/>
      <c r="K43" s="112"/>
      <c r="M43" s="11"/>
      <c r="N43" s="42"/>
      <c r="O43" s="11"/>
      <c r="P43" s="11"/>
      <c r="Q43" s="11"/>
      <c r="R43" s="11"/>
      <c r="S43" s="11"/>
      <c r="T43" s="11"/>
      <c r="U43" s="11"/>
    </row>
    <row r="44" spans="1:22" x14ac:dyDescent="0.2">
      <c r="A44" s="97" t="s">
        <v>61</v>
      </c>
      <c r="B44" s="43" t="s">
        <v>63</v>
      </c>
      <c r="C44" s="43" t="s">
        <v>63</v>
      </c>
      <c r="D44" s="95" t="s">
        <v>62</v>
      </c>
      <c r="E44" s="98" t="s">
        <v>62</v>
      </c>
      <c r="F44" s="11"/>
      <c r="G44" s="109"/>
      <c r="H44" s="42"/>
      <c r="I44" s="42"/>
      <c r="J44" s="112"/>
      <c r="K44" s="112"/>
      <c r="M44" s="11"/>
      <c r="N44" s="11"/>
      <c r="O44" s="11"/>
      <c r="P44" s="11"/>
      <c r="Q44" s="11"/>
      <c r="R44" s="11"/>
      <c r="S44" s="11"/>
      <c r="T44" s="11"/>
      <c r="U44" s="11"/>
      <c r="V44" s="11"/>
    </row>
    <row r="45" spans="1:22" ht="16" thickBot="1" x14ac:dyDescent="0.25">
      <c r="A45" s="99" t="s">
        <v>64</v>
      </c>
      <c r="B45" s="100" t="s">
        <v>63</v>
      </c>
      <c r="C45" s="100" t="s">
        <v>63</v>
      </c>
      <c r="D45" s="81" t="s">
        <v>66</v>
      </c>
      <c r="E45" s="101" t="s">
        <v>66</v>
      </c>
      <c r="F45" s="11"/>
      <c r="G45" s="109"/>
      <c r="H45" s="42"/>
      <c r="I45" s="42"/>
      <c r="J45" s="112"/>
      <c r="K45" s="112"/>
      <c r="M45" s="85"/>
      <c r="N45" s="11"/>
      <c r="O45" s="11"/>
      <c r="P45" s="11"/>
      <c r="Q45" s="11"/>
      <c r="R45" s="11"/>
      <c r="S45" s="11"/>
      <c r="T45" s="11"/>
      <c r="U45" s="11"/>
    </row>
    <row r="46" spans="1:22" ht="16" thickBot="1" x14ac:dyDescent="0.25">
      <c r="A46" s="49"/>
      <c r="B46" s="33"/>
      <c r="C46" s="34"/>
      <c r="D46" s="86"/>
      <c r="E46" s="34"/>
      <c r="F46" s="11"/>
      <c r="G46" s="109"/>
      <c r="H46" s="42"/>
      <c r="I46" s="42"/>
      <c r="J46" s="112"/>
      <c r="K46" s="112"/>
      <c r="M46" s="11"/>
      <c r="N46" s="42"/>
      <c r="O46" s="11"/>
      <c r="P46" s="11"/>
      <c r="Q46" s="11"/>
    </row>
    <row r="47" spans="1:22" x14ac:dyDescent="0.2">
      <c r="A47" s="96" t="s">
        <v>55</v>
      </c>
      <c r="B47" s="74" t="s">
        <v>48</v>
      </c>
      <c r="C47" s="74" t="s">
        <v>49</v>
      </c>
      <c r="D47" s="75" t="s">
        <v>50</v>
      </c>
      <c r="E47" s="76" t="s">
        <v>51</v>
      </c>
      <c r="G47" s="11"/>
      <c r="H47" s="11"/>
      <c r="I47" s="79"/>
      <c r="J47" s="11"/>
      <c r="M47" s="11"/>
      <c r="N47" s="11"/>
      <c r="O47" s="11"/>
      <c r="P47" s="11"/>
      <c r="Q47" s="11"/>
    </row>
    <row r="48" spans="1:22" x14ac:dyDescent="0.2">
      <c r="A48" s="97" t="s">
        <v>52</v>
      </c>
      <c r="B48" s="21">
        <v>830</v>
      </c>
      <c r="C48" s="21">
        <v>999</v>
      </c>
      <c r="D48" s="77">
        <v>830</v>
      </c>
      <c r="E48" s="22">
        <v>999</v>
      </c>
      <c r="G48" s="11"/>
      <c r="H48" s="34"/>
      <c r="I48" s="86"/>
      <c r="J48" s="34"/>
      <c r="M48" s="87"/>
      <c r="N48" s="11"/>
      <c r="O48" s="87"/>
      <c r="P48" s="11"/>
      <c r="Q48" s="87"/>
    </row>
    <row r="49" spans="1:16" x14ac:dyDescent="0.2">
      <c r="A49" s="97" t="s">
        <v>53</v>
      </c>
      <c r="B49" s="21">
        <v>817</v>
      </c>
      <c r="C49" s="21">
        <v>817</v>
      </c>
      <c r="D49" s="77">
        <v>817</v>
      </c>
      <c r="E49" s="22">
        <v>817</v>
      </c>
      <c r="G49" s="88"/>
      <c r="H49" s="89"/>
      <c r="I49" s="89"/>
      <c r="J49" s="90"/>
      <c r="K49" s="11"/>
    </row>
    <row r="50" spans="1:16" x14ac:dyDescent="0.2">
      <c r="A50" s="97" t="s">
        <v>61</v>
      </c>
      <c r="B50" s="43" t="s">
        <v>62</v>
      </c>
      <c r="C50" s="43" t="s">
        <v>62</v>
      </c>
      <c r="D50" s="95" t="s">
        <v>62</v>
      </c>
      <c r="E50" s="98" t="s">
        <v>62</v>
      </c>
      <c r="G50" s="11"/>
      <c r="H50" s="67"/>
      <c r="I50" s="67"/>
      <c r="J50" s="11"/>
      <c r="K50" s="11"/>
      <c r="L50" s="11"/>
      <c r="M50" s="11"/>
      <c r="N50" s="11"/>
      <c r="O50" s="11"/>
      <c r="P50" s="11"/>
    </row>
    <row r="51" spans="1:16" ht="16" thickBot="1" x14ac:dyDescent="0.25">
      <c r="A51" s="99" t="s">
        <v>64</v>
      </c>
      <c r="B51" s="100" t="s">
        <v>66</v>
      </c>
      <c r="C51" s="100" t="s">
        <v>66</v>
      </c>
      <c r="D51" s="81" t="s">
        <v>65</v>
      </c>
      <c r="E51" s="101" t="s">
        <v>65</v>
      </c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49"/>
      <c r="B52" s="11"/>
      <c r="C52" s="11"/>
      <c r="D52" s="79"/>
      <c r="E52" s="11"/>
      <c r="F52" s="11"/>
      <c r="G52" s="121"/>
      <c r="H52" s="67"/>
      <c r="I52" s="67"/>
      <c r="J52" s="11"/>
      <c r="K52" s="11"/>
      <c r="L52" s="11"/>
      <c r="M52" s="11"/>
      <c r="N52" s="11"/>
      <c r="O52" s="11"/>
      <c r="P52" s="11"/>
    </row>
    <row r="53" spans="1:16" x14ac:dyDescent="0.2">
      <c r="A53" s="49"/>
      <c r="B53" s="33"/>
      <c r="C53" s="34"/>
      <c r="D53" s="79"/>
      <c r="E53" s="34"/>
      <c r="F53" s="11"/>
      <c r="G53" s="11"/>
      <c r="H53" s="67"/>
      <c r="I53" s="67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67"/>
      <c r="I54" s="67"/>
      <c r="J54" s="11"/>
      <c r="K54" s="11"/>
      <c r="L54" s="11"/>
      <c r="M54" s="11"/>
      <c r="N54" s="11"/>
      <c r="O54" s="11"/>
      <c r="P54" s="11"/>
    </row>
    <row r="55" spans="1:16" x14ac:dyDescent="0.2">
      <c r="A55" s="49"/>
      <c r="B55" s="11"/>
      <c r="C55" s="11"/>
      <c r="D55" s="79"/>
      <c r="E55" s="79"/>
      <c r="F55" s="11"/>
      <c r="G55" s="11"/>
      <c r="H55" s="67"/>
      <c r="I55" s="67"/>
      <c r="J55" s="11"/>
      <c r="K55" s="11"/>
      <c r="L55" s="11"/>
      <c r="M55" s="11"/>
      <c r="N55" s="11"/>
      <c r="O55" s="11"/>
      <c r="P55" s="11"/>
    </row>
    <row r="56" spans="1:16" x14ac:dyDescent="0.2">
      <c r="A56" s="15"/>
      <c r="B56" s="11"/>
      <c r="C56" s="11"/>
      <c r="D56" s="79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49"/>
      <c r="B57" s="11"/>
      <c r="C57" s="11"/>
      <c r="D57" s="79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spans="1:16" x14ac:dyDescent="0.2">
      <c r="A58" s="49"/>
      <c r="B58" s="33"/>
      <c r="C58" s="34"/>
      <c r="D58" s="79"/>
      <c r="E58" s="34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</row>
    <row r="59" spans="1:16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</row>
    <row r="60" spans="1:16" x14ac:dyDescent="0.2">
      <c r="A60" s="49"/>
      <c r="B60" s="11"/>
      <c r="C60" s="11"/>
      <c r="D60" s="79"/>
      <c r="E60" s="79"/>
    </row>
    <row r="61" spans="1:16" x14ac:dyDescent="0.2">
      <c r="A61" s="15"/>
      <c r="B61" s="11"/>
      <c r="C61" s="11"/>
      <c r="D61" s="79"/>
      <c r="E61" s="11"/>
      <c r="G61" s="11"/>
      <c r="H61" s="11"/>
      <c r="I61" s="11"/>
      <c r="J61" s="11"/>
      <c r="K61" s="11"/>
    </row>
    <row r="62" spans="1:16" x14ac:dyDescent="0.2">
      <c r="A62" s="49"/>
      <c r="B62" s="11"/>
      <c r="C62" s="11"/>
      <c r="D62" s="79"/>
      <c r="E62" s="11"/>
    </row>
    <row r="63" spans="1:16" x14ac:dyDescent="0.2">
      <c r="A63" s="49"/>
      <c r="B63" s="33"/>
      <c r="C63" s="34"/>
      <c r="D63" s="79"/>
      <c r="E63" s="34"/>
    </row>
  </sheetData>
  <mergeCells count="2">
    <mergeCell ref="B1:M1"/>
    <mergeCell ref="G17:H17"/>
  </mergeCells>
  <phoneticPr fontId="13" type="noConversion"/>
  <pageMargins left="0.7" right="0.7" top="0.75" bottom="0.75" header="0.3" footer="0.3"/>
  <pageSetup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</vt:lpstr>
      <vt:lpstr>9-29-16</vt:lpstr>
      <vt:lpstr>7-13-16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2016-09-30T13:42:51Z</cp:lastPrinted>
  <dcterms:created xsi:type="dcterms:W3CDTF">2016-07-13T14:29:29Z</dcterms:created>
  <dcterms:modified xsi:type="dcterms:W3CDTF">2016-10-03T15:05:21Z</dcterms:modified>
</cp:coreProperties>
</file>