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lav\Desktop\Faks 3. godina obavezni\Drugi semestar\OFIPP\"/>
    </mc:Choice>
  </mc:AlternateContent>
  <xr:revisionPtr revIDLastSave="0" documentId="13_ncr:1_{EB3EA188-327B-415F-AF8A-F89B9F7BA1D5}" xr6:coauthVersionLast="47" xr6:coauthVersionMax="47" xr10:uidLastSave="{00000000-0000-0000-0000-000000000000}"/>
  <bookViews>
    <workbookView xWindow="28680" yWindow="-120" windowWidth="29040" windowHeight="16440" activeTab="1" xr2:uid="{6448672D-4F4E-4D11-9179-F0603ACE6121}"/>
  </bookViews>
  <sheets>
    <sheet name="INV" sheetId="1" r:id="rId1"/>
    <sheet name="INV+AM" sheetId="6" r:id="rId2"/>
    <sheet name="Prihodi" sheetId="3" r:id="rId3"/>
    <sheet name="Rashodi" sheetId="4" r:id="rId4"/>
    <sheet name="Kredit" sheetId="7" r:id="rId5"/>
    <sheet name="RDG" sheetId="5" r:id="rId6"/>
    <sheet name="ET i FT" sheetId="8" r:id="rId7"/>
    <sheet name="TOBS" sheetId="2" r:id="rId8"/>
    <sheet name="Ocjena" sheetId="9" r:id="rId9"/>
  </sheets>
  <definedNames>
    <definedName name="FromArray_1">_xlfn.ANCHORARRAY(RDG!$D$5)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  <c r="D8" i="6"/>
  <c r="G20" i="9" l="1"/>
  <c r="E20" i="9"/>
  <c r="E10" i="9"/>
  <c r="E7" i="9"/>
  <c r="E4" i="9"/>
  <c r="E1" i="9"/>
  <c r="G1" i="9" s="1"/>
  <c r="E2" i="9"/>
  <c r="T18" i="8"/>
  <c r="U18" i="8"/>
  <c r="V18" i="8"/>
  <c r="W18" i="8"/>
  <c r="X18" i="8"/>
  <c r="Y18" i="8"/>
  <c r="Z18" i="8"/>
  <c r="AA18" i="8"/>
  <c r="AB18" i="8"/>
  <c r="AC18" i="8"/>
  <c r="U14" i="8"/>
  <c r="V14" i="8"/>
  <c r="W14" i="8"/>
  <c r="W12" i="8" s="1"/>
  <c r="X14" i="8"/>
  <c r="Y14" i="8"/>
  <c r="Z14" i="8"/>
  <c r="AA14" i="8"/>
  <c r="AA12" i="8" s="1"/>
  <c r="AB14" i="8"/>
  <c r="AB12" i="8" s="1"/>
  <c r="AC14" i="8"/>
  <c r="AC12" i="8" s="1"/>
  <c r="T14" i="8"/>
  <c r="T12" i="8"/>
  <c r="Y12" i="8"/>
  <c r="Z12" i="8"/>
  <c r="U12" i="8"/>
  <c r="V12" i="8"/>
  <c r="X12" i="8"/>
  <c r="S12" i="8"/>
  <c r="I4" i="7"/>
  <c r="U17" i="8"/>
  <c r="V17" i="8"/>
  <c r="W17" i="8"/>
  <c r="X17" i="8"/>
  <c r="Y17" i="8"/>
  <c r="Z17" i="8"/>
  <c r="AA17" i="8"/>
  <c r="AB17" i="8"/>
  <c r="AC17" i="8"/>
  <c r="T17" i="8"/>
  <c r="U16" i="8"/>
  <c r="W16" i="8"/>
  <c r="X16" i="8"/>
  <c r="Y16" i="8"/>
  <c r="Z16" i="8"/>
  <c r="AA16" i="8"/>
  <c r="AB16" i="8"/>
  <c r="AC16" i="8"/>
  <c r="T16" i="8"/>
  <c r="E15" i="8"/>
  <c r="U15" i="8"/>
  <c r="V15" i="8"/>
  <c r="W15" i="8"/>
  <c r="X15" i="8"/>
  <c r="Y15" i="8"/>
  <c r="Z15" i="8"/>
  <c r="AA15" i="8"/>
  <c r="AB15" i="8"/>
  <c r="AC15" i="8"/>
  <c r="T15" i="8"/>
  <c r="E14" i="8"/>
  <c r="S14" i="8"/>
  <c r="D13" i="8"/>
  <c r="S13" i="8"/>
  <c r="D12" i="8"/>
  <c r="T6" i="8"/>
  <c r="U6" i="8"/>
  <c r="V6" i="8"/>
  <c r="W6" i="8"/>
  <c r="X6" i="8"/>
  <c r="Y6" i="8"/>
  <c r="Z6" i="8"/>
  <c r="AA6" i="8"/>
  <c r="AB6" i="8"/>
  <c r="AC6" i="8"/>
  <c r="AC11" i="8"/>
  <c r="S10" i="8"/>
  <c r="U7" i="8"/>
  <c r="V7" i="8"/>
  <c r="W7" i="8"/>
  <c r="X7" i="8"/>
  <c r="Y7" i="8"/>
  <c r="Z7" i="8"/>
  <c r="AA7" i="8"/>
  <c r="AB7" i="8"/>
  <c r="AC7" i="8"/>
  <c r="T7" i="8"/>
  <c r="H25" i="8"/>
  <c r="I25" i="8"/>
  <c r="J25" i="8"/>
  <c r="K25" i="8"/>
  <c r="L25" i="8"/>
  <c r="M25" i="8"/>
  <c r="N25" i="8"/>
  <c r="F24" i="8"/>
  <c r="G24" i="8"/>
  <c r="H24" i="8"/>
  <c r="I24" i="8"/>
  <c r="J24" i="8"/>
  <c r="K24" i="8"/>
  <c r="L24" i="8"/>
  <c r="M24" i="8"/>
  <c r="N24" i="8"/>
  <c r="E24" i="8"/>
  <c r="D24" i="8"/>
  <c r="N14" i="8" l="1"/>
  <c r="H16" i="8"/>
  <c r="I16" i="8"/>
  <c r="J16" i="8"/>
  <c r="K16" i="8"/>
  <c r="L16" i="8"/>
  <c r="M16" i="8"/>
  <c r="F15" i="8"/>
  <c r="H15" i="8"/>
  <c r="I15" i="8"/>
  <c r="J15" i="8"/>
  <c r="K15" i="8"/>
  <c r="L15" i="8"/>
  <c r="M15" i="8"/>
  <c r="N15" i="8"/>
  <c r="K11" i="8"/>
  <c r="N11" i="8"/>
  <c r="N16" i="8" s="1"/>
  <c r="E11" i="8"/>
  <c r="E16" i="8" s="1"/>
  <c r="E25" i="8" s="1"/>
  <c r="F14" i="8"/>
  <c r="G14" i="8"/>
  <c r="H14" i="8"/>
  <c r="I14" i="8"/>
  <c r="J14" i="8"/>
  <c r="K14" i="8"/>
  <c r="L14" i="8"/>
  <c r="M14" i="8"/>
  <c r="H13" i="8"/>
  <c r="I13" i="8"/>
  <c r="J13" i="8"/>
  <c r="K13" i="8"/>
  <c r="L13" i="8"/>
  <c r="M13" i="8"/>
  <c r="E13" i="8"/>
  <c r="J11" i="8"/>
  <c r="D11" i="8"/>
  <c r="N8" i="8"/>
  <c r="N10" i="8"/>
  <c r="E6" i="8"/>
  <c r="F6" i="8"/>
  <c r="G6" i="8"/>
  <c r="H6" i="8"/>
  <c r="I6" i="8"/>
  <c r="J6" i="8"/>
  <c r="K6" i="8"/>
  <c r="L6" i="8"/>
  <c r="M6" i="8"/>
  <c r="N6" i="8"/>
  <c r="D6" i="8"/>
  <c r="F7" i="8"/>
  <c r="G7" i="8"/>
  <c r="H7" i="8"/>
  <c r="I7" i="8"/>
  <c r="J7" i="8"/>
  <c r="K7" i="8"/>
  <c r="L7" i="8"/>
  <c r="M7" i="8"/>
  <c r="N7" i="8"/>
  <c r="E7" i="8"/>
  <c r="P28" i="6"/>
  <c r="P31" i="6"/>
  <c r="P32" i="6" s="1"/>
  <c r="G31" i="6"/>
  <c r="I31" i="6"/>
  <c r="J31" i="6"/>
  <c r="K31" i="6"/>
  <c r="L31" i="6"/>
  <c r="M31" i="6"/>
  <c r="N31" i="6"/>
  <c r="O31" i="6"/>
  <c r="F31" i="6"/>
  <c r="D31" i="6"/>
  <c r="G28" i="2"/>
  <c r="I28" i="2"/>
  <c r="J28" i="2"/>
  <c r="K28" i="2"/>
  <c r="L28" i="2"/>
  <c r="M28" i="2"/>
  <c r="N28" i="2"/>
  <c r="O28" i="2"/>
  <c r="F28" i="2"/>
  <c r="G26" i="2"/>
  <c r="I26" i="2"/>
  <c r="J26" i="2"/>
  <c r="K26" i="2"/>
  <c r="L26" i="2"/>
  <c r="M26" i="2"/>
  <c r="N26" i="2"/>
  <c r="O26" i="2"/>
  <c r="F26" i="2"/>
  <c r="G12" i="2"/>
  <c r="I12" i="2"/>
  <c r="J12" i="2"/>
  <c r="K12" i="2"/>
  <c r="L12" i="2"/>
  <c r="M12" i="2"/>
  <c r="N12" i="2"/>
  <c r="O12" i="2"/>
  <c r="F12" i="2"/>
  <c r="G25" i="2"/>
  <c r="I25" i="2"/>
  <c r="J25" i="2"/>
  <c r="K25" i="2"/>
  <c r="L25" i="2"/>
  <c r="M25" i="2"/>
  <c r="N25" i="2"/>
  <c r="O25" i="2"/>
  <c r="F25" i="2"/>
  <c r="G11" i="2"/>
  <c r="I11" i="2"/>
  <c r="J11" i="2"/>
  <c r="K11" i="2"/>
  <c r="L11" i="2"/>
  <c r="M11" i="2"/>
  <c r="N11" i="2"/>
  <c r="O11" i="2"/>
  <c r="F11" i="2"/>
  <c r="K29" i="5"/>
  <c r="K28" i="5"/>
  <c r="M28" i="5" s="1"/>
  <c r="M25" i="5"/>
  <c r="K26" i="5"/>
  <c r="K25" i="5"/>
  <c r="D29" i="5"/>
  <c r="D34" i="5"/>
  <c r="D25" i="5"/>
  <c r="D31" i="5"/>
  <c r="D11" i="5"/>
  <c r="K23" i="4"/>
  <c r="K22" i="4"/>
  <c r="D24" i="5"/>
  <c r="E14" i="5"/>
  <c r="F14" i="5"/>
  <c r="H12" i="2" s="1"/>
  <c r="H26" i="2" s="1"/>
  <c r="G14" i="5"/>
  <c r="H14" i="5"/>
  <c r="I14" i="5"/>
  <c r="J14" i="5"/>
  <c r="K14" i="5"/>
  <c r="L14" i="5"/>
  <c r="M14" i="5"/>
  <c r="D26" i="5" s="1"/>
  <c r="D14" i="5"/>
  <c r="E13" i="5"/>
  <c r="F13" i="5"/>
  <c r="G13" i="5"/>
  <c r="D13" i="5"/>
  <c r="E11" i="5"/>
  <c r="F11" i="5"/>
  <c r="G11" i="5"/>
  <c r="H11" i="5"/>
  <c r="I11" i="5"/>
  <c r="J11" i="5"/>
  <c r="K11" i="5"/>
  <c r="L11" i="5"/>
  <c r="M11" i="5"/>
  <c r="E10" i="5"/>
  <c r="F10" i="5"/>
  <c r="G10" i="5"/>
  <c r="H10" i="5"/>
  <c r="I10" i="5"/>
  <c r="J10" i="5"/>
  <c r="K10" i="5"/>
  <c r="L10" i="5"/>
  <c r="M10" i="5"/>
  <c r="D10" i="5"/>
  <c r="E9" i="5"/>
  <c r="F9" i="5"/>
  <c r="G9" i="5"/>
  <c r="H9" i="5"/>
  <c r="I9" i="5"/>
  <c r="J9" i="5"/>
  <c r="K9" i="5"/>
  <c r="L9" i="5"/>
  <c r="M9" i="5"/>
  <c r="D9" i="5"/>
  <c r="E8" i="5"/>
  <c r="F8" i="5"/>
  <c r="G8" i="5"/>
  <c r="H8" i="5"/>
  <c r="I8" i="5"/>
  <c r="J8" i="5"/>
  <c r="K8" i="5"/>
  <c r="L8" i="5"/>
  <c r="M8" i="5"/>
  <c r="D27" i="5" s="1"/>
  <c r="D8" i="5"/>
  <c r="E7" i="5"/>
  <c r="E6" i="5" s="1"/>
  <c r="E15" i="5" s="1"/>
  <c r="F7" i="5"/>
  <c r="F6" i="5" s="1"/>
  <c r="G7" i="5"/>
  <c r="G6" i="5" s="1"/>
  <c r="G15" i="5" s="1"/>
  <c r="G16" i="5" s="1"/>
  <c r="H7" i="5"/>
  <c r="H6" i="5" s="1"/>
  <c r="H15" i="5" s="1"/>
  <c r="H16" i="5" s="1"/>
  <c r="I7" i="5"/>
  <c r="I6" i="5" s="1"/>
  <c r="I15" i="5" s="1"/>
  <c r="I16" i="5" s="1"/>
  <c r="J7" i="5"/>
  <c r="J6" i="5" s="1"/>
  <c r="K7" i="5"/>
  <c r="K6" i="5" s="1"/>
  <c r="K15" i="5" s="1"/>
  <c r="K16" i="5" s="1"/>
  <c r="L7" i="5"/>
  <c r="L6" i="5" s="1"/>
  <c r="L15" i="5" s="1"/>
  <c r="L16" i="5" s="1"/>
  <c r="M7" i="5"/>
  <c r="D33" i="5" s="1"/>
  <c r="D7" i="5"/>
  <c r="D5" i="5"/>
  <c r="K21" i="4"/>
  <c r="K20" i="4"/>
  <c r="K19" i="4"/>
  <c r="K18" i="4"/>
  <c r="K17" i="4"/>
  <c r="E5" i="5"/>
  <c r="E12" i="5" s="1"/>
  <c r="F5" i="5"/>
  <c r="G5" i="5"/>
  <c r="G12" i="5" s="1"/>
  <c r="H5" i="5"/>
  <c r="H12" i="5" s="1"/>
  <c r="I5" i="5"/>
  <c r="I12" i="5" s="1"/>
  <c r="J5" i="5"/>
  <c r="K5" i="5"/>
  <c r="K12" i="5" s="1"/>
  <c r="L5" i="5"/>
  <c r="L12" i="5" s="1"/>
  <c r="M5" i="5"/>
  <c r="D2" i="7"/>
  <c r="D12" i="7"/>
  <c r="F17" i="7"/>
  <c r="C45" i="8" l="1"/>
  <c r="D16" i="8"/>
  <c r="H11" i="8"/>
  <c r="L11" i="8"/>
  <c r="M11" i="8"/>
  <c r="I11" i="8"/>
  <c r="J12" i="5"/>
  <c r="J15" i="5"/>
  <c r="J16" i="5" s="1"/>
  <c r="J17" i="5" s="1"/>
  <c r="G17" i="5"/>
  <c r="G18" i="5" s="1"/>
  <c r="D30" i="5"/>
  <c r="F12" i="5"/>
  <c r="F15" i="5"/>
  <c r="F16" i="5" s="1"/>
  <c r="D6" i="5"/>
  <c r="D12" i="5" s="1"/>
  <c r="E16" i="5"/>
  <c r="D28" i="5"/>
  <c r="D23" i="5" s="1"/>
  <c r="D35" i="5" s="1"/>
  <c r="M6" i="5"/>
  <c r="L17" i="5"/>
  <c r="L18" i="5" s="1"/>
  <c r="I17" i="5"/>
  <c r="I18" i="5" s="1"/>
  <c r="K17" i="5"/>
  <c r="K18" i="5"/>
  <c r="J18" i="5"/>
  <c r="H17" i="5"/>
  <c r="H18" i="5" s="1"/>
  <c r="D18" i="7"/>
  <c r="D25" i="8" l="1"/>
  <c r="D17" i="8"/>
  <c r="E17" i="8" s="1"/>
  <c r="F17" i="5"/>
  <c r="D15" i="5"/>
  <c r="D16" i="5" s="1"/>
  <c r="E17" i="5"/>
  <c r="E18" i="5" s="1"/>
  <c r="M12" i="5"/>
  <c r="M15" i="5"/>
  <c r="M16" i="5" s="1"/>
  <c r="D17" i="5"/>
  <c r="D18" i="5" s="1"/>
  <c r="D9" i="7"/>
  <c r="D5" i="7" s="1"/>
  <c r="G27" i="2"/>
  <c r="I27" i="2"/>
  <c r="J27" i="2"/>
  <c r="K27" i="2"/>
  <c r="L27" i="2"/>
  <c r="M27" i="2"/>
  <c r="N27" i="2"/>
  <c r="O27" i="2"/>
  <c r="F27" i="2"/>
  <c r="G22" i="2"/>
  <c r="H22" i="2"/>
  <c r="I22" i="2"/>
  <c r="J22" i="2"/>
  <c r="K22" i="2"/>
  <c r="L22" i="2"/>
  <c r="M22" i="2"/>
  <c r="N22" i="2"/>
  <c r="O22" i="2"/>
  <c r="F22" i="2"/>
  <c r="G24" i="2"/>
  <c r="H24" i="2"/>
  <c r="I24" i="2"/>
  <c r="J24" i="2"/>
  <c r="K24" i="2"/>
  <c r="L24" i="2"/>
  <c r="M24" i="2"/>
  <c r="N24" i="2"/>
  <c r="O24" i="2"/>
  <c r="F24" i="2"/>
  <c r="G21" i="2"/>
  <c r="H21" i="2"/>
  <c r="I21" i="2"/>
  <c r="J21" i="2"/>
  <c r="K21" i="2"/>
  <c r="L21" i="2"/>
  <c r="M21" i="2"/>
  <c r="N21" i="2"/>
  <c r="O21" i="2"/>
  <c r="F21" i="2"/>
  <c r="G20" i="2"/>
  <c r="H20" i="2"/>
  <c r="I20" i="2"/>
  <c r="J20" i="2"/>
  <c r="K20" i="2"/>
  <c r="L20" i="2"/>
  <c r="M20" i="2"/>
  <c r="N20" i="2"/>
  <c r="O20" i="2"/>
  <c r="F20" i="2"/>
  <c r="G19" i="2"/>
  <c r="H19" i="2"/>
  <c r="I19" i="2"/>
  <c r="J19" i="2"/>
  <c r="K19" i="2"/>
  <c r="L19" i="2"/>
  <c r="M19" i="2"/>
  <c r="N19" i="2"/>
  <c r="O19" i="2"/>
  <c r="F19" i="2"/>
  <c r="F4" i="4"/>
  <c r="F5" i="4"/>
  <c r="F6" i="4"/>
  <c r="F7" i="4"/>
  <c r="E34" i="1"/>
  <c r="D28" i="6"/>
  <c r="D30" i="6" s="1"/>
  <c r="D32" i="6" s="1"/>
  <c r="S9" i="8"/>
  <c r="S8" i="8" s="1"/>
  <c r="S6" i="8" s="1"/>
  <c r="S18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F9" i="6"/>
  <c r="F18" i="5" l="1"/>
  <c r="V16" i="8"/>
  <c r="H11" i="2"/>
  <c r="H25" i="2" s="1"/>
  <c r="H27" i="2" s="1"/>
  <c r="H28" i="2" s="1"/>
  <c r="G15" i="8"/>
  <c r="D26" i="8"/>
  <c r="E26" i="8" s="1"/>
  <c r="M17" i="5"/>
  <c r="M18" i="5"/>
  <c r="C128" i="7"/>
  <c r="C88" i="7"/>
  <c r="C100" i="7"/>
  <c r="C112" i="7"/>
  <c r="C57" i="7"/>
  <c r="C69" i="7"/>
  <c r="C81" i="7"/>
  <c r="C43" i="7"/>
  <c r="C20" i="7"/>
  <c r="C32" i="7"/>
  <c r="C121" i="7"/>
  <c r="C117" i="7"/>
  <c r="C48" i="7"/>
  <c r="C120" i="7"/>
  <c r="C56" i="7"/>
  <c r="C129" i="7"/>
  <c r="C89" i="7"/>
  <c r="C101" i="7"/>
  <c r="C113" i="7"/>
  <c r="C58" i="7"/>
  <c r="C70" i="7"/>
  <c r="C82" i="7"/>
  <c r="C44" i="7"/>
  <c r="C21" i="7"/>
  <c r="C33" i="7"/>
  <c r="C133" i="7"/>
  <c r="C105" i="7"/>
  <c r="C74" i="7"/>
  <c r="C108" i="7"/>
  <c r="C39" i="7"/>
  <c r="C86" i="7"/>
  <c r="C31" i="7"/>
  <c r="C130" i="7"/>
  <c r="C90" i="7"/>
  <c r="C102" i="7"/>
  <c r="C114" i="7"/>
  <c r="C59" i="7"/>
  <c r="C71" i="7"/>
  <c r="C83" i="7"/>
  <c r="C45" i="7"/>
  <c r="C22" i="7"/>
  <c r="C34" i="7"/>
  <c r="C93" i="7"/>
  <c r="C62" i="7"/>
  <c r="C25" i="7"/>
  <c r="C65" i="7"/>
  <c r="C68" i="7"/>
  <c r="C42" i="7"/>
  <c r="C131" i="7"/>
  <c r="C91" i="7"/>
  <c r="C103" i="7"/>
  <c r="C115" i="7"/>
  <c r="C60" i="7"/>
  <c r="C72" i="7"/>
  <c r="C84" i="7"/>
  <c r="C46" i="7"/>
  <c r="C23" i="7"/>
  <c r="C35" i="7"/>
  <c r="C36" i="7"/>
  <c r="C51" i="7"/>
  <c r="C126" i="7"/>
  <c r="C79" i="7"/>
  <c r="C99" i="7"/>
  <c r="C19" i="7"/>
  <c r="C132" i="7"/>
  <c r="C92" i="7"/>
  <c r="C104" i="7"/>
  <c r="C116" i="7"/>
  <c r="C61" i="7"/>
  <c r="C73" i="7"/>
  <c r="C85" i="7"/>
  <c r="C47" i="7"/>
  <c r="C24" i="7"/>
  <c r="C18" i="7"/>
  <c r="E18" i="7" s="1"/>
  <c r="C67" i="7"/>
  <c r="C122" i="7"/>
  <c r="C134" i="7"/>
  <c r="C94" i="7"/>
  <c r="C106" i="7"/>
  <c r="C118" i="7"/>
  <c r="C63" i="7"/>
  <c r="C75" i="7"/>
  <c r="C37" i="7"/>
  <c r="C49" i="7"/>
  <c r="C26" i="7"/>
  <c r="C136" i="7"/>
  <c r="C110" i="7"/>
  <c r="C41" i="7"/>
  <c r="C127" i="7"/>
  <c r="C123" i="7"/>
  <c r="C135" i="7"/>
  <c r="C95" i="7"/>
  <c r="C107" i="7"/>
  <c r="C119" i="7"/>
  <c r="C64" i="7"/>
  <c r="C76" i="7"/>
  <c r="C38" i="7"/>
  <c r="C50" i="7"/>
  <c r="C27" i="7"/>
  <c r="C96" i="7"/>
  <c r="C28" i="7"/>
  <c r="C98" i="7"/>
  <c r="C53" i="7"/>
  <c r="C87" i="7"/>
  <c r="C80" i="7"/>
  <c r="C124" i="7"/>
  <c r="C77" i="7"/>
  <c r="C55" i="7"/>
  <c r="C30" i="7"/>
  <c r="C125" i="7"/>
  <c r="C137" i="7"/>
  <c r="C97" i="7"/>
  <c r="C109" i="7"/>
  <c r="C54" i="7"/>
  <c r="C66" i="7"/>
  <c r="C78" i="7"/>
  <c r="C40" i="7"/>
  <c r="C52" i="7"/>
  <c r="C29" i="7"/>
  <c r="C111" i="7"/>
  <c r="F18" i="4"/>
  <c r="F19" i="4"/>
  <c r="F20" i="4"/>
  <c r="F21" i="4"/>
  <c r="F22" i="4"/>
  <c r="F23" i="4"/>
  <c r="F30" i="4"/>
  <c r="F31" i="4"/>
  <c r="F32" i="4"/>
  <c r="F33" i="4"/>
  <c r="F34" i="4"/>
  <c r="F35" i="4"/>
  <c r="F36" i="4"/>
  <c r="F37" i="4"/>
  <c r="F29" i="4"/>
  <c r="F39" i="4" s="1"/>
  <c r="H31" i="6" l="1"/>
  <c r="F13" i="8"/>
  <c r="F11" i="8" s="1"/>
  <c r="F16" i="8" s="1"/>
  <c r="G13" i="8"/>
  <c r="G11" i="8" s="1"/>
  <c r="G16" i="8" s="1"/>
  <c r="G25" i="8" s="1"/>
  <c r="F18" i="7"/>
  <c r="F24" i="4"/>
  <c r="F3" i="4"/>
  <c r="E33" i="1"/>
  <c r="E27" i="1"/>
  <c r="E26" i="1"/>
  <c r="E25" i="1"/>
  <c r="E22" i="1"/>
  <c r="E23" i="1"/>
  <c r="E24" i="1"/>
  <c r="E28" i="1"/>
  <c r="E29" i="1"/>
  <c r="E30" i="1"/>
  <c r="E31" i="1"/>
  <c r="E32" i="1"/>
  <c r="E35" i="1"/>
  <c r="I15" i="3"/>
  <c r="I2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H24" i="3"/>
  <c r="I24" i="3" s="1"/>
  <c r="H25" i="3"/>
  <c r="I25" i="3" s="1"/>
  <c r="H3" i="3"/>
  <c r="I3" i="3" s="1"/>
  <c r="C47" i="1"/>
  <c r="D5" i="6" s="1"/>
  <c r="E21" i="1"/>
  <c r="F6" i="1"/>
  <c r="F7" i="1"/>
  <c r="F8" i="1"/>
  <c r="F9" i="1"/>
  <c r="F10" i="1"/>
  <c r="F11" i="1"/>
  <c r="F12" i="1"/>
  <c r="F13" i="1"/>
  <c r="F14" i="1"/>
  <c r="F15" i="1"/>
  <c r="F5" i="1"/>
  <c r="F25" i="8" l="1"/>
  <c r="C32" i="8"/>
  <c r="C34" i="8"/>
  <c r="G36" i="8" s="1"/>
  <c r="D20" i="8"/>
  <c r="F17" i="8"/>
  <c r="G17" i="8" s="1"/>
  <c r="H17" i="8" s="1"/>
  <c r="I17" i="8" s="1"/>
  <c r="J17" i="8" s="1"/>
  <c r="K17" i="8" s="1"/>
  <c r="L17" i="8" s="1"/>
  <c r="M17" i="8" s="1"/>
  <c r="N17" i="8" s="1"/>
  <c r="D19" i="7"/>
  <c r="D15" i="6"/>
  <c r="F8" i="4"/>
  <c r="K10" i="4" s="1"/>
  <c r="E36" i="1"/>
  <c r="D7" i="6" s="1"/>
  <c r="D17" i="6" s="1"/>
  <c r="F17" i="6" s="1"/>
  <c r="F16" i="1"/>
  <c r="D6" i="6" s="1"/>
  <c r="D16" i="6" s="1"/>
  <c r="F16" i="6" s="1"/>
  <c r="I26" i="3"/>
  <c r="H38" i="8" l="1"/>
  <c r="H39" i="8" s="1"/>
  <c r="J38" i="8"/>
  <c r="J39" i="8" s="1"/>
  <c r="D38" i="8"/>
  <c r="D39" i="8" s="1"/>
  <c r="D40" i="8" s="1"/>
  <c r="E40" i="8" s="1"/>
  <c r="E38" i="8"/>
  <c r="E39" i="8" s="1"/>
  <c r="N38" i="8"/>
  <c r="N39" i="8" s="1"/>
  <c r="I38" i="8"/>
  <c r="I39" i="8" s="1"/>
  <c r="K38" i="8"/>
  <c r="K39" i="8" s="1"/>
  <c r="G38" i="8"/>
  <c r="G39" i="8" s="1"/>
  <c r="L38" i="8"/>
  <c r="L39" i="8" s="1"/>
  <c r="M38" i="8"/>
  <c r="M39" i="8" s="1"/>
  <c r="F38" i="8"/>
  <c r="F39" i="8" s="1"/>
  <c r="C44" i="8"/>
  <c r="C43" i="8" s="1"/>
  <c r="C31" i="8"/>
  <c r="F26" i="8"/>
  <c r="G26" i="8" s="1"/>
  <c r="H26" i="8" s="1"/>
  <c r="I26" i="8" s="1"/>
  <c r="J26" i="8" s="1"/>
  <c r="K26" i="8" s="1"/>
  <c r="L26" i="8" s="1"/>
  <c r="M26" i="8" s="1"/>
  <c r="N26" i="8" s="1"/>
  <c r="E28" i="8"/>
  <c r="E19" i="7"/>
  <c r="K9" i="1"/>
  <c r="I27" i="6"/>
  <c r="F27" i="6"/>
  <c r="G27" i="6"/>
  <c r="H27" i="6"/>
  <c r="G26" i="6"/>
  <c r="H26" i="6"/>
  <c r="I26" i="6"/>
  <c r="F26" i="6"/>
  <c r="D9" i="6"/>
  <c r="D18" i="6"/>
  <c r="F15" i="6"/>
  <c r="F18" i="6" s="1"/>
  <c r="E16" i="9" l="1"/>
  <c r="G16" i="9" s="1"/>
  <c r="E11" i="9"/>
  <c r="G10" i="9" s="1"/>
  <c r="E8" i="9"/>
  <c r="G7" i="9" s="1"/>
  <c r="E5" i="9"/>
  <c r="G4" i="9" s="1"/>
  <c r="F40" i="8"/>
  <c r="G40" i="8" s="1"/>
  <c r="H40" i="8" s="1"/>
  <c r="I40" i="8" s="1"/>
  <c r="J40" i="8" s="1"/>
  <c r="K40" i="8" s="1"/>
  <c r="L40" i="8" s="1"/>
  <c r="M40" i="8" s="1"/>
  <c r="N40" i="8" s="1"/>
  <c r="F19" i="7"/>
  <c r="I28" i="6"/>
  <c r="F28" i="6"/>
  <c r="F30" i="6" s="1"/>
  <c r="G28" i="6"/>
  <c r="H28" i="6"/>
  <c r="D20" i="7" l="1"/>
  <c r="F32" i="6"/>
  <c r="G30" i="6"/>
  <c r="E20" i="7" l="1"/>
  <c r="H30" i="6"/>
  <c r="G32" i="6"/>
  <c r="F20" i="7" l="1"/>
  <c r="D21" i="7" s="1"/>
  <c r="I30" i="6"/>
  <c r="H32" i="6"/>
  <c r="E21" i="7" l="1"/>
  <c r="I32" i="6"/>
  <c r="J30" i="6"/>
  <c r="F21" i="7" l="1"/>
  <c r="K30" i="6"/>
  <c r="J32" i="6"/>
  <c r="D22" i="7" l="1"/>
  <c r="E22" i="7" s="1"/>
  <c r="F22" i="7"/>
  <c r="L30" i="6"/>
  <c r="K32" i="6"/>
  <c r="D23" i="7" l="1"/>
  <c r="E23" i="7" s="1"/>
  <c r="F23" i="7" s="1"/>
  <c r="D24" i="7" s="1"/>
  <c r="E24" i="7" s="1"/>
  <c r="F24" i="7" s="1"/>
  <c r="M30" i="6"/>
  <c r="L32" i="6"/>
  <c r="D25" i="7" l="1"/>
  <c r="E25" i="7" s="1"/>
  <c r="F25" i="7"/>
  <c r="N30" i="6"/>
  <c r="M32" i="6"/>
  <c r="D26" i="7" l="1"/>
  <c r="E26" i="7" s="1"/>
  <c r="F26" i="7"/>
  <c r="D27" i="7" s="1"/>
  <c r="E27" i="7" s="1"/>
  <c r="F27" i="7" s="1"/>
  <c r="D28" i="7" s="1"/>
  <c r="E28" i="7" s="1"/>
  <c r="F28" i="7" s="1"/>
  <c r="D29" i="7" s="1"/>
  <c r="N32" i="6"/>
  <c r="O30" i="6"/>
  <c r="O32" i="6" s="1"/>
  <c r="E29" i="7" l="1"/>
  <c r="G4" i="7"/>
  <c r="F29" i="7" l="1"/>
  <c r="G3" i="7"/>
  <c r="D30" i="7" l="1"/>
  <c r="G5" i="7"/>
  <c r="E30" i="7" l="1"/>
  <c r="F30" i="7" l="1"/>
  <c r="D31" i="7" s="1"/>
  <c r="E31" i="7" l="1"/>
  <c r="F31" i="7" l="1"/>
  <c r="D32" i="7" l="1"/>
  <c r="E32" i="7" l="1"/>
  <c r="F32" i="7" l="1"/>
  <c r="D33" i="7" l="1"/>
  <c r="E33" i="7" l="1"/>
  <c r="F33" i="7" l="1"/>
  <c r="D34" i="7" l="1"/>
  <c r="E34" i="7" l="1"/>
  <c r="F34" i="7" l="1"/>
  <c r="D35" i="7" l="1"/>
  <c r="E35" i="7" s="1"/>
  <c r="F35" i="7"/>
  <c r="D36" i="7" l="1"/>
  <c r="E36" i="7" s="1"/>
  <c r="F36" i="7"/>
  <c r="D37" i="7" l="1"/>
  <c r="E37" i="7" s="1"/>
  <c r="F37" i="7"/>
  <c r="D38" i="7" l="1"/>
  <c r="E38" i="7" s="1"/>
  <c r="F38" i="7"/>
  <c r="D39" i="7" l="1"/>
  <c r="E39" i="7" s="1"/>
  <c r="F39" i="7" s="1"/>
  <c r="D40" i="7" l="1"/>
  <c r="E40" i="7" s="1"/>
  <c r="F40" i="7"/>
  <c r="D41" i="7" l="1"/>
  <c r="E41" i="7" l="1"/>
  <c r="H4" i="7"/>
  <c r="H3" i="7" l="1"/>
  <c r="F41" i="7"/>
  <c r="D42" i="7" s="1"/>
  <c r="E42" i="7" s="1"/>
  <c r="H5" i="7" l="1"/>
  <c r="F42" i="7"/>
  <c r="D43" i="7" l="1"/>
  <c r="E43" i="7" l="1"/>
  <c r="F43" i="7" l="1"/>
  <c r="D44" i="7" l="1"/>
  <c r="E44" i="7" l="1"/>
  <c r="F44" i="7" l="1"/>
  <c r="D45" i="7" s="1"/>
  <c r="E45" i="7" l="1"/>
  <c r="F45" i="7" l="1"/>
  <c r="D46" i="7" s="1"/>
  <c r="E46" i="7" l="1"/>
  <c r="F46" i="7" l="1"/>
  <c r="D47" i="7" l="1"/>
  <c r="E47" i="7" l="1"/>
  <c r="F47" i="7" s="1"/>
  <c r="D48" i="7" l="1"/>
  <c r="E48" i="7" s="1"/>
  <c r="F48" i="7" s="1"/>
  <c r="D49" i="7" s="1"/>
  <c r="E49" i="7" s="1"/>
  <c r="F49" i="7" s="1"/>
  <c r="D50" i="7" l="1"/>
  <c r="E50" i="7" s="1"/>
  <c r="F50" i="7"/>
  <c r="D51" i="7" l="1"/>
  <c r="E51" i="7" s="1"/>
  <c r="F51" i="7"/>
  <c r="D52" i="7" s="1"/>
  <c r="E52" i="7" s="1"/>
  <c r="F52" i="7" s="1"/>
  <c r="D53" i="7" s="1"/>
  <c r="E53" i="7" s="1"/>
  <c r="F53" i="7" l="1"/>
  <c r="I3" i="7"/>
  <c r="D54" i="7" l="1"/>
  <c r="E54" i="7" l="1"/>
  <c r="I5" i="7" l="1"/>
  <c r="F54" i="7"/>
  <c r="D55" i="7" l="1"/>
  <c r="E55" i="7" l="1"/>
  <c r="F55" i="7" l="1"/>
  <c r="D56" i="7" l="1"/>
  <c r="E56" i="7" l="1"/>
  <c r="F56" i="7" l="1"/>
  <c r="D57" i="7" l="1"/>
  <c r="E57" i="7" l="1"/>
  <c r="F57" i="7" l="1"/>
  <c r="D58" i="7" l="1"/>
  <c r="E58" i="7" l="1"/>
  <c r="F58" i="7" l="1"/>
  <c r="D59" i="7" l="1"/>
  <c r="E59" i="7" s="1"/>
  <c r="F59" i="7"/>
  <c r="D60" i="7" l="1"/>
  <c r="E60" i="7" s="1"/>
  <c r="F60" i="7"/>
  <c r="D61" i="7" l="1"/>
  <c r="E61" i="7" s="1"/>
  <c r="F61" i="7"/>
  <c r="D62" i="7" l="1"/>
  <c r="E62" i="7" s="1"/>
  <c r="F62" i="7"/>
  <c r="D63" i="7" l="1"/>
  <c r="E63" i="7" s="1"/>
  <c r="F63" i="7" s="1"/>
  <c r="D64" i="7" l="1"/>
  <c r="E64" i="7" s="1"/>
  <c r="F64" i="7"/>
  <c r="D65" i="7" l="1"/>
  <c r="E65" i="7" l="1"/>
  <c r="J4" i="7"/>
  <c r="J3" i="7" l="1"/>
  <c r="F65" i="7"/>
  <c r="D66" i="7" l="1"/>
  <c r="J5" i="7"/>
  <c r="E66" i="7" l="1"/>
  <c r="F66" i="7" l="1"/>
  <c r="D67" i="7" l="1"/>
  <c r="E67" i="7" l="1"/>
  <c r="F67" i="7" l="1"/>
  <c r="D68" i="7" l="1"/>
  <c r="E68" i="7" l="1"/>
  <c r="F68" i="7" l="1"/>
  <c r="D69" i="7" l="1"/>
  <c r="E69" i="7" l="1"/>
  <c r="F69" i="7" l="1"/>
  <c r="D70" i="7" l="1"/>
  <c r="E70" i="7" l="1"/>
  <c r="F70" i="7" l="1"/>
  <c r="D71" i="7" l="1"/>
  <c r="E71" i="7" s="1"/>
  <c r="F71" i="7" s="1"/>
  <c r="D72" i="7" l="1"/>
  <c r="E72" i="7" s="1"/>
  <c r="F72" i="7"/>
  <c r="D73" i="7" s="1"/>
  <c r="E73" i="7" s="1"/>
  <c r="F73" i="7" s="1"/>
  <c r="D74" i="7" l="1"/>
  <c r="E74" i="7" s="1"/>
  <c r="F74" i="7"/>
  <c r="D75" i="7" l="1"/>
  <c r="E75" i="7" s="1"/>
  <c r="F75" i="7"/>
  <c r="D76" i="7" l="1"/>
  <c r="E76" i="7" s="1"/>
  <c r="F76" i="7" s="1"/>
  <c r="D77" i="7" l="1"/>
  <c r="E77" i="7" l="1"/>
  <c r="K4" i="7"/>
  <c r="K3" i="7" l="1"/>
  <c r="K5" i="7" s="1"/>
  <c r="F77" i="7"/>
  <c r="D78" i="7" l="1"/>
  <c r="E78" i="7" l="1"/>
  <c r="F78" i="7" l="1"/>
  <c r="D79" i="7" l="1"/>
  <c r="E79" i="7" l="1"/>
  <c r="F79" i="7" l="1"/>
  <c r="D80" i="7" l="1"/>
  <c r="E80" i="7" l="1"/>
  <c r="F80" i="7" l="1"/>
  <c r="D81" i="7" l="1"/>
  <c r="E81" i="7" l="1"/>
  <c r="F81" i="7" l="1"/>
  <c r="D82" i="7" l="1"/>
  <c r="E82" i="7" l="1"/>
  <c r="F82" i="7" l="1"/>
  <c r="D83" i="7" l="1"/>
  <c r="E83" i="7" s="1"/>
  <c r="F83" i="7"/>
  <c r="D84" i="7" l="1"/>
  <c r="E84" i="7" s="1"/>
  <c r="F84" i="7"/>
  <c r="D85" i="7" l="1"/>
  <c r="E85" i="7" s="1"/>
  <c r="F85" i="7" s="1"/>
  <c r="D86" i="7" l="1"/>
  <c r="E86" i="7" s="1"/>
  <c r="F86" i="7" s="1"/>
  <c r="D87" i="7" s="1"/>
  <c r="E87" i="7" s="1"/>
  <c r="F87" i="7" s="1"/>
  <c r="D88" i="7" l="1"/>
  <c r="E88" i="7" s="1"/>
  <c r="F88" i="7"/>
  <c r="D89" i="7" l="1"/>
  <c r="E89" i="7" l="1"/>
  <c r="L4" i="7"/>
  <c r="L3" i="7" l="1"/>
  <c r="L5" i="7" s="1"/>
  <c r="F89" i="7"/>
  <c r="D90" i="7" l="1"/>
  <c r="E90" i="7" l="1"/>
  <c r="F90" i="7" l="1"/>
  <c r="D91" i="7" s="1"/>
  <c r="E91" i="7" l="1"/>
  <c r="F91" i="7" l="1"/>
  <c r="D92" i="7" l="1"/>
  <c r="E92" i="7" l="1"/>
  <c r="F92" i="7" l="1"/>
  <c r="D93" i="7" l="1"/>
  <c r="E93" i="7" l="1"/>
  <c r="F93" i="7" l="1"/>
  <c r="D94" i="7" l="1"/>
  <c r="E94" i="7" l="1"/>
  <c r="F94" i="7" l="1"/>
  <c r="D95" i="7" s="1"/>
  <c r="E95" i="7" s="1"/>
  <c r="F95" i="7" s="1"/>
  <c r="D96" i="7" l="1"/>
  <c r="E96" i="7" s="1"/>
  <c r="F96" i="7"/>
  <c r="D97" i="7" l="1"/>
  <c r="E97" i="7" s="1"/>
  <c r="F97" i="7"/>
  <c r="D98" i="7" l="1"/>
  <c r="E98" i="7" s="1"/>
  <c r="F98" i="7"/>
  <c r="D99" i="7" s="1"/>
  <c r="E99" i="7" s="1"/>
  <c r="F99" i="7" s="1"/>
  <c r="D100" i="7" s="1"/>
  <c r="E100" i="7" s="1"/>
  <c r="F100" i="7" s="1"/>
  <c r="D101" i="7" l="1"/>
  <c r="E101" i="7" l="1"/>
  <c r="M4" i="7"/>
  <c r="M3" i="7" l="1"/>
  <c r="M5" i="7" s="1"/>
  <c r="F101" i="7"/>
  <c r="D102" i="7" l="1"/>
  <c r="E102" i="7" l="1"/>
  <c r="F102" i="7" l="1"/>
  <c r="D103" i="7" l="1"/>
  <c r="E103" i="7" l="1"/>
  <c r="F103" i="7" l="1"/>
  <c r="D104" i="7" l="1"/>
  <c r="E104" i="7" l="1"/>
  <c r="F104" i="7" l="1"/>
  <c r="D105" i="7" s="1"/>
  <c r="E105" i="7" l="1"/>
  <c r="F105" i="7" l="1"/>
  <c r="D106" i="7" l="1"/>
  <c r="E106" i="7" l="1"/>
  <c r="F106" i="7" l="1"/>
  <c r="D107" i="7" s="1"/>
  <c r="E107" i="7" s="1"/>
  <c r="F107" i="7" s="1"/>
  <c r="D108" i="7" l="1"/>
  <c r="E108" i="7" s="1"/>
  <c r="F108" i="7"/>
  <c r="D109" i="7" l="1"/>
  <c r="E109" i="7" s="1"/>
  <c r="F109" i="7"/>
  <c r="D110" i="7" l="1"/>
  <c r="E110" i="7" s="1"/>
  <c r="F110" i="7" s="1"/>
  <c r="D111" i="7" l="1"/>
  <c r="E111" i="7" s="1"/>
  <c r="F111" i="7"/>
  <c r="D112" i="7" l="1"/>
  <c r="E112" i="7" s="1"/>
  <c r="F112" i="7"/>
  <c r="D113" i="7" l="1"/>
  <c r="E113" i="7" l="1"/>
  <c r="N4" i="7"/>
  <c r="N3" i="7" l="1"/>
  <c r="N5" i="7" s="1"/>
  <c r="F113" i="7"/>
  <c r="D114" i="7" l="1"/>
  <c r="E114" i="7" l="1"/>
  <c r="F114" i="7" l="1"/>
  <c r="D115" i="7" l="1"/>
  <c r="E115" i="7" l="1"/>
  <c r="F115" i="7" l="1"/>
  <c r="D116" i="7" l="1"/>
  <c r="E116" i="7" l="1"/>
  <c r="F116" i="7" l="1"/>
  <c r="D117" i="7" l="1"/>
  <c r="E117" i="7" l="1"/>
  <c r="F117" i="7" l="1"/>
  <c r="D118" i="7" s="1"/>
  <c r="E118" i="7" l="1"/>
  <c r="F118" i="7" l="1"/>
  <c r="D119" i="7" l="1"/>
  <c r="E119" i="7" s="1"/>
  <c r="F119" i="7"/>
  <c r="D120" i="7" l="1"/>
  <c r="E120" i="7" s="1"/>
  <c r="F120" i="7"/>
  <c r="D121" i="7" l="1"/>
  <c r="E121" i="7" s="1"/>
  <c r="F121" i="7"/>
  <c r="D122" i="7" s="1"/>
  <c r="E122" i="7" s="1"/>
  <c r="F122" i="7" s="1"/>
  <c r="D123" i="7" l="1"/>
  <c r="E123" i="7" s="1"/>
  <c r="F123" i="7"/>
  <c r="D124" i="7" s="1"/>
  <c r="E124" i="7" s="1"/>
  <c r="F124" i="7" s="1"/>
  <c r="D125" i="7" l="1"/>
  <c r="E125" i="7" l="1"/>
  <c r="O4" i="7"/>
  <c r="O3" i="7" l="1"/>
  <c r="O5" i="7" s="1"/>
  <c r="F125" i="7"/>
  <c r="D126" i="7" l="1"/>
  <c r="E126" i="7" l="1"/>
  <c r="F126" i="7" l="1"/>
  <c r="D127" i="7" l="1"/>
  <c r="E127" i="7" l="1"/>
  <c r="F127" i="7" l="1"/>
  <c r="D128" i="7" l="1"/>
  <c r="E128" i="7" l="1"/>
  <c r="F128" i="7" l="1"/>
  <c r="D129" i="7" s="1"/>
  <c r="E129" i="7" l="1"/>
  <c r="F129" i="7" l="1"/>
  <c r="D130" i="7" s="1"/>
  <c r="E130" i="7" l="1"/>
  <c r="F130" i="7" l="1"/>
  <c r="D131" i="7" s="1"/>
  <c r="E131" i="7" s="1"/>
  <c r="F131" i="7" s="1"/>
  <c r="D132" i="7" l="1"/>
  <c r="E132" i="7" s="1"/>
  <c r="F132" i="7" s="1"/>
  <c r="D133" i="7" l="1"/>
  <c r="E133" i="7" s="1"/>
  <c r="F133" i="7"/>
  <c r="D134" i="7" l="1"/>
  <c r="E134" i="7" s="1"/>
  <c r="F134" i="7"/>
  <c r="D135" i="7" l="1"/>
  <c r="E135" i="7" s="1"/>
  <c r="F135" i="7"/>
  <c r="D136" i="7" l="1"/>
  <c r="E136" i="7" s="1"/>
  <c r="F136" i="7"/>
  <c r="D137" i="7" l="1"/>
  <c r="E137" i="7" l="1"/>
  <c r="P4" i="7"/>
  <c r="Q4" i="7" s="1"/>
  <c r="P3" i="7" l="1"/>
  <c r="F137" i="7"/>
  <c r="P5" i="7" l="1"/>
  <c r="Q3" i="7"/>
  <c r="Q5" i="7" s="1"/>
</calcChain>
</file>

<file path=xl/sharedStrings.xml><?xml version="1.0" encoding="utf-8"?>
<sst xmlns="http://schemas.openxmlformats.org/spreadsheetml/2006/main" count="454" uniqueCount="262">
  <si>
    <t>Trošak renovacije teretane</t>
  </si>
  <si>
    <t xml:space="preserve">Naziv troška </t>
  </si>
  <si>
    <t>Jedinična cijena</t>
  </si>
  <si>
    <t xml:space="preserve">Količina </t>
  </si>
  <si>
    <t>Mjerna jedinica</t>
  </si>
  <si>
    <t>Ukupan iznos</t>
  </si>
  <si>
    <t>Priprema prostora za renovaciju</t>
  </si>
  <si>
    <t>Izrada dodatnih pregrada</t>
  </si>
  <si>
    <t>Zaštita i priprema podova</t>
  </si>
  <si>
    <t>Instalacija fitness opreme</t>
  </si>
  <si>
    <t>Modernizacija vodovodnih instalacija</t>
  </si>
  <si>
    <t>Modernizacija električnih instalacija</t>
  </si>
  <si>
    <t>Polaganje antistatičkih podnih pločica</t>
  </si>
  <si>
    <t>Nabava i ugradnja sanitarija</t>
  </si>
  <si>
    <t>Postavljanje keramičkih pločica</t>
  </si>
  <si>
    <t>Ugradnja velikih ogledala</t>
  </si>
  <si>
    <t>Montaža sigurnih vrata</t>
  </si>
  <si>
    <t>Ukupno</t>
  </si>
  <si>
    <t>radni dan</t>
  </si>
  <si>
    <r>
      <t>m</t>
    </r>
    <r>
      <rPr>
        <sz val="11"/>
        <color theme="1"/>
        <rFont val="Aptos Narrow"/>
        <family val="2"/>
      </rPr>
      <t>²</t>
    </r>
  </si>
  <si>
    <t>m²</t>
  </si>
  <si>
    <t>komplet</t>
  </si>
  <si>
    <t>komad</t>
  </si>
  <si>
    <t>Trošak opremanja teretane</t>
  </si>
  <si>
    <t>Profesionalne trake za trčanje</t>
  </si>
  <si>
    <t>Ergometri</t>
  </si>
  <si>
    <t>Setovi bučica raznih težina</t>
  </si>
  <si>
    <t>Podesive klupe</t>
  </si>
  <si>
    <t>Stalak za utege</t>
  </si>
  <si>
    <t>Višenamjenski fitness uređaji</t>
  </si>
  <si>
    <t>Podloge za vježbanje</t>
  </si>
  <si>
    <t>Oprema za grupne treninge</t>
  </si>
  <si>
    <t>Trošak otvaranja d.o.o.</t>
  </si>
  <si>
    <t>Naziv troška</t>
  </si>
  <si>
    <t>Rezervacija imena tvrtke</t>
  </si>
  <si>
    <t>Registracija djelatnosti</t>
  </si>
  <si>
    <t>Ovjera dokumentacije</t>
  </si>
  <si>
    <t>Upis u sudski registar</t>
  </si>
  <si>
    <t>Izrada pečata</t>
  </si>
  <si>
    <t>Pristojba statističkog zavoda</t>
  </si>
  <si>
    <t>Ukupni trošak</t>
  </si>
  <si>
    <t>Potrebna TOBS</t>
  </si>
  <si>
    <t>Stavka</t>
  </si>
  <si>
    <t>DV</t>
  </si>
  <si>
    <t>KO</t>
  </si>
  <si>
    <t>Ukupna svota</t>
  </si>
  <si>
    <t>Redni broj</t>
  </si>
  <si>
    <t>Usluga</t>
  </si>
  <si>
    <t>Jedinica mjere</t>
  </si>
  <si>
    <t>Broj osoba</t>
  </si>
  <si>
    <t>Ukupni mjesečni prihodi</t>
  </si>
  <si>
    <t>Ukupni godišnji prihodi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</si>
  <si>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</si>
  <si>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</si>
  <si>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</si>
  <si>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</si>
  <si>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</si>
  <si>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</si>
  <si>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</si>
  <si>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</si>
  <si>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</si>
  <si>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</si>
  <si>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</si>
  <si>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</si>
  <si>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</si>
  <si>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</si>
  <si>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</si>
  <si>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</si>
  <si>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</si>
  <si>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</si>
  <si>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</si>
  <si>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</si>
  <si>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Neograničeni treninzi</t>
  </si>
  <si>
    <t>Neograničeni treninzi (studenti)</t>
  </si>
  <si>
    <t>5 treninga</t>
  </si>
  <si>
    <t>10 treninga</t>
  </si>
  <si>
    <t>5 treninga (studenti)</t>
  </si>
  <si>
    <t>10 treninga (studenti)</t>
  </si>
  <si>
    <t>15 treninga (studenti)</t>
  </si>
  <si>
    <t>Zbregov protein mliječni napitak</t>
  </si>
  <si>
    <t>Zbregov protein tekući skyr</t>
  </si>
  <si>
    <t>Zbregov protein puding</t>
  </si>
  <si>
    <t>GymBeam protein snack čokolada</t>
  </si>
  <si>
    <t>GymBeam protein snack Snickers</t>
  </si>
  <si>
    <t>Masaža (studenti)</t>
  </si>
  <si>
    <t xml:space="preserve">Masaža </t>
  </si>
  <si>
    <t xml:space="preserve">15 treninga </t>
  </si>
  <si>
    <t>Grupni trening - 5 treninga</t>
  </si>
  <si>
    <t>Grupni trening - 10 treninga</t>
  </si>
  <si>
    <t>Majica</t>
  </si>
  <si>
    <t>6 mjeseci</t>
  </si>
  <si>
    <t>12 mjeseci</t>
  </si>
  <si>
    <t>osoba</t>
  </si>
  <si>
    <t>21.</t>
  </si>
  <si>
    <t>22.</t>
  </si>
  <si>
    <t>23.</t>
  </si>
  <si>
    <t>Powerade Mountain blast napitak</t>
  </si>
  <si>
    <t>Vindi IsoSport napitak</t>
  </si>
  <si>
    <t>ProSport napitak</t>
  </si>
  <si>
    <t>Pilates lopte</t>
  </si>
  <si>
    <t>Šipke za utege</t>
  </si>
  <si>
    <t>Uteg - 10 kg</t>
  </si>
  <si>
    <t>Uteg - 5 kg</t>
  </si>
  <si>
    <t>Uteg - 20 kg</t>
  </si>
  <si>
    <t>Hladnjak</t>
  </si>
  <si>
    <t>Sitni inventar</t>
  </si>
  <si>
    <t>Kupci</t>
  </si>
  <si>
    <t>Novac u sustavu</t>
  </si>
  <si>
    <t>Ukupno potrebna sredstva</t>
  </si>
  <si>
    <t>Dobavljači</t>
  </si>
  <si>
    <t>Plaće</t>
  </si>
  <si>
    <t>Porezi</t>
  </si>
  <si>
    <t>Rashodi financiranja</t>
  </si>
  <si>
    <t>Izvodi iz poslovanja</t>
  </si>
  <si>
    <t>Trajna obrtna sredstva</t>
  </si>
  <si>
    <t>Naziv radnog mjesta</t>
  </si>
  <si>
    <t>Broj radnika</t>
  </si>
  <si>
    <t>Neto plaća po zaposleniku</t>
  </si>
  <si>
    <t>Bruto plaća po zaposleniku</t>
  </si>
  <si>
    <t>Ukupna godišnja plaća</t>
  </si>
  <si>
    <t>Recepcioner/ka</t>
  </si>
  <si>
    <t>Grupni trener/ica</t>
  </si>
  <si>
    <t>Osobni trener/ica</t>
  </si>
  <si>
    <t>Čistač/ica</t>
  </si>
  <si>
    <t>Godišnje količine</t>
  </si>
  <si>
    <t>Godišnji rashod</t>
  </si>
  <si>
    <t>Električna energija</t>
  </si>
  <si>
    <t>Voda</t>
  </si>
  <si>
    <t>Najam prostora</t>
  </si>
  <si>
    <t>Marketing i reklame</t>
  </si>
  <si>
    <t>Održavanje i popravci</t>
  </si>
  <si>
    <t>Ostalo</t>
  </si>
  <si>
    <r>
      <t>m</t>
    </r>
    <r>
      <rPr>
        <sz val="11"/>
        <color theme="1"/>
        <rFont val="Aptos Narrow"/>
        <family val="2"/>
      </rPr>
      <t>³</t>
    </r>
  </si>
  <si>
    <t>kWh</t>
  </si>
  <si>
    <t>kampanja</t>
  </si>
  <si>
    <t>paušal</t>
  </si>
  <si>
    <t>/</t>
  </si>
  <si>
    <t>Rashodi</t>
  </si>
  <si>
    <t>Naziv rashoda</t>
  </si>
  <si>
    <t>Godišnji rashodi</t>
  </si>
  <si>
    <t>Higijenski proizvodi (papirnati ručnici, vlažne maramice, wc papir)</t>
  </si>
  <si>
    <t>Ukupni godišnji rashodi</t>
  </si>
  <si>
    <t>Struktura ulaganja</t>
  </si>
  <si>
    <t>Opis</t>
  </si>
  <si>
    <t>Iznos</t>
  </si>
  <si>
    <t>Vlastita sredstva</t>
  </si>
  <si>
    <t>Kredit</t>
  </si>
  <si>
    <t>Osnivačka ulaganja</t>
  </si>
  <si>
    <t>Građevinski objekt</t>
  </si>
  <si>
    <t>Oprema</t>
  </si>
  <si>
    <t>A) Ulaganje u osnovna sredstva</t>
  </si>
  <si>
    <t>B) Ulaganje u trajna obrtna sredstva</t>
  </si>
  <si>
    <t>C) Ukupan iznos ulaganja</t>
  </si>
  <si>
    <t>Obračun amortizacije</t>
  </si>
  <si>
    <t>C) Ukupan iznos amortizacije</t>
  </si>
  <si>
    <t>Postotak amortizacije</t>
  </si>
  <si>
    <t>Prikaz amortizacije</t>
  </si>
  <si>
    <t>Naziv</t>
  </si>
  <si>
    <t>Nabavna vrijednost investicije</t>
  </si>
  <si>
    <t>Stopa otpisa</t>
  </si>
  <si>
    <t>Godine rada projekta</t>
  </si>
  <si>
    <t>A</t>
  </si>
  <si>
    <t>Investicija</t>
  </si>
  <si>
    <t>B</t>
  </si>
  <si>
    <t>C</t>
  </si>
  <si>
    <t>Sveukupno</t>
  </si>
  <si>
    <t>Ostatak vrijednosti projekta</t>
  </si>
  <si>
    <t>Osnovna sredstva</t>
  </si>
  <si>
    <t>TOBS</t>
  </si>
  <si>
    <t>Amortizacija</t>
  </si>
  <si>
    <t>Masažni stol</t>
  </si>
  <si>
    <t>Masažer/ka</t>
  </si>
  <si>
    <t>Profitna marža</t>
  </si>
  <si>
    <t>Rentabilnost ukupno uloženih sredstava</t>
  </si>
  <si>
    <t>Obrtaj ukupno uloženih sredstava</t>
  </si>
  <si>
    <t>Reprodukcijska sposobnost</t>
  </si>
  <si>
    <t>Ostali pokazatelji statičke ocjene:</t>
  </si>
  <si>
    <t>Investicijsko opterećenje po zaposlenom</t>
  </si>
  <si>
    <t>Prosječna bruto plaća</t>
  </si>
  <si>
    <t>=</t>
  </si>
  <si>
    <t>Ukupni prihod</t>
  </si>
  <si>
    <t>Neto dobit</t>
  </si>
  <si>
    <t>Visina investicije</t>
  </si>
  <si>
    <t>Neto dobit + Amortizacija</t>
  </si>
  <si>
    <t>Broj zaposlenih</t>
  </si>
  <si>
    <t>Iznos plaća</t>
  </si>
  <si>
    <t>Otplata kredita</t>
  </si>
  <si>
    <t>Naknada za obradu kredita</t>
  </si>
  <si>
    <t>Godišnje</t>
  </si>
  <si>
    <t>Otplata</t>
  </si>
  <si>
    <t>Kamate</t>
  </si>
  <si>
    <t>Godišnja kamatna stopa (Rate)</t>
  </si>
  <si>
    <t>Broj anuiteta (Nper)</t>
  </si>
  <si>
    <t>Visina zajma (PV)</t>
  </si>
  <si>
    <t>Broj ukamaćivanja tijekom godine - m</t>
  </si>
  <si>
    <t>Otplatna tablica kredita</t>
  </si>
  <si>
    <t>Mjeseci</t>
  </si>
  <si>
    <t>Visina anuiteta</t>
  </si>
  <si>
    <t>Prenumerando (1)</t>
  </si>
  <si>
    <t xml:space="preserve">Relativna kamatna stopa </t>
  </si>
  <si>
    <t>Anuitet</t>
  </si>
  <si>
    <t>Otplatna kvota</t>
  </si>
  <si>
    <t>Ostatak duga</t>
  </si>
  <si>
    <t>Račun dobiti i gubitka</t>
  </si>
  <si>
    <t>Prihod</t>
  </si>
  <si>
    <t>Operativni rashod</t>
  </si>
  <si>
    <t>Trošak energenata</t>
  </si>
  <si>
    <t>Trošak najma</t>
  </si>
  <si>
    <t>Trošak zaposlenika</t>
  </si>
  <si>
    <t>Ostali troškovi</t>
  </si>
  <si>
    <t>EBITDA</t>
  </si>
  <si>
    <t>Ukupni rashodi</t>
  </si>
  <si>
    <t>Dobit prije oporezivanja</t>
  </si>
  <si>
    <t>Porez (10%)</t>
  </si>
  <si>
    <t>Trošak plaća</t>
  </si>
  <si>
    <t>Fiksni troškovi</t>
  </si>
  <si>
    <t>Trošak plaće (R+Ć)</t>
  </si>
  <si>
    <t>30% troška energenata</t>
  </si>
  <si>
    <t>Varijablini troškovi</t>
  </si>
  <si>
    <t>70% troškova energenata</t>
  </si>
  <si>
    <t>Trošak plaće (OT+GT+M)</t>
  </si>
  <si>
    <t>Ukupni troškovi</t>
  </si>
  <si>
    <t>Ocjena osjetljivosti projekta (2034)</t>
  </si>
  <si>
    <t>Trošak plaća (R+Č)</t>
  </si>
  <si>
    <t>Trošak plaća (OT+GT+M)</t>
  </si>
  <si>
    <t>GMIN</t>
  </si>
  <si>
    <t>FT</t>
  </si>
  <si>
    <t>UP-VT</t>
  </si>
  <si>
    <t>JMIN</t>
  </si>
  <si>
    <t>FT+VT</t>
  </si>
  <si>
    <t>UP</t>
  </si>
  <si>
    <t>OVP</t>
  </si>
  <si>
    <t>Rentabilnost projekta</t>
  </si>
  <si>
    <t>EKONOMSKI TIJEK</t>
  </si>
  <si>
    <t>Primici</t>
  </si>
  <si>
    <t>Osnovnih sredstava</t>
  </si>
  <si>
    <t>Obrtnih sredstava</t>
  </si>
  <si>
    <t>Izdaci</t>
  </si>
  <si>
    <t>Angažirana OS</t>
  </si>
  <si>
    <t>Angažirana TOBS</t>
  </si>
  <si>
    <t>Troškovi bez AM</t>
  </si>
  <si>
    <t>Neto primici</t>
  </si>
  <si>
    <t>Kumulativ NP</t>
  </si>
  <si>
    <t>Vrijeme povrata</t>
  </si>
  <si>
    <t>Likvidnost projekta</t>
  </si>
  <si>
    <t>FINANCIJSKI TIJEK</t>
  </si>
  <si>
    <t>Proračun diskontiranog povrata uloženih sredstava</t>
  </si>
  <si>
    <t>Godina projekta</t>
  </si>
  <si>
    <t>DF</t>
  </si>
  <si>
    <t>DNT</t>
  </si>
  <si>
    <t>Kumulativ DNT</t>
  </si>
  <si>
    <t>Diskontirano vrijeme povrata</t>
  </si>
  <si>
    <t>NPV(4%)</t>
  </si>
  <si>
    <t>Diskontna stopa</t>
  </si>
  <si>
    <t>Provjera</t>
  </si>
  <si>
    <t>IRR</t>
  </si>
  <si>
    <t>Provjera interne stope rentabilnosti</t>
  </si>
  <si>
    <t>Indeks profitabilnosti</t>
  </si>
  <si>
    <t>Ulaganje</t>
  </si>
  <si>
    <t>Suma DNT (4%)</t>
  </si>
  <si>
    <t>Izvori financiranja</t>
  </si>
  <si>
    <t>Vlastito ulaganje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</si>
</sst>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[$€-41A]"/>
    <numFmt numFmtId="165" formatCode="0.0000%"/>
    <numFmt numFmtId="166" formatCode="#,##0.00\ [$€-41A];[Red]\-#,##0.00\ [$€-41A]"/>
    <numFmt numFmtId="167" formatCode="0.000"/>
    <numFmt numFmtId="168" formatCode="0.00000"/>
  </numFmts>
  <fonts count="6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/>
  </cellStyleXfs>
  <cellXfs count="102">
    <xf numFmtId="0" fontId="0" fillId="0" borderId="0" xfId="0"/>
    <xf numFmtId="0" fontId="0" fillId="0" borderId="2" xfId="0" applyBorder="1"/>
    <xf numFmtId="0" fontId="1" fillId="4" borderId="3" xfId="0" applyFont="1" applyFill="1" applyBorder="1"/>
    <xf numFmtId="1" fontId="0" fillId="3" borderId="7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0" fillId="3" borderId="1" xfId="0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1" fillId="4" borderId="11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4" borderId="11" xfId="0" applyFont="1" applyFill="1" applyBorder="1"/>
    <xf numFmtId="0" fontId="1" fillId="4" borderId="20" xfId="0" applyFont="1" applyFill="1" applyBorder="1"/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9" fontId="0" fillId="3" borderId="1" xfId="0" applyNumberFormat="1" applyFill="1" applyBorder="1"/>
    <xf numFmtId="9" fontId="0" fillId="2" borderId="1" xfId="0" applyNumberFormat="1" applyFill="1" applyBorder="1"/>
    <xf numFmtId="164" fontId="3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1" xfId="0" applyFill="1" applyBorder="1"/>
    <xf numFmtId="10" fontId="0" fillId="3" borderId="1" xfId="0" applyNumberFormat="1" applyFill="1" applyBorder="1"/>
    <xf numFmtId="2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166" fontId="0" fillId="3" borderId="1" xfId="0" applyNumberFormat="1" applyFill="1" applyBorder="1"/>
    <xf numFmtId="0" fontId="0" fillId="2" borderId="1" xfId="0" applyFill="1" applyBorder="1"/>
    <xf numFmtId="166" fontId="1" fillId="3" borderId="1" xfId="0" applyNumberFormat="1" applyFont="1" applyFill="1" applyBorder="1"/>
    <xf numFmtId="164" fontId="1" fillId="3" borderId="1" xfId="0" applyNumberFormat="1" applyFont="1" applyFill="1" applyBorder="1"/>
    <xf numFmtId="164" fontId="3" fillId="2" borderId="1" xfId="0" applyNumberFormat="1" applyFont="1" applyFill="1" applyBorder="1"/>
    <xf numFmtId="164" fontId="1" fillId="2" borderId="22" xfId="0" applyNumberFormat="1" applyFont="1" applyFill="1" applyBorder="1"/>
    <xf numFmtId="164" fontId="3" fillId="3" borderId="22" xfId="0" applyNumberFormat="1" applyFont="1" applyFill="1" applyBorder="1"/>
    <xf numFmtId="164" fontId="0" fillId="3" borderId="22" xfId="0" applyNumberFormat="1" applyFill="1" applyBorder="1"/>
    <xf numFmtId="164" fontId="3" fillId="2" borderId="22" xfId="0" applyNumberFormat="1" applyFont="1" applyFill="1" applyBorder="1"/>
    <xf numFmtId="164" fontId="1" fillId="2" borderId="23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0" fillId="0" borderId="0" xfId="0" applyNumberFormat="1" applyAlignment="1">
      <alignment vertical="center"/>
    </xf>
    <xf numFmtId="167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/>
    <xf numFmtId="10" fontId="1" fillId="2" borderId="1" xfId="0" applyNumberFormat="1" applyFont="1" applyFill="1" applyBorder="1"/>
    <xf numFmtId="165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/>
    <xf numFmtId="164" fontId="0" fillId="3" borderId="1" xfId="0" applyNumberFormat="1" applyFill="1" applyBorder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3" borderId="1" xfId="0" applyNumberForma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4">
    <cellStyle name="40% - Isticanje1 2" xfId="1" xr:uid="{E6E38C8D-377E-4217-B1AC-023487AEBDAD}"/>
    <cellStyle name="60% - Isticanje1 2" xfId="2" xr:uid="{38B26376-C474-45E6-B9F5-5206601AF371}"/>
    <cellStyle name="Normalno" xfId="0" builtinId="0"/>
    <cellStyle name="Normalno 2" xfId="3" xr:uid="{106A3345-80F5-40F4-A61A-7F7A9FA18762}"/>
  </cellStyles>
  <dxfs count="0"/>
  <tableStyles count="0" defaultTableStyle="TableStyleMedium2" defaultPivotStyle="PivotStyleLight16"/>
  <colors>
    <mruColors>
      <color rgb="FF8ED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j-posao.net/Kalkulator-Placa/?salary=750&amp;location=263&amp;children=&amp;supporting=&amp;disabilityCoeff=0&amp;type=n2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377349</xdr:colOff>
      <xdr:row>19</xdr:row>
      <xdr:rowOff>97980</xdr:rowOff>
    </xdr:from>
    <xdr:ext cx="65" cy="172227"/>
    <xdr:sp macro="" textlink="">
      <xdr:nvSpPr>
        <xdr:cNvPr id="2" name="TekstniOkvir 1">
          <a:extLst>
            <a:ext uri="{FF2B5EF4-FFF2-40B4-BE49-F238E27FC236}">
              <a16:creationId xmlns:a16="http://schemas.microsoft.com/office/drawing/2014/main" id="{09DF876E-FB15-0A2F-76D6-02AC67C8646F}"/>
            </a:ext>
          </a:extLst>
        </xdr:cNvPr>
        <xdr:cNvSpPr txBox="1"/>
      </xdr:nvSpPr>
      <xdr:spPr>
        <a:xfrm>
          <a:off x="8654574" y="35365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hr-H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1541144</xdr:colOff>
      <xdr:row>8</xdr:row>
      <xdr:rowOff>175259</xdr:rowOff>
    </xdr:from>
    <xdr:ext cx="2809875" cy="953466"/>
    <xdr:sp macro="" textlink="">
      <xdr:nvSpPr>
        <xdr:cNvPr id="2" name="TekstniOkvi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C4810-9184-85A1-DF1B-FBE0C2C0CAB4}"/>
            </a:ext>
          </a:extLst>
        </xdr:cNvPr>
        <xdr:cNvSpPr txBox="1"/>
      </xdr:nvSpPr>
      <xdr:spPr>
        <a:xfrm>
          <a:off x="4227194" y="1442084"/>
          <a:ext cx="2809875" cy="9534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r-HR" sz="1100"/>
            <a:t>Bruto plaća je izračunata koristeći kalkulator sa stranice :</a:t>
          </a:r>
        </a:p>
        <a:p>
          <a:endParaRPr lang="hr-HR" sz="1100"/>
        </a:p>
        <a:p>
          <a:r>
            <a:rPr lang="hr-HR" sz="1100"/>
            <a:t>	MojPosao.net </a:t>
          </a:r>
          <a:br>
            <a:rPr lang="hr-HR" sz="1100"/>
          </a:br>
          <a:endParaRPr lang="hr-H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A5A3-D75E-4BA7-A729-227FB7BF01FE}">
  <dimension ref="B3:K47"/>
  <sheetViews>
    <sheetView workbookViewId="0">
      <selection activeCell="K9" sqref="K9"/>
    </sheetView>
  </sheetViews>
  <sheetFormatPr defaultRowHeight="14.4" x14ac:dyDescent="0.3"/>
  <cols>
    <col min="2" max="2" width="34.88671875" bestFit="1" customWidth="1"/>
    <col min="3" max="3" width="15" bestFit="1" customWidth="1"/>
    <col min="4" max="4" width="8.33203125" bestFit="1" customWidth="1"/>
    <col min="5" max="5" width="14.44140625" bestFit="1" customWidth="1"/>
    <col min="6" max="6" width="12.44140625" bestFit="1" customWidth="1"/>
    <col min="9" max="9" width="9.77734375" customWidth="1"/>
    <col min="10" max="10" width="13" bestFit="1" customWidth="1"/>
    <col min="11" max="11" width="10.44140625" bestFit="1" customWidth="1"/>
  </cols>
  <sheetData>
    <row r="3" spans="2:11" x14ac:dyDescent="0.3">
      <c r="B3" s="8" t="s">
        <v>0</v>
      </c>
      <c r="C3" s="7"/>
      <c r="D3" s="7"/>
      <c r="E3" s="7"/>
      <c r="F3" s="7"/>
    </row>
    <row r="4" spans="2:11" x14ac:dyDescent="0.3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2:11" x14ac:dyDescent="0.3">
      <c r="B5" s="9" t="s">
        <v>6</v>
      </c>
      <c r="C5" s="10">
        <v>90</v>
      </c>
      <c r="D5" s="11">
        <v>12</v>
      </c>
      <c r="E5" s="9" t="s">
        <v>18</v>
      </c>
      <c r="F5" s="10">
        <f>$C5*$D5</f>
        <v>1080</v>
      </c>
    </row>
    <row r="6" spans="2:11" x14ac:dyDescent="0.3">
      <c r="B6" s="9" t="s">
        <v>7</v>
      </c>
      <c r="C6" s="10">
        <v>32</v>
      </c>
      <c r="D6" s="11">
        <v>250</v>
      </c>
      <c r="E6" s="9" t="s">
        <v>20</v>
      </c>
      <c r="F6" s="10">
        <f t="shared" ref="F6:F15" si="0">$C6*$D6</f>
        <v>8000</v>
      </c>
    </row>
    <row r="7" spans="2:11" x14ac:dyDescent="0.3">
      <c r="B7" s="9" t="s">
        <v>8</v>
      </c>
      <c r="C7" s="10">
        <v>5</v>
      </c>
      <c r="D7" s="11">
        <v>400</v>
      </c>
      <c r="E7" s="12" t="s">
        <v>19</v>
      </c>
      <c r="F7" s="10">
        <f t="shared" si="0"/>
        <v>2000</v>
      </c>
    </row>
    <row r="8" spans="2:11" x14ac:dyDescent="0.3">
      <c r="B8" s="9" t="s">
        <v>9</v>
      </c>
      <c r="C8" s="10">
        <v>600</v>
      </c>
      <c r="D8" s="11">
        <v>6</v>
      </c>
      <c r="E8" s="9" t="s">
        <v>18</v>
      </c>
      <c r="F8" s="10">
        <f t="shared" si="0"/>
        <v>3600</v>
      </c>
    </row>
    <row r="9" spans="2:11" x14ac:dyDescent="0.3">
      <c r="B9" s="9" t="s">
        <v>10</v>
      </c>
      <c r="C9" s="10">
        <v>500</v>
      </c>
      <c r="D9" s="11">
        <v>5</v>
      </c>
      <c r="E9" s="9" t="s">
        <v>21</v>
      </c>
      <c r="F9" s="10">
        <f t="shared" si="0"/>
        <v>2500</v>
      </c>
      <c r="J9" s="4" t="s">
        <v>40</v>
      </c>
      <c r="K9" s="22">
        <f>SUM(F16,E36,C47)</f>
        <v>91485</v>
      </c>
    </row>
    <row r="10" spans="2:11" x14ac:dyDescent="0.3">
      <c r="B10" s="9" t="s">
        <v>11</v>
      </c>
      <c r="C10" s="10">
        <v>500</v>
      </c>
      <c r="D10" s="11">
        <v>3</v>
      </c>
      <c r="E10" s="9" t="s">
        <v>21</v>
      </c>
      <c r="F10" s="10">
        <f t="shared" si="0"/>
        <v>1500</v>
      </c>
    </row>
    <row r="11" spans="2:11" x14ac:dyDescent="0.3">
      <c r="B11" s="9" t="s">
        <v>12</v>
      </c>
      <c r="C11" s="10">
        <v>18</v>
      </c>
      <c r="D11" s="11">
        <v>150</v>
      </c>
      <c r="E11" s="9" t="s">
        <v>20</v>
      </c>
      <c r="F11" s="10">
        <f t="shared" si="0"/>
        <v>2700</v>
      </c>
    </row>
    <row r="12" spans="2:11" x14ac:dyDescent="0.3">
      <c r="B12" s="9" t="s">
        <v>13</v>
      </c>
      <c r="C12" s="10">
        <v>150</v>
      </c>
      <c r="D12" s="11">
        <v>8</v>
      </c>
      <c r="E12" s="9" t="s">
        <v>22</v>
      </c>
      <c r="F12" s="10">
        <f t="shared" si="0"/>
        <v>1200</v>
      </c>
    </row>
    <row r="13" spans="2:11" x14ac:dyDescent="0.3">
      <c r="B13" s="9" t="s">
        <v>14</v>
      </c>
      <c r="C13" s="10">
        <v>14</v>
      </c>
      <c r="D13" s="11">
        <v>80</v>
      </c>
      <c r="E13" s="9" t="s">
        <v>20</v>
      </c>
      <c r="F13" s="10">
        <f t="shared" si="0"/>
        <v>1120</v>
      </c>
    </row>
    <row r="14" spans="2:11" x14ac:dyDescent="0.3">
      <c r="B14" s="9" t="s">
        <v>15</v>
      </c>
      <c r="C14" s="10">
        <v>50</v>
      </c>
      <c r="D14" s="11">
        <v>100</v>
      </c>
      <c r="E14" s="9" t="s">
        <v>20</v>
      </c>
      <c r="F14" s="10">
        <f t="shared" si="0"/>
        <v>5000</v>
      </c>
    </row>
    <row r="15" spans="2:11" x14ac:dyDescent="0.3">
      <c r="B15" s="9" t="s">
        <v>16</v>
      </c>
      <c r="C15" s="10">
        <v>300</v>
      </c>
      <c r="D15" s="11">
        <v>3</v>
      </c>
      <c r="E15" s="9" t="s">
        <v>22</v>
      </c>
      <c r="F15" s="10">
        <f t="shared" si="0"/>
        <v>900</v>
      </c>
    </row>
    <row r="16" spans="2:11" x14ac:dyDescent="0.3">
      <c r="B16" s="8" t="s">
        <v>17</v>
      </c>
      <c r="C16" s="13"/>
      <c r="D16" s="14"/>
      <c r="E16" s="14"/>
      <c r="F16" s="13">
        <f>SUM(F5:F15)</f>
        <v>29600</v>
      </c>
    </row>
    <row r="19" spans="2:6" x14ac:dyDescent="0.3">
      <c r="B19" s="8" t="s">
        <v>23</v>
      </c>
      <c r="C19" s="7"/>
      <c r="D19" s="7"/>
      <c r="E19" s="7"/>
      <c r="F19" s="1"/>
    </row>
    <row r="20" spans="2:6" x14ac:dyDescent="0.3">
      <c r="B20" s="15" t="s">
        <v>1</v>
      </c>
      <c r="C20" s="15" t="s">
        <v>2</v>
      </c>
      <c r="D20" s="16" t="s">
        <v>3</v>
      </c>
      <c r="E20" s="17" t="s">
        <v>5</v>
      </c>
      <c r="F20" s="2"/>
    </row>
    <row r="21" spans="2:6" x14ac:dyDescent="0.3">
      <c r="B21" s="18" t="s">
        <v>24</v>
      </c>
      <c r="C21" s="6">
        <v>2500</v>
      </c>
      <c r="D21" s="5">
        <v>5</v>
      </c>
      <c r="E21" s="6">
        <f>$C21*$D21</f>
        <v>12500</v>
      </c>
    </row>
    <row r="22" spans="2:6" x14ac:dyDescent="0.3">
      <c r="B22" s="18" t="s">
        <v>25</v>
      </c>
      <c r="C22" s="6">
        <v>1200</v>
      </c>
      <c r="D22" s="5">
        <v>4</v>
      </c>
      <c r="E22" s="6">
        <f t="shared" ref="E22:E35" si="1">$C22*$D22</f>
        <v>4800</v>
      </c>
    </row>
    <row r="23" spans="2:6" x14ac:dyDescent="0.3">
      <c r="B23" s="5" t="s">
        <v>26</v>
      </c>
      <c r="C23" s="6">
        <v>3000</v>
      </c>
      <c r="D23" s="5">
        <v>3</v>
      </c>
      <c r="E23" s="6">
        <f t="shared" si="1"/>
        <v>9000</v>
      </c>
    </row>
    <row r="24" spans="2:6" x14ac:dyDescent="0.3">
      <c r="B24" s="5" t="s">
        <v>99</v>
      </c>
      <c r="C24" s="6">
        <v>10</v>
      </c>
      <c r="D24" s="5">
        <v>3</v>
      </c>
      <c r="E24" s="6">
        <f t="shared" si="1"/>
        <v>30</v>
      </c>
    </row>
    <row r="25" spans="2:6" x14ac:dyDescent="0.3">
      <c r="B25" s="5" t="s">
        <v>102</v>
      </c>
      <c r="C25" s="6">
        <v>25</v>
      </c>
      <c r="D25" s="5">
        <v>8</v>
      </c>
      <c r="E25" s="6">
        <f t="shared" si="1"/>
        <v>200</v>
      </c>
    </row>
    <row r="26" spans="2:6" x14ac:dyDescent="0.3">
      <c r="B26" s="5" t="s">
        <v>101</v>
      </c>
      <c r="C26" s="6">
        <v>40</v>
      </c>
      <c r="D26" s="5">
        <v>8</v>
      </c>
      <c r="E26" s="6">
        <f t="shared" si="1"/>
        <v>320</v>
      </c>
    </row>
    <row r="27" spans="2:6" x14ac:dyDescent="0.3">
      <c r="B27" s="5" t="s">
        <v>103</v>
      </c>
      <c r="C27" s="6">
        <v>60</v>
      </c>
      <c r="D27" s="5">
        <v>8</v>
      </c>
      <c r="E27" s="6">
        <f t="shared" si="1"/>
        <v>480</v>
      </c>
    </row>
    <row r="28" spans="2:6" x14ac:dyDescent="0.3">
      <c r="B28" s="5" t="s">
        <v>100</v>
      </c>
      <c r="C28" s="6">
        <v>50</v>
      </c>
      <c r="D28" s="5">
        <v>4</v>
      </c>
      <c r="E28" s="6">
        <f t="shared" si="1"/>
        <v>200</v>
      </c>
    </row>
    <row r="29" spans="2:6" x14ac:dyDescent="0.3">
      <c r="B29" s="5" t="s">
        <v>27</v>
      </c>
      <c r="C29" s="6">
        <v>400</v>
      </c>
      <c r="D29" s="5">
        <v>3</v>
      </c>
      <c r="E29" s="6">
        <f t="shared" si="1"/>
        <v>1200</v>
      </c>
    </row>
    <row r="30" spans="2:6" x14ac:dyDescent="0.3">
      <c r="B30" s="5" t="s">
        <v>28</v>
      </c>
      <c r="C30" s="6">
        <v>350</v>
      </c>
      <c r="D30" s="5">
        <v>5</v>
      </c>
      <c r="E30" s="6">
        <f t="shared" si="1"/>
        <v>1750</v>
      </c>
      <c r="F30" s="1"/>
    </row>
    <row r="31" spans="2:6" x14ac:dyDescent="0.3">
      <c r="B31" s="5" t="s">
        <v>29</v>
      </c>
      <c r="C31" s="6">
        <v>4500</v>
      </c>
      <c r="D31" s="5">
        <v>4</v>
      </c>
      <c r="E31" s="6">
        <f t="shared" si="1"/>
        <v>18000</v>
      </c>
    </row>
    <row r="32" spans="2:6" x14ac:dyDescent="0.3">
      <c r="B32" s="5" t="s">
        <v>30</v>
      </c>
      <c r="C32" s="6">
        <v>30</v>
      </c>
      <c r="D32" s="5">
        <v>50</v>
      </c>
      <c r="E32" s="6">
        <f t="shared" si="1"/>
        <v>1500</v>
      </c>
    </row>
    <row r="33" spans="2:5" x14ac:dyDescent="0.3">
      <c r="B33" s="5" t="s">
        <v>104</v>
      </c>
      <c r="C33" s="6">
        <v>1400</v>
      </c>
      <c r="D33" s="5">
        <v>2</v>
      </c>
      <c r="E33" s="6">
        <f t="shared" si="1"/>
        <v>2800</v>
      </c>
    </row>
    <row r="34" spans="2:5" x14ac:dyDescent="0.3">
      <c r="B34" s="5" t="s">
        <v>170</v>
      </c>
      <c r="C34" s="6">
        <v>190</v>
      </c>
      <c r="D34" s="5">
        <v>3</v>
      </c>
      <c r="E34" s="6">
        <f t="shared" si="1"/>
        <v>570</v>
      </c>
    </row>
    <row r="35" spans="2:5" x14ac:dyDescent="0.3">
      <c r="B35" s="5" t="s">
        <v>31</v>
      </c>
      <c r="C35" s="6">
        <v>2000</v>
      </c>
      <c r="D35" s="5">
        <v>4</v>
      </c>
      <c r="E35" s="6">
        <f t="shared" si="1"/>
        <v>8000</v>
      </c>
    </row>
    <row r="36" spans="2:5" x14ac:dyDescent="0.3">
      <c r="B36" s="4" t="s">
        <v>17</v>
      </c>
      <c r="C36" s="19"/>
      <c r="D36" s="19"/>
      <c r="E36" s="20">
        <f>SUM(E21:E35)</f>
        <v>61350</v>
      </c>
    </row>
    <row r="39" spans="2:5" x14ac:dyDescent="0.3">
      <c r="B39" s="4" t="s">
        <v>32</v>
      </c>
      <c r="C39" s="21"/>
    </row>
    <row r="40" spans="2:5" x14ac:dyDescent="0.3">
      <c r="B40" s="4" t="s">
        <v>33</v>
      </c>
      <c r="C40" s="4" t="s">
        <v>5</v>
      </c>
    </row>
    <row r="41" spans="2:5" x14ac:dyDescent="0.3">
      <c r="B41" s="5" t="s">
        <v>34</v>
      </c>
      <c r="C41" s="6">
        <v>1.5</v>
      </c>
    </row>
    <row r="42" spans="2:5" x14ac:dyDescent="0.3">
      <c r="B42" s="5" t="s">
        <v>35</v>
      </c>
      <c r="C42" s="6">
        <v>94</v>
      </c>
    </row>
    <row r="43" spans="2:5" x14ac:dyDescent="0.3">
      <c r="B43" s="5" t="s">
        <v>36</v>
      </c>
      <c r="C43" s="6">
        <v>350</v>
      </c>
    </row>
    <row r="44" spans="2:5" x14ac:dyDescent="0.3">
      <c r="B44" s="5" t="s">
        <v>37</v>
      </c>
      <c r="C44" s="6">
        <v>50</v>
      </c>
    </row>
    <row r="45" spans="2:5" x14ac:dyDescent="0.3">
      <c r="B45" s="5" t="s">
        <v>38</v>
      </c>
      <c r="C45" s="6">
        <v>30</v>
      </c>
    </row>
    <row r="46" spans="2:5" x14ac:dyDescent="0.3">
      <c r="B46" s="5" t="s">
        <v>39</v>
      </c>
      <c r="C46" s="6">
        <v>9.5</v>
      </c>
    </row>
    <row r="47" spans="2:5" x14ac:dyDescent="0.3">
      <c r="B47" s="4" t="s">
        <v>17</v>
      </c>
      <c r="C47" s="20">
        <f>SUM(C41:C46)</f>
        <v>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A60D-AB06-4C83-B1F3-1E1561E3A1DC}">
  <dimension ref="B1:P32"/>
  <sheetViews>
    <sheetView tabSelected="1" workbookViewId="0">
      <selection activeCell="D9" sqref="D9"/>
    </sheetView>
  </sheetViews>
  <sheetFormatPr defaultRowHeight="14.4" x14ac:dyDescent="0.3"/>
  <cols>
    <col min="2" max="2" width="10" customWidth="1"/>
    <col min="3" max="3" width="25.5546875" customWidth="1"/>
    <col min="4" max="4" width="29.77734375" customWidth="1"/>
    <col min="5" max="5" width="20" bestFit="1" customWidth="1"/>
    <col min="6" max="6" width="12.44140625" customWidth="1"/>
    <col min="7" max="7" width="10.6640625" customWidth="1"/>
    <col min="8" max="8" width="10.88671875" customWidth="1"/>
    <col min="9" max="9" width="11.77734375" customWidth="1"/>
    <col min="10" max="10" width="11.109375" customWidth="1"/>
    <col min="11" max="11" width="10.33203125" customWidth="1"/>
    <col min="12" max="12" width="11.5546875" customWidth="1"/>
    <col min="13" max="13" width="9.88671875" customWidth="1"/>
    <col min="14" max="14" width="11.109375" customWidth="1"/>
    <col min="15" max="15" width="10.5546875" customWidth="1"/>
    <col min="16" max="16" width="9.44140625" bestFit="1" customWidth="1"/>
  </cols>
  <sheetData>
    <row r="1" spans="2:7" x14ac:dyDescent="0.3">
      <c r="D1" s="39"/>
      <c r="E1" s="39"/>
    </row>
    <row r="2" spans="2:7" x14ac:dyDescent="0.3">
      <c r="B2" s="85" t="s">
        <v>142</v>
      </c>
      <c r="C2" s="85"/>
      <c r="D2" s="41"/>
      <c r="E2" s="37"/>
      <c r="F2" s="42"/>
      <c r="G2" s="36"/>
    </row>
    <row r="3" spans="2:7" x14ac:dyDescent="0.3">
      <c r="B3" s="85" t="s">
        <v>143</v>
      </c>
      <c r="C3" s="85"/>
      <c r="D3" s="8" t="s">
        <v>144</v>
      </c>
      <c r="E3" s="8" t="s">
        <v>145</v>
      </c>
      <c r="F3" s="8" t="s">
        <v>146</v>
      </c>
    </row>
    <row r="4" spans="2:7" x14ac:dyDescent="0.3">
      <c r="B4" s="86" t="s">
        <v>150</v>
      </c>
      <c r="C4" s="86"/>
      <c r="D4" s="9"/>
      <c r="E4" s="9"/>
      <c r="F4" s="9"/>
    </row>
    <row r="5" spans="2:7" x14ac:dyDescent="0.3">
      <c r="B5" s="9" t="s">
        <v>52</v>
      </c>
      <c r="C5" s="9" t="s">
        <v>147</v>
      </c>
      <c r="D5" s="10">
        <f>INV!C47</f>
        <v>535</v>
      </c>
      <c r="E5" s="10">
        <v>535</v>
      </c>
      <c r="F5" s="10"/>
    </row>
    <row r="6" spans="2:7" x14ac:dyDescent="0.3">
      <c r="B6" s="9" t="s">
        <v>53</v>
      </c>
      <c r="C6" s="9" t="s">
        <v>148</v>
      </c>
      <c r="D6" s="10">
        <f>INV!F16</f>
        <v>29600</v>
      </c>
      <c r="E6" s="10">
        <v>4600</v>
      </c>
      <c r="F6" s="10">
        <v>25000</v>
      </c>
    </row>
    <row r="7" spans="2:7" x14ac:dyDescent="0.3">
      <c r="B7" s="9" t="s">
        <v>54</v>
      </c>
      <c r="C7" s="9" t="s">
        <v>149</v>
      </c>
      <c r="D7" s="10">
        <f>INV!E36</f>
        <v>61350</v>
      </c>
      <c r="E7" s="10"/>
      <c r="F7" s="10">
        <v>61350</v>
      </c>
    </row>
    <row r="8" spans="2:7" x14ac:dyDescent="0.3">
      <c r="B8" s="89" t="s">
        <v>151</v>
      </c>
      <c r="C8" s="89"/>
      <c r="D8" s="10">
        <f>TOBS!$F$28</f>
        <v>8759.6883915284398</v>
      </c>
      <c r="E8" s="10">
        <f>D8</f>
        <v>8759.6883915284398</v>
      </c>
      <c r="F8" s="10"/>
    </row>
    <row r="9" spans="2:7" x14ac:dyDescent="0.3">
      <c r="B9" s="87" t="s">
        <v>152</v>
      </c>
      <c r="C9" s="87"/>
      <c r="D9" s="28">
        <f>SUM(D5:D8)</f>
        <v>100244.68839152844</v>
      </c>
      <c r="E9" s="28">
        <f t="shared" ref="E9:F9" si="0">SUM(E5:E8)</f>
        <v>13894.68839152844</v>
      </c>
      <c r="F9" s="28">
        <f t="shared" si="0"/>
        <v>86350</v>
      </c>
    </row>
    <row r="10" spans="2:7" x14ac:dyDescent="0.3">
      <c r="B10" s="7"/>
      <c r="C10" s="7"/>
      <c r="D10" s="7"/>
      <c r="E10" s="7"/>
      <c r="F10" s="7"/>
    </row>
    <row r="11" spans="2:7" x14ac:dyDescent="0.3">
      <c r="D11" s="39"/>
    </row>
    <row r="12" spans="2:7" x14ac:dyDescent="0.3">
      <c r="B12" s="85" t="s">
        <v>153</v>
      </c>
      <c r="C12" s="85"/>
      <c r="D12" s="38"/>
      <c r="E12" s="40"/>
      <c r="F12" s="37"/>
      <c r="G12" s="36"/>
    </row>
    <row r="13" spans="2:7" x14ac:dyDescent="0.3">
      <c r="B13" s="85" t="s">
        <v>143</v>
      </c>
      <c r="C13" s="85"/>
      <c r="D13" s="8" t="s">
        <v>144</v>
      </c>
      <c r="E13" s="8" t="s">
        <v>155</v>
      </c>
      <c r="F13" s="8" t="s">
        <v>169</v>
      </c>
    </row>
    <row r="14" spans="2:7" x14ac:dyDescent="0.3">
      <c r="B14" s="86" t="s">
        <v>150</v>
      </c>
      <c r="C14" s="86"/>
      <c r="D14" s="9"/>
      <c r="E14" s="9"/>
      <c r="F14" s="9"/>
    </row>
    <row r="15" spans="2:7" x14ac:dyDescent="0.3">
      <c r="B15" s="9" t="s">
        <v>52</v>
      </c>
      <c r="C15" s="9" t="s">
        <v>147</v>
      </c>
      <c r="D15" s="10">
        <f>D5</f>
        <v>535</v>
      </c>
      <c r="E15" s="45">
        <v>0</v>
      </c>
      <c r="F15" s="10">
        <f>$D15*$E15</f>
        <v>0</v>
      </c>
    </row>
    <row r="16" spans="2:7" x14ac:dyDescent="0.3">
      <c r="B16" s="9" t="s">
        <v>53</v>
      </c>
      <c r="C16" s="9" t="s">
        <v>148</v>
      </c>
      <c r="D16" s="10">
        <f>D6</f>
        <v>29600</v>
      </c>
      <c r="E16" s="45">
        <v>0.25</v>
      </c>
      <c r="F16" s="10">
        <f t="shared" ref="F16:F17" si="1">$D16*$E16</f>
        <v>7400</v>
      </c>
    </row>
    <row r="17" spans="2:16" x14ac:dyDescent="0.3">
      <c r="B17" s="9" t="s">
        <v>54</v>
      </c>
      <c r="C17" s="9" t="s">
        <v>149</v>
      </c>
      <c r="D17" s="10">
        <f>D7</f>
        <v>61350</v>
      </c>
      <c r="E17" s="45">
        <v>0.25</v>
      </c>
      <c r="F17" s="10">
        <f t="shared" si="1"/>
        <v>15337.5</v>
      </c>
    </row>
    <row r="18" spans="2:16" ht="14.4" customHeight="1" x14ac:dyDescent="0.3">
      <c r="B18" s="87" t="s">
        <v>154</v>
      </c>
      <c r="C18" s="87"/>
      <c r="D18" s="28">
        <f>SUM(D14:D17)</f>
        <v>91485</v>
      </c>
      <c r="E18" s="28"/>
      <c r="F18" s="28">
        <f t="shared" ref="F18" si="2">SUM(F14:F17)</f>
        <v>22737.5</v>
      </c>
    </row>
    <row r="19" spans="2:16" x14ac:dyDescent="0.3">
      <c r="B19" s="43"/>
      <c r="C19" s="44"/>
      <c r="D19" s="34"/>
      <c r="E19" s="34"/>
      <c r="F19" s="35"/>
      <c r="G19" s="36"/>
    </row>
    <row r="20" spans="2:16" x14ac:dyDescent="0.3">
      <c r="B20" s="31"/>
      <c r="C20" s="32"/>
      <c r="D20" s="33"/>
      <c r="E20" s="33"/>
      <c r="F20" s="33"/>
    </row>
    <row r="21" spans="2:16" x14ac:dyDescent="0.3">
      <c r="B21" s="85" t="s">
        <v>156</v>
      </c>
      <c r="C21" s="85"/>
    </row>
    <row r="22" spans="2:16" x14ac:dyDescent="0.3">
      <c r="B22" s="88" t="s">
        <v>46</v>
      </c>
      <c r="C22" s="88" t="s">
        <v>157</v>
      </c>
      <c r="D22" s="88" t="s">
        <v>158</v>
      </c>
      <c r="E22" s="88" t="s">
        <v>159</v>
      </c>
      <c r="F22" s="85" t="s">
        <v>160</v>
      </c>
      <c r="G22" s="85"/>
      <c r="H22" s="85"/>
      <c r="I22" s="85"/>
      <c r="J22" s="85"/>
      <c r="K22" s="85"/>
      <c r="L22" s="85"/>
      <c r="M22" s="85"/>
      <c r="N22" s="85"/>
      <c r="O22" s="85"/>
      <c r="P22" s="84" t="s">
        <v>231</v>
      </c>
    </row>
    <row r="23" spans="2:16" x14ac:dyDescent="0.3">
      <c r="B23" s="88"/>
      <c r="C23" s="88"/>
      <c r="D23" s="88"/>
      <c r="E23" s="88"/>
      <c r="F23" s="9">
        <v>1</v>
      </c>
      <c r="G23" s="9">
        <v>2</v>
      </c>
      <c r="H23" s="9">
        <v>3</v>
      </c>
      <c r="I23" s="9">
        <v>4</v>
      </c>
      <c r="J23" s="9">
        <v>5</v>
      </c>
      <c r="K23" s="9">
        <v>6</v>
      </c>
      <c r="L23" s="9">
        <v>7</v>
      </c>
      <c r="M23" s="9">
        <v>8</v>
      </c>
      <c r="N23" s="9">
        <v>9</v>
      </c>
      <c r="O23" s="9">
        <v>10</v>
      </c>
      <c r="P23" s="84"/>
    </row>
    <row r="24" spans="2:16" x14ac:dyDescent="0.3">
      <c r="B24" s="88"/>
      <c r="C24" s="88"/>
      <c r="D24" s="88"/>
      <c r="E24" s="88"/>
      <c r="F24" s="9">
        <v>2025</v>
      </c>
      <c r="G24" s="9">
        <v>2026</v>
      </c>
      <c r="H24" s="9">
        <v>2027</v>
      </c>
      <c r="I24" s="9">
        <v>2028</v>
      </c>
      <c r="J24" s="9">
        <v>2029</v>
      </c>
      <c r="K24" s="9">
        <v>2030</v>
      </c>
      <c r="L24" s="9">
        <v>2031</v>
      </c>
      <c r="M24" s="9">
        <v>2032</v>
      </c>
      <c r="N24" s="9">
        <v>2033</v>
      </c>
      <c r="O24" s="9">
        <v>2034</v>
      </c>
      <c r="P24" s="84"/>
    </row>
    <row r="25" spans="2:16" x14ac:dyDescent="0.3">
      <c r="B25" s="46" t="s">
        <v>161</v>
      </c>
      <c r="C25" s="46" t="s">
        <v>162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57"/>
    </row>
    <row r="26" spans="2:16" x14ac:dyDescent="0.3">
      <c r="B26" s="9" t="s">
        <v>52</v>
      </c>
      <c r="C26" s="9" t="s">
        <v>149</v>
      </c>
      <c r="D26" s="47">
        <v>61350</v>
      </c>
      <c r="E26" s="49">
        <v>0.25</v>
      </c>
      <c r="F26" s="47">
        <f>$F17</f>
        <v>15337.5</v>
      </c>
      <c r="G26" s="47">
        <f t="shared" ref="G26:I26" si="3">$F17</f>
        <v>15337.5</v>
      </c>
      <c r="H26" s="47">
        <f t="shared" si="3"/>
        <v>15337.5</v>
      </c>
      <c r="I26" s="47">
        <f t="shared" si="3"/>
        <v>15337.5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</row>
    <row r="27" spans="2:16" x14ac:dyDescent="0.3">
      <c r="B27" s="9" t="s">
        <v>53</v>
      </c>
      <c r="C27" s="9" t="s">
        <v>148</v>
      </c>
      <c r="D27" s="47">
        <v>29600</v>
      </c>
      <c r="E27" s="49">
        <v>0.25</v>
      </c>
      <c r="F27" s="47">
        <f>$F16</f>
        <v>7400</v>
      </c>
      <c r="G27" s="47">
        <f t="shared" ref="G27:I27" si="4">$F16</f>
        <v>7400</v>
      </c>
      <c r="H27" s="47">
        <f t="shared" si="4"/>
        <v>7400</v>
      </c>
      <c r="I27" s="47">
        <f t="shared" si="4"/>
        <v>7400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</row>
    <row r="28" spans="2:16" x14ac:dyDescent="0.3">
      <c r="B28" s="46" t="s">
        <v>163</v>
      </c>
      <c r="C28" s="46" t="s">
        <v>165</v>
      </c>
      <c r="D28" s="47">
        <f>SUM(D26:D27)</f>
        <v>90950</v>
      </c>
      <c r="E28" s="49"/>
      <c r="F28" s="47">
        <f>$F18</f>
        <v>22737.5</v>
      </c>
      <c r="G28" s="47">
        <f t="shared" ref="G28:I28" si="5">$F18</f>
        <v>22737.5</v>
      </c>
      <c r="H28" s="47">
        <f t="shared" si="5"/>
        <v>22737.5</v>
      </c>
      <c r="I28" s="47">
        <f t="shared" si="5"/>
        <v>22737.5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f>SUM(P26:P27)</f>
        <v>0</v>
      </c>
    </row>
    <row r="29" spans="2:16" x14ac:dyDescent="0.3">
      <c r="B29" s="46" t="s">
        <v>164</v>
      </c>
      <c r="C29" s="46" t="s">
        <v>166</v>
      </c>
      <c r="D29" s="47"/>
      <c r="E29" s="49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57"/>
    </row>
    <row r="30" spans="2:16" x14ac:dyDescent="0.3">
      <c r="B30" s="9" t="s">
        <v>52</v>
      </c>
      <c r="C30" s="9" t="s">
        <v>167</v>
      </c>
      <c r="D30" s="47">
        <f>D28</f>
        <v>90950</v>
      </c>
      <c r="E30" s="49"/>
      <c r="F30" s="47">
        <f>D30-F28</f>
        <v>68212.5</v>
      </c>
      <c r="G30" s="47">
        <f>F30-G28</f>
        <v>45475</v>
      </c>
      <c r="H30" s="47">
        <f>G30-H28</f>
        <v>22737.5</v>
      </c>
      <c r="I30" s="47">
        <f>H30-I28</f>
        <v>0</v>
      </c>
      <c r="J30" s="47">
        <f t="shared" ref="J30:O30" si="6">I30-J28</f>
        <v>0</v>
      </c>
      <c r="K30" s="47">
        <f t="shared" si="6"/>
        <v>0</v>
      </c>
      <c r="L30" s="47">
        <f t="shared" si="6"/>
        <v>0</v>
      </c>
      <c r="M30" s="47">
        <f t="shared" si="6"/>
        <v>0</v>
      </c>
      <c r="N30" s="47">
        <f t="shared" si="6"/>
        <v>0</v>
      </c>
      <c r="O30" s="47">
        <f t="shared" si="6"/>
        <v>0</v>
      </c>
      <c r="P30" s="47">
        <v>0</v>
      </c>
    </row>
    <row r="31" spans="2:16" x14ac:dyDescent="0.3">
      <c r="B31" s="9" t="s">
        <v>53</v>
      </c>
      <c r="C31" s="9" t="s">
        <v>168</v>
      </c>
      <c r="D31" s="47">
        <f>TOBS!F28</f>
        <v>8759.6883915284398</v>
      </c>
      <c r="E31" s="49"/>
      <c r="F31" s="47">
        <f>TOBS!F$28</f>
        <v>8759.6883915284398</v>
      </c>
      <c r="G31" s="47">
        <f>TOBS!G$28</f>
        <v>8781.5894485899898</v>
      </c>
      <c r="H31" s="47">
        <f>TOBS!H$28</f>
        <v>8804.382788507799</v>
      </c>
      <c r="I31" s="47">
        <f>TOBS!I$28</f>
        <v>8828.1047642621579</v>
      </c>
      <c r="J31" s="47">
        <f>TOBS!J$28</f>
        <v>8663.3140432431865</v>
      </c>
      <c r="K31" s="47">
        <f>TOBS!K$28</f>
        <v>8689.0083342588605</v>
      </c>
      <c r="L31" s="47">
        <f>TOBS!L$28</f>
        <v>8715.7494503347443</v>
      </c>
      <c r="M31" s="47">
        <f>TOBS!M$28</f>
        <v>8743.5800407389561</v>
      </c>
      <c r="N31" s="47">
        <f>TOBS!N$28</f>
        <v>8772.5444923366049</v>
      </c>
      <c r="O31" s="47">
        <f>TOBS!O$28</f>
        <v>8802.6890003821645</v>
      </c>
      <c r="P31" s="47">
        <f>O31</f>
        <v>8802.6890003821645</v>
      </c>
    </row>
    <row r="32" spans="2:16" x14ac:dyDescent="0.3">
      <c r="B32" s="14"/>
      <c r="C32" s="8" t="s">
        <v>17</v>
      </c>
      <c r="D32" s="48">
        <f>SUM(D30:D31)</f>
        <v>99709.688391528442</v>
      </c>
      <c r="E32" s="50"/>
      <c r="F32" s="48">
        <f>SUM(F30:F31)</f>
        <v>76972.188391528442</v>
      </c>
      <c r="G32" s="48">
        <f t="shared" ref="G32:P32" si="7">SUM(G30:G31)</f>
        <v>54256.589448589992</v>
      </c>
      <c r="H32" s="48">
        <f t="shared" si="7"/>
        <v>31541.882788507799</v>
      </c>
      <c r="I32" s="48">
        <f t="shared" si="7"/>
        <v>8828.1047642621579</v>
      </c>
      <c r="J32" s="48">
        <f t="shared" si="7"/>
        <v>8663.3140432431865</v>
      </c>
      <c r="K32" s="48">
        <f t="shared" si="7"/>
        <v>8689.0083342588605</v>
      </c>
      <c r="L32" s="48">
        <f t="shared" si="7"/>
        <v>8715.7494503347443</v>
      </c>
      <c r="M32" s="48">
        <f t="shared" si="7"/>
        <v>8743.5800407389561</v>
      </c>
      <c r="N32" s="48">
        <f t="shared" si="7"/>
        <v>8772.5444923366049</v>
      </c>
      <c r="O32" s="48">
        <f t="shared" si="7"/>
        <v>8802.6890003821645</v>
      </c>
      <c r="P32" s="48">
        <f t="shared" si="7"/>
        <v>8802.6890003821645</v>
      </c>
    </row>
  </sheetData>
  <mergeCells count="16">
    <mergeCell ref="B12:C12"/>
    <mergeCell ref="B3:C3"/>
    <mergeCell ref="B2:C2"/>
    <mergeCell ref="B4:C4"/>
    <mergeCell ref="B8:C8"/>
    <mergeCell ref="B9:C9"/>
    <mergeCell ref="P22:P24"/>
    <mergeCell ref="B13:C13"/>
    <mergeCell ref="B14:C14"/>
    <mergeCell ref="B18:C18"/>
    <mergeCell ref="B21:C21"/>
    <mergeCell ref="F22:O22"/>
    <mergeCell ref="E22:E24"/>
    <mergeCell ref="D22:D24"/>
    <mergeCell ref="C22:C24"/>
    <mergeCell ref="B22:B2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996A-076C-4838-9270-7B526B2AC6A7}">
  <dimension ref="C2:I26"/>
  <sheetViews>
    <sheetView workbookViewId="0">
      <selection activeCell="I26" sqref="I26"/>
    </sheetView>
  </sheetViews>
  <sheetFormatPr defaultRowHeight="14.4" x14ac:dyDescent="0.3"/>
  <cols>
    <col min="3" max="3" width="10" bestFit="1" customWidth="1"/>
    <col min="4" max="4" width="30.77734375" bestFit="1" customWidth="1"/>
    <col min="5" max="5" width="13.77734375" bestFit="1" customWidth="1"/>
    <col min="6" max="6" width="10.109375" bestFit="1" customWidth="1"/>
    <col min="7" max="7" width="15" bestFit="1" customWidth="1"/>
    <col min="8" max="8" width="22.6640625" bestFit="1" customWidth="1"/>
    <col min="9" max="9" width="21.5546875" bestFit="1" customWidth="1"/>
  </cols>
  <sheetData>
    <row r="2" spans="3:9" x14ac:dyDescent="0.3">
      <c r="C2" s="4" t="s">
        <v>46</v>
      </c>
      <c r="D2" s="4" t="s">
        <v>47</v>
      </c>
      <c r="E2" s="4" t="s">
        <v>48</v>
      </c>
      <c r="F2" s="4" t="s">
        <v>49</v>
      </c>
      <c r="G2" s="4" t="s">
        <v>2</v>
      </c>
      <c r="H2" s="4" t="s">
        <v>50</v>
      </c>
      <c r="I2" s="4" t="s">
        <v>51</v>
      </c>
    </row>
    <row r="3" spans="3:9" x14ac:dyDescent="0.3">
      <c r="C3" s="3" t="s">
        <v>52</v>
      </c>
      <c r="D3" s="5" t="s">
        <v>72</v>
      </c>
      <c r="E3" s="5" t="s">
        <v>92</v>
      </c>
      <c r="F3" s="5">
        <v>40</v>
      </c>
      <c r="G3" s="6">
        <v>34</v>
      </c>
      <c r="H3" s="6">
        <f>$F3*$G3</f>
        <v>1360</v>
      </c>
      <c r="I3" s="6">
        <f>12*$H3</f>
        <v>16320</v>
      </c>
    </row>
    <row r="4" spans="3:9" x14ac:dyDescent="0.3">
      <c r="C4" s="3" t="s">
        <v>53</v>
      </c>
      <c r="D4" s="5" t="s">
        <v>73</v>
      </c>
      <c r="E4" s="5" t="s">
        <v>92</v>
      </c>
      <c r="F4" s="5">
        <v>35</v>
      </c>
      <c r="G4" s="6">
        <v>30</v>
      </c>
      <c r="H4" s="6">
        <f t="shared" ref="H4:H25" si="0">$F4*$G4</f>
        <v>1050</v>
      </c>
      <c r="I4" s="6">
        <f t="shared" ref="I4:I25" si="1">12*$H4</f>
        <v>12600</v>
      </c>
    </row>
    <row r="5" spans="3:9" x14ac:dyDescent="0.3">
      <c r="C5" s="3" t="s">
        <v>54</v>
      </c>
      <c r="D5" s="5" t="s">
        <v>74</v>
      </c>
      <c r="E5" s="5" t="s">
        <v>92</v>
      </c>
      <c r="F5" s="5">
        <v>45</v>
      </c>
      <c r="G5" s="6">
        <v>20</v>
      </c>
      <c r="H5" s="6">
        <f t="shared" si="0"/>
        <v>900</v>
      </c>
      <c r="I5" s="6">
        <f t="shared" si="1"/>
        <v>10800</v>
      </c>
    </row>
    <row r="6" spans="3:9" x14ac:dyDescent="0.3">
      <c r="C6" s="3" t="s">
        <v>55</v>
      </c>
      <c r="D6" s="5" t="s">
        <v>75</v>
      </c>
      <c r="E6" s="5" t="s">
        <v>92</v>
      </c>
      <c r="F6" s="5">
        <v>20</v>
      </c>
      <c r="G6" s="6">
        <v>24</v>
      </c>
      <c r="H6" s="6">
        <f t="shared" si="0"/>
        <v>480</v>
      </c>
      <c r="I6" s="6">
        <f t="shared" si="1"/>
        <v>5760</v>
      </c>
    </row>
    <row r="7" spans="3:9" x14ac:dyDescent="0.3">
      <c r="C7" s="3" t="s">
        <v>56</v>
      </c>
      <c r="D7" s="5" t="s">
        <v>86</v>
      </c>
      <c r="E7" s="5" t="s">
        <v>92</v>
      </c>
      <c r="F7" s="5">
        <v>14</v>
      </c>
      <c r="G7" s="6">
        <v>30</v>
      </c>
      <c r="H7" s="6">
        <f t="shared" si="0"/>
        <v>420</v>
      </c>
      <c r="I7" s="6">
        <f t="shared" si="1"/>
        <v>5040</v>
      </c>
    </row>
    <row r="8" spans="3:9" x14ac:dyDescent="0.3">
      <c r="C8" s="3" t="s">
        <v>57</v>
      </c>
      <c r="D8" s="5" t="s">
        <v>76</v>
      </c>
      <c r="E8" s="5" t="s">
        <v>92</v>
      </c>
      <c r="F8" s="5">
        <v>60</v>
      </c>
      <c r="G8" s="6">
        <v>15</v>
      </c>
      <c r="H8" s="6">
        <f t="shared" si="0"/>
        <v>900</v>
      </c>
      <c r="I8" s="6">
        <f t="shared" si="1"/>
        <v>10800</v>
      </c>
    </row>
    <row r="9" spans="3:9" x14ac:dyDescent="0.3">
      <c r="C9" s="3" t="s">
        <v>58</v>
      </c>
      <c r="D9" s="5" t="s">
        <v>77</v>
      </c>
      <c r="E9" s="5" t="s">
        <v>92</v>
      </c>
      <c r="F9" s="5">
        <v>34</v>
      </c>
      <c r="G9" s="6">
        <v>18</v>
      </c>
      <c r="H9" s="6">
        <f t="shared" si="0"/>
        <v>612</v>
      </c>
      <c r="I9" s="6">
        <f t="shared" si="1"/>
        <v>7344</v>
      </c>
    </row>
    <row r="10" spans="3:9" x14ac:dyDescent="0.3">
      <c r="C10" s="3" t="s">
        <v>59</v>
      </c>
      <c r="D10" s="5" t="s">
        <v>78</v>
      </c>
      <c r="E10" s="5" t="s">
        <v>92</v>
      </c>
      <c r="F10" s="5">
        <v>23</v>
      </c>
      <c r="G10" s="6">
        <v>25</v>
      </c>
      <c r="H10" s="6">
        <f t="shared" si="0"/>
        <v>575</v>
      </c>
      <c r="I10" s="6">
        <f t="shared" si="1"/>
        <v>6900</v>
      </c>
    </row>
    <row r="11" spans="3:9" x14ac:dyDescent="0.3">
      <c r="C11" s="3" t="s">
        <v>60</v>
      </c>
      <c r="D11" s="5" t="s">
        <v>87</v>
      </c>
      <c r="E11" s="5" t="s">
        <v>92</v>
      </c>
      <c r="F11" s="5">
        <v>30</v>
      </c>
      <c r="G11" s="6">
        <v>22</v>
      </c>
      <c r="H11" s="6">
        <f t="shared" si="0"/>
        <v>660</v>
      </c>
      <c r="I11" s="6">
        <f t="shared" si="1"/>
        <v>7920</v>
      </c>
    </row>
    <row r="12" spans="3:9" x14ac:dyDescent="0.3">
      <c r="C12" s="3" t="s">
        <v>61</v>
      </c>
      <c r="D12" s="5" t="s">
        <v>88</v>
      </c>
      <c r="E12" s="5" t="s">
        <v>92</v>
      </c>
      <c r="F12" s="5">
        <v>40</v>
      </c>
      <c r="G12" s="6">
        <v>29</v>
      </c>
      <c r="H12" s="6">
        <f t="shared" si="0"/>
        <v>1160</v>
      </c>
      <c r="I12" s="6">
        <f t="shared" si="1"/>
        <v>13920</v>
      </c>
    </row>
    <row r="13" spans="3:9" x14ac:dyDescent="0.3">
      <c r="C13" s="3" t="s">
        <v>62</v>
      </c>
      <c r="D13" s="5" t="s">
        <v>90</v>
      </c>
      <c r="E13" s="5" t="s">
        <v>92</v>
      </c>
      <c r="F13" s="5">
        <v>15</v>
      </c>
      <c r="G13" s="6">
        <v>150</v>
      </c>
      <c r="H13" s="6">
        <f t="shared" si="0"/>
        <v>2250</v>
      </c>
      <c r="I13" s="6">
        <f t="shared" si="1"/>
        <v>27000</v>
      </c>
    </row>
    <row r="14" spans="3:9" x14ac:dyDescent="0.3">
      <c r="C14" s="3" t="s">
        <v>63</v>
      </c>
      <c r="D14" s="5" t="s">
        <v>91</v>
      </c>
      <c r="E14" s="5" t="s">
        <v>92</v>
      </c>
      <c r="F14" s="5">
        <v>10</v>
      </c>
      <c r="G14" s="6">
        <v>330</v>
      </c>
      <c r="H14" s="6">
        <f t="shared" si="0"/>
        <v>3300</v>
      </c>
      <c r="I14" s="6">
        <f t="shared" si="1"/>
        <v>39600</v>
      </c>
    </row>
    <row r="15" spans="3:9" x14ac:dyDescent="0.3">
      <c r="C15" s="3" t="s">
        <v>64</v>
      </c>
      <c r="D15" s="5" t="s">
        <v>85</v>
      </c>
      <c r="E15" s="5" t="s">
        <v>92</v>
      </c>
      <c r="F15" s="5">
        <v>20</v>
      </c>
      <c r="G15" s="6">
        <v>20</v>
      </c>
      <c r="H15" s="6">
        <f t="shared" si="0"/>
        <v>400</v>
      </c>
      <c r="I15" s="6">
        <f t="shared" si="1"/>
        <v>4800</v>
      </c>
    </row>
    <row r="16" spans="3:9" x14ac:dyDescent="0.3">
      <c r="C16" s="3" t="s">
        <v>65</v>
      </c>
      <c r="D16" s="5" t="s">
        <v>84</v>
      </c>
      <c r="E16" s="5" t="s">
        <v>92</v>
      </c>
      <c r="F16" s="5">
        <v>10</v>
      </c>
      <c r="G16" s="6">
        <v>15</v>
      </c>
      <c r="H16" s="6">
        <f t="shared" si="0"/>
        <v>150</v>
      </c>
      <c r="I16" s="6">
        <f t="shared" si="1"/>
        <v>1800</v>
      </c>
    </row>
    <row r="17" spans="3:9" x14ac:dyDescent="0.3">
      <c r="C17" s="3" t="s">
        <v>66</v>
      </c>
      <c r="D17" s="5" t="s">
        <v>89</v>
      </c>
      <c r="E17" s="5" t="s">
        <v>22</v>
      </c>
      <c r="F17" s="5">
        <v>90</v>
      </c>
      <c r="G17" s="6">
        <v>20</v>
      </c>
      <c r="H17" s="6">
        <f t="shared" si="0"/>
        <v>1800</v>
      </c>
      <c r="I17" s="6">
        <f t="shared" si="1"/>
        <v>21600</v>
      </c>
    </row>
    <row r="18" spans="3:9" x14ac:dyDescent="0.3">
      <c r="C18" s="3" t="s">
        <v>67</v>
      </c>
      <c r="D18" s="5" t="s">
        <v>82</v>
      </c>
      <c r="E18" s="5" t="s">
        <v>22</v>
      </c>
      <c r="F18" s="5">
        <v>140</v>
      </c>
      <c r="G18" s="6">
        <v>1.5</v>
      </c>
      <c r="H18" s="6">
        <f t="shared" si="0"/>
        <v>210</v>
      </c>
      <c r="I18" s="6">
        <f t="shared" si="1"/>
        <v>2520</v>
      </c>
    </row>
    <row r="19" spans="3:9" x14ac:dyDescent="0.3">
      <c r="C19" s="3" t="s">
        <v>68</v>
      </c>
      <c r="D19" s="5" t="s">
        <v>83</v>
      </c>
      <c r="E19" s="5" t="s">
        <v>22</v>
      </c>
      <c r="F19" s="5">
        <v>100</v>
      </c>
      <c r="G19" s="6">
        <v>2</v>
      </c>
      <c r="H19" s="6">
        <f t="shared" si="0"/>
        <v>200</v>
      </c>
      <c r="I19" s="6">
        <f t="shared" si="1"/>
        <v>2400</v>
      </c>
    </row>
    <row r="20" spans="3:9" x14ac:dyDescent="0.3">
      <c r="C20" s="3" t="s">
        <v>69</v>
      </c>
      <c r="D20" s="5" t="s">
        <v>81</v>
      </c>
      <c r="E20" s="5" t="s">
        <v>22</v>
      </c>
      <c r="F20" s="5">
        <v>90</v>
      </c>
      <c r="G20" s="6">
        <v>2</v>
      </c>
      <c r="H20" s="6">
        <f t="shared" si="0"/>
        <v>180</v>
      </c>
      <c r="I20" s="6">
        <f t="shared" si="1"/>
        <v>2160</v>
      </c>
    </row>
    <row r="21" spans="3:9" x14ac:dyDescent="0.3">
      <c r="C21" s="3" t="s">
        <v>70</v>
      </c>
      <c r="D21" s="5" t="s">
        <v>80</v>
      </c>
      <c r="E21" s="5" t="s">
        <v>22</v>
      </c>
      <c r="F21" s="5">
        <v>80</v>
      </c>
      <c r="G21" s="6">
        <v>2</v>
      </c>
      <c r="H21" s="6">
        <f t="shared" si="0"/>
        <v>160</v>
      </c>
      <c r="I21" s="6">
        <f t="shared" si="1"/>
        <v>1920</v>
      </c>
    </row>
    <row r="22" spans="3:9" x14ac:dyDescent="0.3">
      <c r="C22" s="3" t="s">
        <v>71</v>
      </c>
      <c r="D22" s="5" t="s">
        <v>79</v>
      </c>
      <c r="E22" s="5" t="s">
        <v>22</v>
      </c>
      <c r="F22" s="5">
        <v>200</v>
      </c>
      <c r="G22" s="6">
        <v>2.5</v>
      </c>
      <c r="H22" s="6">
        <f t="shared" si="0"/>
        <v>500</v>
      </c>
      <c r="I22" s="6">
        <f t="shared" si="1"/>
        <v>6000</v>
      </c>
    </row>
    <row r="23" spans="3:9" x14ac:dyDescent="0.3">
      <c r="C23" s="3" t="s">
        <v>93</v>
      </c>
      <c r="D23" s="5" t="s">
        <v>96</v>
      </c>
      <c r="E23" s="5" t="s">
        <v>22</v>
      </c>
      <c r="F23" s="5">
        <v>60</v>
      </c>
      <c r="G23" s="6">
        <v>3</v>
      </c>
      <c r="H23" s="6">
        <f t="shared" si="0"/>
        <v>180</v>
      </c>
      <c r="I23" s="6">
        <f t="shared" si="1"/>
        <v>2160</v>
      </c>
    </row>
    <row r="24" spans="3:9" x14ac:dyDescent="0.3">
      <c r="C24" s="3" t="s">
        <v>94</v>
      </c>
      <c r="D24" s="5" t="s">
        <v>97</v>
      </c>
      <c r="E24" s="5" t="s">
        <v>22</v>
      </c>
      <c r="F24" s="5">
        <v>75</v>
      </c>
      <c r="G24" s="6">
        <v>2</v>
      </c>
      <c r="H24" s="6">
        <f t="shared" si="0"/>
        <v>150</v>
      </c>
      <c r="I24" s="6">
        <f t="shared" si="1"/>
        <v>1800</v>
      </c>
    </row>
    <row r="25" spans="3:9" x14ac:dyDescent="0.3">
      <c r="C25" s="3" t="s">
        <v>95</v>
      </c>
      <c r="D25" s="5" t="s">
        <v>98</v>
      </c>
      <c r="E25" s="5" t="s">
        <v>22</v>
      </c>
      <c r="F25" s="5">
        <v>70</v>
      </c>
      <c r="G25" s="6">
        <v>2</v>
      </c>
      <c r="H25" s="6">
        <f t="shared" si="0"/>
        <v>140</v>
      </c>
      <c r="I25" s="6">
        <f t="shared" si="1"/>
        <v>1680</v>
      </c>
    </row>
    <row r="26" spans="3:9" x14ac:dyDescent="0.3">
      <c r="C26" s="7"/>
      <c r="D26" s="7"/>
      <c r="E26" s="7"/>
      <c r="F26" s="7"/>
      <c r="G26" s="7"/>
      <c r="H26" s="4" t="s">
        <v>17</v>
      </c>
      <c r="I26" s="22">
        <f>SUM(I3:I25)</f>
        <v>212844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915-8F70-4103-9F4C-AD85AB538A0E}">
  <dimension ref="B2:K39"/>
  <sheetViews>
    <sheetView workbookViewId="0">
      <selection activeCell="M18" sqref="M18"/>
    </sheetView>
  </sheetViews>
  <sheetFormatPr defaultRowHeight="14.4" x14ac:dyDescent="0.3"/>
  <cols>
    <col min="2" max="2" width="30.77734375" bestFit="1" customWidth="1"/>
    <col min="3" max="3" width="13.77734375" bestFit="1" customWidth="1"/>
    <col min="4" max="4" width="24.109375" bestFit="1" customWidth="1"/>
    <col min="5" max="5" width="24.5546875" bestFit="1" customWidth="1"/>
    <col min="6" max="6" width="20.5546875" bestFit="1" customWidth="1"/>
    <col min="10" max="10" width="21.88671875" bestFit="1" customWidth="1"/>
    <col min="11" max="11" width="11.44140625" bestFit="1" customWidth="1"/>
  </cols>
  <sheetData>
    <row r="2" spans="2:11" x14ac:dyDescent="0.3"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7"/>
    </row>
    <row r="3" spans="2:11" x14ac:dyDescent="0.3">
      <c r="B3" s="9" t="s">
        <v>122</v>
      </c>
      <c r="C3" s="9">
        <v>3</v>
      </c>
      <c r="D3" s="10">
        <v>800</v>
      </c>
      <c r="E3" s="10">
        <v>1104</v>
      </c>
      <c r="F3" s="10">
        <f>12*$E3*$C3</f>
        <v>39744</v>
      </c>
    </row>
    <row r="4" spans="2:11" x14ac:dyDescent="0.3">
      <c r="B4" s="9" t="s">
        <v>121</v>
      </c>
      <c r="C4" s="9">
        <v>2</v>
      </c>
      <c r="D4" s="10">
        <v>750</v>
      </c>
      <c r="E4" s="10">
        <v>1023</v>
      </c>
      <c r="F4" s="10">
        <f t="shared" ref="F4:F7" si="0">12*$E4*$C4</f>
        <v>24552</v>
      </c>
    </row>
    <row r="5" spans="2:11" x14ac:dyDescent="0.3">
      <c r="B5" s="9" t="s">
        <v>120</v>
      </c>
      <c r="C5" s="9">
        <v>3</v>
      </c>
      <c r="D5" s="10">
        <v>600</v>
      </c>
      <c r="E5" s="10">
        <v>776</v>
      </c>
      <c r="F5" s="10">
        <f t="shared" si="0"/>
        <v>27936</v>
      </c>
    </row>
    <row r="6" spans="2:11" x14ac:dyDescent="0.3">
      <c r="B6" s="9" t="s">
        <v>171</v>
      </c>
      <c r="C6" s="9">
        <v>2</v>
      </c>
      <c r="D6" s="10">
        <v>600</v>
      </c>
      <c r="E6" s="10">
        <v>776</v>
      </c>
      <c r="F6" s="10">
        <f t="shared" si="0"/>
        <v>18624</v>
      </c>
    </row>
    <row r="7" spans="2:11" x14ac:dyDescent="0.3">
      <c r="B7" s="9" t="s">
        <v>123</v>
      </c>
      <c r="C7" s="9">
        <v>2</v>
      </c>
      <c r="D7" s="10">
        <v>300</v>
      </c>
      <c r="E7" s="10">
        <v>375</v>
      </c>
      <c r="F7" s="10">
        <f t="shared" si="0"/>
        <v>9000</v>
      </c>
    </row>
    <row r="8" spans="2:11" x14ac:dyDescent="0.3">
      <c r="B8" s="7"/>
      <c r="C8" s="7"/>
      <c r="D8" s="7"/>
      <c r="E8" s="8" t="s">
        <v>17</v>
      </c>
      <c r="F8" s="28">
        <f>SUM(F3:F7)</f>
        <v>119856</v>
      </c>
    </row>
    <row r="10" spans="2:11" x14ac:dyDescent="0.3">
      <c r="J10" s="23" t="s">
        <v>141</v>
      </c>
      <c r="K10" s="26">
        <f>SUM(F8,F24,F39)</f>
        <v>155215</v>
      </c>
    </row>
    <row r="16" spans="2:11" x14ac:dyDescent="0.3">
      <c r="B16" s="8" t="s">
        <v>137</v>
      </c>
      <c r="C16" s="21"/>
      <c r="D16" s="21"/>
      <c r="E16" s="21"/>
      <c r="F16" s="21"/>
    </row>
    <row r="17" spans="2:11" x14ac:dyDescent="0.3">
      <c r="B17" s="8" t="s">
        <v>138</v>
      </c>
      <c r="C17" s="8" t="s">
        <v>48</v>
      </c>
      <c r="D17" s="8" t="s">
        <v>124</v>
      </c>
      <c r="E17" s="8" t="s">
        <v>2</v>
      </c>
      <c r="F17" s="8" t="s">
        <v>125</v>
      </c>
      <c r="J17" s="23" t="s">
        <v>206</v>
      </c>
      <c r="K17" s="26">
        <f>SUM(F18:F19)</f>
        <v>11980</v>
      </c>
    </row>
    <row r="18" spans="2:11" x14ac:dyDescent="0.3">
      <c r="B18" s="9" t="s">
        <v>126</v>
      </c>
      <c r="C18" s="9" t="s">
        <v>133</v>
      </c>
      <c r="D18" s="9">
        <v>35800</v>
      </c>
      <c r="E18" s="10">
        <v>0.1</v>
      </c>
      <c r="F18" s="10">
        <f>$D18*$E18</f>
        <v>3580</v>
      </c>
      <c r="J18" s="23" t="s">
        <v>207</v>
      </c>
      <c r="K18" s="26">
        <f>D20*E20</f>
        <v>9360</v>
      </c>
    </row>
    <row r="19" spans="2:11" x14ac:dyDescent="0.3">
      <c r="B19" s="9" t="s">
        <v>127</v>
      </c>
      <c r="C19" s="9" t="s">
        <v>132</v>
      </c>
      <c r="D19" s="9">
        <v>4200</v>
      </c>
      <c r="E19" s="10">
        <v>2</v>
      </c>
      <c r="F19" s="10">
        <f t="shared" ref="F19:F22" si="1">$D19*$E19</f>
        <v>8400</v>
      </c>
      <c r="J19" s="23" t="s">
        <v>214</v>
      </c>
      <c r="K19" s="26">
        <f>F8</f>
        <v>119856</v>
      </c>
    </row>
    <row r="20" spans="2:11" x14ac:dyDescent="0.3">
      <c r="B20" s="9" t="s">
        <v>128</v>
      </c>
      <c r="C20" s="9" t="s">
        <v>20</v>
      </c>
      <c r="D20" s="9">
        <v>780</v>
      </c>
      <c r="E20" s="10">
        <v>12</v>
      </c>
      <c r="F20" s="10">
        <f t="shared" si="1"/>
        <v>9360</v>
      </c>
      <c r="J20" s="23" t="s">
        <v>209</v>
      </c>
      <c r="K20" s="26">
        <f>SUM(F21:F23)</f>
        <v>9600</v>
      </c>
    </row>
    <row r="21" spans="2:11" x14ac:dyDescent="0.3">
      <c r="B21" s="9" t="s">
        <v>129</v>
      </c>
      <c r="C21" s="9" t="s">
        <v>134</v>
      </c>
      <c r="D21" s="9">
        <v>12</v>
      </c>
      <c r="E21" s="10">
        <v>300</v>
      </c>
      <c r="F21" s="10">
        <f t="shared" si="1"/>
        <v>3600</v>
      </c>
      <c r="J21" s="23" t="s">
        <v>105</v>
      </c>
      <c r="K21" s="26">
        <f>F39</f>
        <v>4419</v>
      </c>
    </row>
    <row r="22" spans="2:11" x14ac:dyDescent="0.3">
      <c r="B22" s="9" t="s">
        <v>130</v>
      </c>
      <c r="C22" s="9" t="s">
        <v>135</v>
      </c>
      <c r="D22" s="9">
        <v>2</v>
      </c>
      <c r="E22" s="10">
        <v>2000</v>
      </c>
      <c r="F22" s="10">
        <f t="shared" si="1"/>
        <v>4000</v>
      </c>
      <c r="J22" s="23" t="s">
        <v>223</v>
      </c>
      <c r="K22" s="26">
        <f>SUM(F5,F7)</f>
        <v>36936</v>
      </c>
    </row>
    <row r="23" spans="2:11" x14ac:dyDescent="0.3">
      <c r="B23" s="9" t="s">
        <v>131</v>
      </c>
      <c r="C23" s="9" t="s">
        <v>136</v>
      </c>
      <c r="D23" s="9" t="s">
        <v>136</v>
      </c>
      <c r="E23" s="10">
        <v>2000</v>
      </c>
      <c r="F23" s="10">
        <f>E23</f>
        <v>2000</v>
      </c>
      <c r="J23" s="23" t="s">
        <v>224</v>
      </c>
      <c r="K23" s="26">
        <f>SUM(F3,F4,F6)</f>
        <v>82920</v>
      </c>
    </row>
    <row r="24" spans="2:11" x14ac:dyDescent="0.3">
      <c r="B24" s="7"/>
      <c r="C24" s="7"/>
      <c r="D24" s="7"/>
      <c r="E24" s="8" t="s">
        <v>17</v>
      </c>
      <c r="F24" s="28">
        <f>SUM(F18:F23)</f>
        <v>30940</v>
      </c>
    </row>
    <row r="27" spans="2:11" x14ac:dyDescent="0.3">
      <c r="B27" s="8" t="s">
        <v>105</v>
      </c>
      <c r="C27" s="21"/>
      <c r="D27" s="21"/>
      <c r="E27" s="21"/>
      <c r="F27" s="21"/>
    </row>
    <row r="28" spans="2:11" x14ac:dyDescent="0.3">
      <c r="B28" s="8" t="s">
        <v>138</v>
      </c>
      <c r="C28" s="8" t="s">
        <v>48</v>
      </c>
      <c r="D28" s="8" t="s">
        <v>124</v>
      </c>
      <c r="E28" s="8" t="s">
        <v>2</v>
      </c>
      <c r="F28" s="8" t="s">
        <v>139</v>
      </c>
    </row>
    <row r="29" spans="2:11" x14ac:dyDescent="0.3">
      <c r="B29" s="9" t="s">
        <v>89</v>
      </c>
      <c r="C29" s="9" t="s">
        <v>22</v>
      </c>
      <c r="D29" s="9">
        <v>130</v>
      </c>
      <c r="E29" s="10">
        <v>15</v>
      </c>
      <c r="F29" s="10">
        <f>$D29*$E29</f>
        <v>1950</v>
      </c>
    </row>
    <row r="30" spans="2:11" x14ac:dyDescent="0.3">
      <c r="B30" s="9" t="s">
        <v>82</v>
      </c>
      <c r="C30" s="9" t="s">
        <v>22</v>
      </c>
      <c r="D30" s="9">
        <v>200</v>
      </c>
      <c r="E30" s="10">
        <v>1</v>
      </c>
      <c r="F30" s="10">
        <f t="shared" ref="F30:F37" si="2">$D30*$E30</f>
        <v>200</v>
      </c>
    </row>
    <row r="31" spans="2:11" x14ac:dyDescent="0.3">
      <c r="B31" s="9" t="s">
        <v>83</v>
      </c>
      <c r="C31" s="9" t="s">
        <v>22</v>
      </c>
      <c r="D31" s="9">
        <v>200</v>
      </c>
      <c r="E31" s="10">
        <v>1.5</v>
      </c>
      <c r="F31" s="10">
        <f t="shared" si="2"/>
        <v>300</v>
      </c>
    </row>
    <row r="32" spans="2:11" x14ac:dyDescent="0.3">
      <c r="B32" s="9" t="s">
        <v>81</v>
      </c>
      <c r="C32" s="9" t="s">
        <v>22</v>
      </c>
      <c r="D32" s="9">
        <v>140</v>
      </c>
      <c r="E32" s="10">
        <v>1.5</v>
      </c>
      <c r="F32" s="10">
        <f t="shared" si="2"/>
        <v>210</v>
      </c>
    </row>
    <row r="33" spans="2:6" x14ac:dyDescent="0.3">
      <c r="B33" s="9" t="s">
        <v>80</v>
      </c>
      <c r="C33" s="9" t="s">
        <v>22</v>
      </c>
      <c r="D33" s="9">
        <v>130</v>
      </c>
      <c r="E33" s="10">
        <v>1.5</v>
      </c>
      <c r="F33" s="10">
        <f t="shared" si="2"/>
        <v>195</v>
      </c>
    </row>
    <row r="34" spans="2:6" x14ac:dyDescent="0.3">
      <c r="B34" s="9" t="s">
        <v>79</v>
      </c>
      <c r="C34" s="9" t="s">
        <v>22</v>
      </c>
      <c r="D34" s="9">
        <v>250</v>
      </c>
      <c r="E34" s="10">
        <v>1.9</v>
      </c>
      <c r="F34" s="10">
        <f t="shared" si="2"/>
        <v>475</v>
      </c>
    </row>
    <row r="35" spans="2:6" x14ac:dyDescent="0.3">
      <c r="B35" s="9" t="s">
        <v>96</v>
      </c>
      <c r="C35" s="9" t="s">
        <v>22</v>
      </c>
      <c r="D35" s="9">
        <v>80</v>
      </c>
      <c r="E35" s="10">
        <v>2.4</v>
      </c>
      <c r="F35" s="10">
        <f t="shared" si="2"/>
        <v>192</v>
      </c>
    </row>
    <row r="36" spans="2:6" x14ac:dyDescent="0.3">
      <c r="B36" s="9" t="s">
        <v>97</v>
      </c>
      <c r="C36" s="9" t="s">
        <v>22</v>
      </c>
      <c r="D36" s="9">
        <v>90</v>
      </c>
      <c r="E36" s="10">
        <v>1.5</v>
      </c>
      <c r="F36" s="10">
        <f t="shared" si="2"/>
        <v>135</v>
      </c>
    </row>
    <row r="37" spans="2:6" x14ac:dyDescent="0.3">
      <c r="B37" s="9" t="s">
        <v>98</v>
      </c>
      <c r="C37" s="9" t="s">
        <v>22</v>
      </c>
      <c r="D37" s="9">
        <v>90</v>
      </c>
      <c r="E37" s="10">
        <v>1.8</v>
      </c>
      <c r="F37" s="10">
        <f t="shared" si="2"/>
        <v>162</v>
      </c>
    </row>
    <row r="38" spans="2:6" ht="45.6" customHeight="1" x14ac:dyDescent="0.3">
      <c r="B38" s="27" t="s">
        <v>140</v>
      </c>
      <c r="C38" s="29" t="s">
        <v>136</v>
      </c>
      <c r="D38" s="29" t="s">
        <v>136</v>
      </c>
      <c r="E38" s="30" t="s">
        <v>136</v>
      </c>
      <c r="F38" s="30">
        <v>600</v>
      </c>
    </row>
    <row r="39" spans="2:6" x14ac:dyDescent="0.3">
      <c r="B39" s="7"/>
      <c r="C39" s="7"/>
      <c r="D39" s="7"/>
      <c r="E39" s="8" t="s">
        <v>17</v>
      </c>
      <c r="F39" s="28">
        <f>SUM(F29:F38)</f>
        <v>4419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0189-D3C8-4E85-AD1E-9B1FECD61398}">
  <dimension ref="B2:Q137"/>
  <sheetViews>
    <sheetView workbookViewId="0">
      <selection activeCell="I5" sqref="I5"/>
    </sheetView>
  </sheetViews>
  <sheetFormatPr defaultRowHeight="14.4" x14ac:dyDescent="0.3"/>
  <cols>
    <col min="3" max="3" width="18.77734375" customWidth="1"/>
    <col min="4" max="4" width="16.5546875" customWidth="1"/>
    <col min="6" max="7" width="10.44140625" bestFit="1" customWidth="1"/>
    <col min="8" max="8" width="11.44140625" bestFit="1" customWidth="1"/>
    <col min="9" max="9" width="12.21875" customWidth="1"/>
    <col min="10" max="11" width="11" customWidth="1"/>
    <col min="12" max="12" width="11.44140625" customWidth="1"/>
    <col min="13" max="13" width="12.33203125" customWidth="1"/>
    <col min="14" max="14" width="11" customWidth="1"/>
    <col min="15" max="15" width="11.5546875" customWidth="1"/>
    <col min="16" max="16" width="10.44140625" bestFit="1" customWidth="1"/>
    <col min="17" max="17" width="11.88671875" customWidth="1"/>
  </cols>
  <sheetData>
    <row r="2" spans="2:17" x14ac:dyDescent="0.3">
      <c r="B2" s="85" t="s">
        <v>146</v>
      </c>
      <c r="C2" s="85"/>
      <c r="D2" s="28">
        <f>'INV+AM'!$F$9</f>
        <v>86350</v>
      </c>
      <c r="F2" s="8" t="s">
        <v>188</v>
      </c>
      <c r="G2" s="8">
        <v>2025</v>
      </c>
      <c r="H2" s="8">
        <v>2026</v>
      </c>
      <c r="I2" s="8">
        <v>2027</v>
      </c>
      <c r="J2" s="8">
        <v>2028</v>
      </c>
      <c r="K2" s="8">
        <v>2029</v>
      </c>
      <c r="L2" s="8">
        <v>2030</v>
      </c>
      <c r="M2" s="8">
        <v>2031</v>
      </c>
      <c r="N2" s="8">
        <v>2032</v>
      </c>
      <c r="O2" s="8">
        <v>2033</v>
      </c>
      <c r="P2" s="8">
        <v>2034</v>
      </c>
      <c r="Q2" s="8" t="s">
        <v>17</v>
      </c>
    </row>
    <row r="3" spans="2:17" x14ac:dyDescent="0.3">
      <c r="B3" s="85" t="s">
        <v>186</v>
      </c>
      <c r="C3" s="85"/>
      <c r="D3" s="57"/>
      <c r="F3" s="57" t="s">
        <v>189</v>
      </c>
      <c r="G3" s="61">
        <f>SUM(E18:E29)</f>
        <v>7167.4775481353345</v>
      </c>
      <c r="H3" s="61">
        <f>SUM(E30:E41)</f>
        <v>7459.4916422893184</v>
      </c>
      <c r="I3" s="61">
        <f>SUM(E42:E53)</f>
        <v>7763.4028411934614</v>
      </c>
      <c r="J3" s="61">
        <f>SUM(E54:E65)</f>
        <v>8079.6958512515621</v>
      </c>
      <c r="K3" s="61">
        <f>SUM(E66:E77)</f>
        <v>8408.8751265541741</v>
      </c>
      <c r="L3" s="61">
        <f>SUM(E78:E89)</f>
        <v>8751.4656734298333</v>
      </c>
      <c r="M3" s="61">
        <f>SUM(E90:E101)</f>
        <v>9108.0138877749396</v>
      </c>
      <c r="N3" s="61">
        <f>SUM(E102:E113)</f>
        <v>9479.0884264977612</v>
      </c>
      <c r="O3" s="61">
        <f>SUM(E114:E125)</f>
        <v>9865.2811144664029</v>
      </c>
      <c r="P3" s="61">
        <f>SUM(E126:E137)</f>
        <v>10267.207888407225</v>
      </c>
      <c r="Q3" s="63">
        <f>SUM(G3:P3)</f>
        <v>86350.000000000015</v>
      </c>
    </row>
    <row r="4" spans="2:17" x14ac:dyDescent="0.3">
      <c r="B4" s="85" t="s">
        <v>187</v>
      </c>
      <c r="C4" s="85"/>
      <c r="D4" s="58">
        <v>5.0000000000000001E-3</v>
      </c>
      <c r="F4" s="57" t="s">
        <v>190</v>
      </c>
      <c r="G4" s="47">
        <f>SUM(D18:D29)</f>
        <v>3323.5436685096856</v>
      </c>
      <c r="H4" s="47">
        <f>SUM(D30:D41)</f>
        <v>3031.5295743557008</v>
      </c>
      <c r="I4" s="61">
        <f>SUM(D42:D53)</f>
        <v>2727.6183754515582</v>
      </c>
      <c r="J4" s="61">
        <f>SUM(D54:D65)</f>
        <v>2411.3253653934576</v>
      </c>
      <c r="K4" s="61">
        <f>SUM(D66:D77)</f>
        <v>2082.1460900908464</v>
      </c>
      <c r="L4" s="61">
        <f>SUM(D78:D89)</f>
        <v>1739.5555432151875</v>
      </c>
      <c r="M4" s="61">
        <f>SUM(D90:D101)</f>
        <v>1383.0073288700803</v>
      </c>
      <c r="N4" s="61">
        <f>SUM(D102:D113)</f>
        <v>1011.9327901472575</v>
      </c>
      <c r="O4" s="61">
        <f>SUM(D114:D125)</f>
        <v>625.74010217861769</v>
      </c>
      <c r="P4" s="61">
        <f>SUM(D126:D137)</f>
        <v>223.81332823779445</v>
      </c>
      <c r="Q4" s="64">
        <f>SUM(G4:P4)</f>
        <v>18560.212166450183</v>
      </c>
    </row>
    <row r="5" spans="2:17" x14ac:dyDescent="0.3">
      <c r="B5" s="85" t="s">
        <v>197</v>
      </c>
      <c r="C5" s="85"/>
      <c r="D5" s="61">
        <f>PMT(D12,D8,D9,D10)*-1</f>
        <v>874.25176805375168</v>
      </c>
      <c r="F5" s="57" t="s">
        <v>17</v>
      </c>
      <c r="G5" s="61">
        <f>SUM(G3:G4)</f>
        <v>10491.02121664502</v>
      </c>
      <c r="H5" s="61">
        <f>SUM(H3:H4)</f>
        <v>10491.021216645018</v>
      </c>
      <c r="I5" s="61">
        <f t="shared" ref="I5:Q5" si="0">SUM(I3:I4)</f>
        <v>10491.02121664502</v>
      </c>
      <c r="J5" s="61">
        <f t="shared" si="0"/>
        <v>10491.02121664502</v>
      </c>
      <c r="K5" s="61">
        <f t="shared" si="0"/>
        <v>10491.02121664502</v>
      </c>
      <c r="L5" s="61">
        <f t="shared" si="0"/>
        <v>10491.02121664502</v>
      </c>
      <c r="M5" s="61">
        <f t="shared" si="0"/>
        <v>10491.02121664502</v>
      </c>
      <c r="N5" s="61">
        <f t="shared" si="0"/>
        <v>10491.021216645018</v>
      </c>
      <c r="O5" s="61">
        <f t="shared" si="0"/>
        <v>10491.02121664502</v>
      </c>
      <c r="P5" s="61">
        <f t="shared" si="0"/>
        <v>10491.02121664502</v>
      </c>
      <c r="Q5" s="63">
        <f t="shared" si="0"/>
        <v>104910.21216645019</v>
      </c>
    </row>
    <row r="6" spans="2:17" x14ac:dyDescent="0.3">
      <c r="C6" s="56"/>
    </row>
    <row r="7" spans="2:17" x14ac:dyDescent="0.3">
      <c r="B7" s="85" t="s">
        <v>191</v>
      </c>
      <c r="C7" s="85"/>
      <c r="D7" s="58">
        <v>0.04</v>
      </c>
    </row>
    <row r="8" spans="2:17" x14ac:dyDescent="0.3">
      <c r="B8" s="85" t="s">
        <v>192</v>
      </c>
      <c r="C8" s="85"/>
      <c r="D8" s="57">
        <v>120</v>
      </c>
    </row>
    <row r="9" spans="2:17" x14ac:dyDescent="0.3">
      <c r="B9" s="85" t="s">
        <v>193</v>
      </c>
      <c r="C9" s="85"/>
      <c r="D9" s="47">
        <f>D2</f>
        <v>86350</v>
      </c>
    </row>
    <row r="10" spans="2:17" x14ac:dyDescent="0.3">
      <c r="B10" s="85" t="s">
        <v>198</v>
      </c>
      <c r="C10" s="85"/>
      <c r="D10" s="59">
        <v>0</v>
      </c>
    </row>
    <row r="11" spans="2:17" ht="31.8" customHeight="1" x14ac:dyDescent="0.3">
      <c r="B11" s="87" t="s">
        <v>194</v>
      </c>
      <c r="C11" s="87"/>
      <c r="D11" s="59">
        <v>12</v>
      </c>
    </row>
    <row r="12" spans="2:17" x14ac:dyDescent="0.3">
      <c r="B12" s="85" t="s">
        <v>199</v>
      </c>
      <c r="C12" s="85"/>
      <c r="D12" s="58">
        <f>D7/D11</f>
        <v>3.3333333333333335E-3</v>
      </c>
    </row>
    <row r="15" spans="2:17" x14ac:dyDescent="0.3">
      <c r="B15" s="85" t="s">
        <v>195</v>
      </c>
      <c r="C15" s="85"/>
      <c r="D15" s="85"/>
      <c r="E15" s="85"/>
      <c r="F15" s="85"/>
    </row>
    <row r="16" spans="2:17" ht="45" customHeight="1" x14ac:dyDescent="0.3">
      <c r="B16" s="60" t="s">
        <v>196</v>
      </c>
      <c r="C16" s="60" t="s">
        <v>200</v>
      </c>
      <c r="D16" s="60" t="s">
        <v>190</v>
      </c>
      <c r="E16" s="60" t="s">
        <v>201</v>
      </c>
      <c r="F16" s="60" t="s">
        <v>202</v>
      </c>
    </row>
    <row r="17" spans="2:6" x14ac:dyDescent="0.3">
      <c r="B17" s="62"/>
      <c r="C17" s="62"/>
      <c r="D17" s="62"/>
      <c r="E17" s="62"/>
      <c r="F17" s="48">
        <f>D2</f>
        <v>86350</v>
      </c>
    </row>
    <row r="18" spans="2:6" x14ac:dyDescent="0.3">
      <c r="B18" s="9">
        <v>1</v>
      </c>
      <c r="C18" s="61">
        <f>$D$5</f>
        <v>874.25176805375168</v>
      </c>
      <c r="D18" s="47">
        <f>F17*$D$12</f>
        <v>287.83333333333337</v>
      </c>
      <c r="E18" s="61">
        <f>C18-D18</f>
        <v>586.4184347204183</v>
      </c>
      <c r="F18" s="47">
        <f>IF(B18="","",F17-E18)</f>
        <v>85763.581565279586</v>
      </c>
    </row>
    <row r="19" spans="2:6" x14ac:dyDescent="0.3">
      <c r="B19" s="9">
        <v>2</v>
      </c>
      <c r="C19" s="61">
        <f t="shared" ref="C19:C82" si="1">$D$5</f>
        <v>874.25176805375168</v>
      </c>
      <c r="D19" s="47">
        <f>F18*$D$12</f>
        <v>285.87860521759865</v>
      </c>
      <c r="E19" s="61">
        <f t="shared" ref="E19:E21" si="2">C19-D19</f>
        <v>588.37316283615303</v>
      </c>
      <c r="F19" s="47">
        <f>IF(B19="","",F18-E19)</f>
        <v>85175.20840244343</v>
      </c>
    </row>
    <row r="20" spans="2:6" x14ac:dyDescent="0.3">
      <c r="B20" s="9">
        <v>3</v>
      </c>
      <c r="C20" s="61">
        <f t="shared" si="1"/>
        <v>874.25176805375168</v>
      </c>
      <c r="D20" s="47">
        <f>F19*$D$12</f>
        <v>283.91736134147811</v>
      </c>
      <c r="E20" s="61">
        <f t="shared" si="2"/>
        <v>590.33440671227356</v>
      </c>
      <c r="F20" s="47">
        <f>IF(B20="","",F19-E20)</f>
        <v>84584.873995731163</v>
      </c>
    </row>
    <row r="21" spans="2:6" x14ac:dyDescent="0.3">
      <c r="B21" s="9">
        <v>4</v>
      </c>
      <c r="C21" s="61">
        <f t="shared" si="1"/>
        <v>874.25176805375168</v>
      </c>
      <c r="D21" s="47">
        <f t="shared" ref="D21:D33" si="3">F20*$D$12</f>
        <v>281.94957998577058</v>
      </c>
      <c r="E21" s="61">
        <f t="shared" si="2"/>
        <v>592.30218806798109</v>
      </c>
      <c r="F21" s="47">
        <f t="shared" ref="F21:F33" si="4">IF(B21="","",F20-E21)</f>
        <v>83992.571807663175</v>
      </c>
    </row>
    <row r="22" spans="2:6" x14ac:dyDescent="0.3">
      <c r="B22" s="9">
        <v>5</v>
      </c>
      <c r="C22" s="61">
        <f t="shared" si="1"/>
        <v>874.25176805375168</v>
      </c>
      <c r="D22" s="47">
        <f t="shared" si="3"/>
        <v>279.97523935887727</v>
      </c>
      <c r="E22" s="61">
        <f t="shared" ref="E22:E34" si="5">C22-D22</f>
        <v>594.2765286948744</v>
      </c>
      <c r="F22" s="47">
        <f t="shared" si="4"/>
        <v>83398.295278968304</v>
      </c>
    </row>
    <row r="23" spans="2:6" x14ac:dyDescent="0.3">
      <c r="B23" s="9">
        <v>6</v>
      </c>
      <c r="C23" s="61">
        <f t="shared" si="1"/>
        <v>874.25176805375168</v>
      </c>
      <c r="D23" s="47">
        <f t="shared" si="3"/>
        <v>277.99431759656102</v>
      </c>
      <c r="E23" s="61">
        <f t="shared" si="5"/>
        <v>596.25745045719066</v>
      </c>
      <c r="F23" s="47">
        <f t="shared" si="4"/>
        <v>82802.037828511107</v>
      </c>
    </row>
    <row r="24" spans="2:6" x14ac:dyDescent="0.3">
      <c r="B24" s="9">
        <v>7</v>
      </c>
      <c r="C24" s="61">
        <f t="shared" si="1"/>
        <v>874.25176805375168</v>
      </c>
      <c r="D24" s="47">
        <f t="shared" si="3"/>
        <v>276.00679276170371</v>
      </c>
      <c r="E24" s="61">
        <f t="shared" si="5"/>
        <v>598.24497529204791</v>
      </c>
      <c r="F24" s="47">
        <f t="shared" si="4"/>
        <v>82203.792853219056</v>
      </c>
    </row>
    <row r="25" spans="2:6" x14ac:dyDescent="0.3">
      <c r="B25" s="9">
        <v>8</v>
      </c>
      <c r="C25" s="61">
        <f t="shared" si="1"/>
        <v>874.25176805375168</v>
      </c>
      <c r="D25" s="47">
        <f t="shared" si="3"/>
        <v>274.01264284406352</v>
      </c>
      <c r="E25" s="61">
        <f t="shared" si="5"/>
        <v>600.23912520968815</v>
      </c>
      <c r="F25" s="47">
        <f t="shared" si="4"/>
        <v>81603.55372800937</v>
      </c>
    </row>
    <row r="26" spans="2:6" x14ac:dyDescent="0.3">
      <c r="B26" s="9">
        <v>9</v>
      </c>
      <c r="C26" s="61">
        <f t="shared" si="1"/>
        <v>874.25176805375168</v>
      </c>
      <c r="D26" s="47">
        <f t="shared" si="3"/>
        <v>272.01184576003124</v>
      </c>
      <c r="E26" s="61">
        <f t="shared" si="5"/>
        <v>602.23992229372038</v>
      </c>
      <c r="F26" s="47">
        <f t="shared" si="4"/>
        <v>81001.313805715647</v>
      </c>
    </row>
    <row r="27" spans="2:6" x14ac:dyDescent="0.3">
      <c r="B27" s="9">
        <v>10</v>
      </c>
      <c r="C27" s="61">
        <f t="shared" si="1"/>
        <v>874.25176805375168</v>
      </c>
      <c r="D27" s="47">
        <f t="shared" si="3"/>
        <v>270.00437935238551</v>
      </c>
      <c r="E27" s="61">
        <f t="shared" si="5"/>
        <v>604.24738870136616</v>
      </c>
      <c r="F27" s="47">
        <f t="shared" si="4"/>
        <v>80397.066417014285</v>
      </c>
    </row>
    <row r="28" spans="2:6" x14ac:dyDescent="0.3">
      <c r="B28" s="9">
        <v>11</v>
      </c>
      <c r="C28" s="61">
        <f t="shared" si="1"/>
        <v>874.25176805375168</v>
      </c>
      <c r="D28" s="47">
        <f t="shared" si="3"/>
        <v>267.99022139004762</v>
      </c>
      <c r="E28" s="61">
        <f t="shared" si="5"/>
        <v>606.26154666370405</v>
      </c>
      <c r="F28" s="47">
        <f t="shared" si="4"/>
        <v>79790.804870350577</v>
      </c>
    </row>
    <row r="29" spans="2:6" x14ac:dyDescent="0.3">
      <c r="B29" s="9">
        <v>12</v>
      </c>
      <c r="C29" s="61">
        <f t="shared" si="1"/>
        <v>874.25176805375168</v>
      </c>
      <c r="D29" s="47">
        <f t="shared" si="3"/>
        <v>265.96934956783525</v>
      </c>
      <c r="E29" s="61">
        <f t="shared" si="5"/>
        <v>608.28241848591642</v>
      </c>
      <c r="F29" s="47">
        <f t="shared" si="4"/>
        <v>79182.522451864657</v>
      </c>
    </row>
    <row r="30" spans="2:6" x14ac:dyDescent="0.3">
      <c r="B30" s="9">
        <v>13</v>
      </c>
      <c r="C30" s="61">
        <f t="shared" si="1"/>
        <v>874.25176805375168</v>
      </c>
      <c r="D30" s="47">
        <f t="shared" si="3"/>
        <v>263.94174150621552</v>
      </c>
      <c r="E30" s="61">
        <f t="shared" si="5"/>
        <v>610.31002654753615</v>
      </c>
      <c r="F30" s="47">
        <f t="shared" si="4"/>
        <v>78572.212425317121</v>
      </c>
    </row>
    <row r="31" spans="2:6" x14ac:dyDescent="0.3">
      <c r="B31" s="9">
        <v>14</v>
      </c>
      <c r="C31" s="61">
        <f t="shared" si="1"/>
        <v>874.25176805375168</v>
      </c>
      <c r="D31" s="47">
        <f t="shared" si="3"/>
        <v>261.90737475105709</v>
      </c>
      <c r="E31" s="61">
        <f t="shared" si="5"/>
        <v>612.34439330269458</v>
      </c>
      <c r="F31" s="47">
        <f t="shared" si="4"/>
        <v>77959.868032014419</v>
      </c>
    </row>
    <row r="32" spans="2:6" x14ac:dyDescent="0.3">
      <c r="B32" s="9">
        <v>15</v>
      </c>
      <c r="C32" s="61">
        <f t="shared" si="1"/>
        <v>874.25176805375168</v>
      </c>
      <c r="D32" s="47">
        <f t="shared" si="3"/>
        <v>259.86622677338141</v>
      </c>
      <c r="E32" s="61">
        <f t="shared" si="5"/>
        <v>614.38554128037026</v>
      </c>
      <c r="F32" s="47">
        <f t="shared" si="4"/>
        <v>77345.482490734052</v>
      </c>
    </row>
    <row r="33" spans="2:6" x14ac:dyDescent="0.3">
      <c r="B33" s="9">
        <v>16</v>
      </c>
      <c r="C33" s="61">
        <f t="shared" si="1"/>
        <v>874.25176805375168</v>
      </c>
      <c r="D33" s="47">
        <f t="shared" si="3"/>
        <v>257.81827496911353</v>
      </c>
      <c r="E33" s="61">
        <f t="shared" si="5"/>
        <v>616.43349308463814</v>
      </c>
      <c r="F33" s="47">
        <f t="shared" si="4"/>
        <v>76729.048997649414</v>
      </c>
    </row>
    <row r="34" spans="2:6" x14ac:dyDescent="0.3">
      <c r="B34" s="9">
        <v>17</v>
      </c>
      <c r="C34" s="61">
        <f t="shared" si="1"/>
        <v>874.25176805375168</v>
      </c>
      <c r="D34" s="47">
        <f t="shared" ref="D34:D51" si="6">F33*$D$12</f>
        <v>255.7634966588314</v>
      </c>
      <c r="E34" s="61">
        <f t="shared" si="5"/>
        <v>618.48827139492028</v>
      </c>
      <c r="F34" s="47">
        <f t="shared" ref="F34:F51" si="7">IF(B34="","",F33-E34)</f>
        <v>76110.560726254495</v>
      </c>
    </row>
    <row r="35" spans="2:6" x14ac:dyDescent="0.3">
      <c r="B35" s="9">
        <v>18</v>
      </c>
      <c r="C35" s="61">
        <f t="shared" si="1"/>
        <v>874.25176805375168</v>
      </c>
      <c r="D35" s="47">
        <f t="shared" si="6"/>
        <v>253.70186908751501</v>
      </c>
      <c r="E35" s="61">
        <f t="shared" ref="E35:E51" si="8">C35-D35</f>
        <v>620.5498989662367</v>
      </c>
      <c r="F35" s="47">
        <f t="shared" si="7"/>
        <v>75490.010827288264</v>
      </c>
    </row>
    <row r="36" spans="2:6" x14ac:dyDescent="0.3">
      <c r="B36" s="9">
        <v>19</v>
      </c>
      <c r="C36" s="61">
        <f>$D$5</f>
        <v>874.25176805375168</v>
      </c>
      <c r="D36" s="47">
        <f t="shared" si="6"/>
        <v>251.63336942429424</v>
      </c>
      <c r="E36" s="61">
        <f t="shared" si="8"/>
        <v>622.61839862945749</v>
      </c>
      <c r="F36" s="47">
        <f t="shared" si="7"/>
        <v>74867.392428658801</v>
      </c>
    </row>
    <row r="37" spans="2:6" x14ac:dyDescent="0.3">
      <c r="B37" s="9">
        <v>20</v>
      </c>
      <c r="C37" s="61">
        <f t="shared" si="1"/>
        <v>874.25176805375168</v>
      </c>
      <c r="D37" s="47">
        <f t="shared" si="6"/>
        <v>249.55797476219601</v>
      </c>
      <c r="E37" s="61">
        <f t="shared" si="8"/>
        <v>624.69379329155572</v>
      </c>
      <c r="F37" s="47">
        <f t="shared" si="7"/>
        <v>74242.69863536724</v>
      </c>
    </row>
    <row r="38" spans="2:6" x14ac:dyDescent="0.3">
      <c r="B38" s="9">
        <v>21</v>
      </c>
      <c r="C38" s="61">
        <f t="shared" si="1"/>
        <v>874.25176805375168</v>
      </c>
      <c r="D38" s="47">
        <f t="shared" si="6"/>
        <v>247.47566211789081</v>
      </c>
      <c r="E38" s="61">
        <f t="shared" si="8"/>
        <v>626.77610593586087</v>
      </c>
      <c r="F38" s="47">
        <f t="shared" si="7"/>
        <v>73615.92252943138</v>
      </c>
    </row>
    <row r="39" spans="2:6" x14ac:dyDescent="0.3">
      <c r="B39" s="9">
        <v>22</v>
      </c>
      <c r="C39" s="61">
        <f t="shared" si="1"/>
        <v>874.25176805375168</v>
      </c>
      <c r="D39" s="47">
        <f t="shared" si="6"/>
        <v>245.38640843143796</v>
      </c>
      <c r="E39" s="61">
        <f t="shared" si="8"/>
        <v>628.86535962231369</v>
      </c>
      <c r="F39" s="47">
        <f t="shared" si="7"/>
        <v>72987.057169809064</v>
      </c>
    </row>
    <row r="40" spans="2:6" x14ac:dyDescent="0.3">
      <c r="B40" s="9">
        <v>23</v>
      </c>
      <c r="C40" s="61">
        <f t="shared" si="1"/>
        <v>874.25176805375168</v>
      </c>
      <c r="D40" s="47">
        <f t="shared" si="6"/>
        <v>243.29019056603022</v>
      </c>
      <c r="E40" s="61">
        <f t="shared" si="8"/>
        <v>630.96157748772146</v>
      </c>
      <c r="F40" s="47">
        <f t="shared" si="7"/>
        <v>72356.095592321348</v>
      </c>
    </row>
    <row r="41" spans="2:6" x14ac:dyDescent="0.3">
      <c r="B41" s="9">
        <v>24</v>
      </c>
      <c r="C41" s="61">
        <f t="shared" si="1"/>
        <v>874.25176805375168</v>
      </c>
      <c r="D41" s="47">
        <f t="shared" si="6"/>
        <v>241.18698530773784</v>
      </c>
      <c r="E41" s="61">
        <f t="shared" si="8"/>
        <v>633.06478274601386</v>
      </c>
      <c r="F41" s="47">
        <f t="shared" si="7"/>
        <v>71723.030809575328</v>
      </c>
    </row>
    <row r="42" spans="2:6" x14ac:dyDescent="0.3">
      <c r="B42" s="9">
        <v>25</v>
      </c>
      <c r="C42" s="61">
        <f t="shared" si="1"/>
        <v>874.25176805375168</v>
      </c>
      <c r="D42" s="47">
        <f t="shared" si="6"/>
        <v>239.0767693652511</v>
      </c>
      <c r="E42" s="61">
        <f t="shared" si="8"/>
        <v>635.17499868850064</v>
      </c>
      <c r="F42" s="47">
        <f t="shared" si="7"/>
        <v>71087.855810886831</v>
      </c>
    </row>
    <row r="43" spans="2:6" x14ac:dyDescent="0.3">
      <c r="B43" s="9">
        <v>26</v>
      </c>
      <c r="C43" s="61">
        <f t="shared" si="1"/>
        <v>874.25176805375168</v>
      </c>
      <c r="D43" s="47">
        <f t="shared" si="6"/>
        <v>236.9595193696228</v>
      </c>
      <c r="E43" s="61">
        <f t="shared" si="8"/>
        <v>637.29224868412894</v>
      </c>
      <c r="F43" s="47">
        <f t="shared" si="7"/>
        <v>70450.563562202704</v>
      </c>
    </row>
    <row r="44" spans="2:6" x14ac:dyDescent="0.3">
      <c r="B44" s="9">
        <v>27</v>
      </c>
      <c r="C44" s="61">
        <f t="shared" si="1"/>
        <v>874.25176805375168</v>
      </c>
      <c r="D44" s="47">
        <f t="shared" si="6"/>
        <v>234.83521187400902</v>
      </c>
      <c r="E44" s="61">
        <f t="shared" si="8"/>
        <v>639.41655617974266</v>
      </c>
      <c r="F44" s="47">
        <f t="shared" si="7"/>
        <v>69811.147006022962</v>
      </c>
    </row>
    <row r="45" spans="2:6" x14ac:dyDescent="0.3">
      <c r="B45" s="9">
        <v>28</v>
      </c>
      <c r="C45" s="61">
        <f t="shared" si="1"/>
        <v>874.25176805375168</v>
      </c>
      <c r="D45" s="47">
        <f t="shared" si="6"/>
        <v>232.70382335340989</v>
      </c>
      <c r="E45" s="61">
        <f t="shared" si="8"/>
        <v>641.54794470034176</v>
      </c>
      <c r="F45" s="47">
        <f t="shared" si="7"/>
        <v>69169.599061322617</v>
      </c>
    </row>
    <row r="46" spans="2:6" x14ac:dyDescent="0.3">
      <c r="B46" s="9">
        <v>29</v>
      </c>
      <c r="C46" s="61">
        <f t="shared" si="1"/>
        <v>874.25176805375168</v>
      </c>
      <c r="D46" s="47">
        <f t="shared" si="6"/>
        <v>230.56533020440872</v>
      </c>
      <c r="E46" s="61">
        <f t="shared" si="8"/>
        <v>643.68643784934295</v>
      </c>
      <c r="F46" s="47">
        <f t="shared" si="7"/>
        <v>68525.912623473268</v>
      </c>
    </row>
    <row r="47" spans="2:6" x14ac:dyDescent="0.3">
      <c r="B47" s="9">
        <v>30</v>
      </c>
      <c r="C47" s="61">
        <f t="shared" si="1"/>
        <v>874.25176805375168</v>
      </c>
      <c r="D47" s="47">
        <f t="shared" si="6"/>
        <v>228.41970874491091</v>
      </c>
      <c r="E47" s="61">
        <f t="shared" si="8"/>
        <v>645.83205930884083</v>
      </c>
      <c r="F47" s="47">
        <f t="shared" si="7"/>
        <v>67880.080564164426</v>
      </c>
    </row>
    <row r="48" spans="2:6" x14ac:dyDescent="0.3">
      <c r="B48" s="9">
        <v>31</v>
      </c>
      <c r="C48" s="61">
        <f t="shared" si="1"/>
        <v>874.25176805375168</v>
      </c>
      <c r="D48" s="47">
        <f t="shared" si="6"/>
        <v>226.26693521388142</v>
      </c>
      <c r="E48" s="61">
        <f t="shared" si="8"/>
        <v>647.98483283987025</v>
      </c>
      <c r="F48" s="47">
        <f t="shared" si="7"/>
        <v>67232.09573132456</v>
      </c>
    </row>
    <row r="49" spans="2:6" x14ac:dyDescent="0.3">
      <c r="B49" s="9">
        <v>32</v>
      </c>
      <c r="C49" s="61">
        <f t="shared" si="1"/>
        <v>874.25176805375168</v>
      </c>
      <c r="D49" s="47">
        <f t="shared" si="6"/>
        <v>224.10698577108187</v>
      </c>
      <c r="E49" s="61">
        <f t="shared" si="8"/>
        <v>650.14478228266978</v>
      </c>
      <c r="F49" s="47">
        <f t="shared" si="7"/>
        <v>66581.950949041886</v>
      </c>
    </row>
    <row r="50" spans="2:6" x14ac:dyDescent="0.3">
      <c r="B50" s="9">
        <v>33</v>
      </c>
      <c r="C50" s="61">
        <f t="shared" si="1"/>
        <v>874.25176805375168</v>
      </c>
      <c r="D50" s="47">
        <f t="shared" si="6"/>
        <v>221.93983649680629</v>
      </c>
      <c r="E50" s="61">
        <f t="shared" si="8"/>
        <v>652.31193155694541</v>
      </c>
      <c r="F50" s="47">
        <f t="shared" si="7"/>
        <v>65929.639017484937</v>
      </c>
    </row>
    <row r="51" spans="2:6" x14ac:dyDescent="0.3">
      <c r="B51" s="9">
        <v>34</v>
      </c>
      <c r="C51" s="61">
        <f t="shared" si="1"/>
        <v>874.25176805375168</v>
      </c>
      <c r="D51" s="47">
        <f t="shared" si="6"/>
        <v>219.76546339161646</v>
      </c>
      <c r="E51" s="61">
        <f t="shared" si="8"/>
        <v>654.48630466213524</v>
      </c>
      <c r="F51" s="47">
        <f t="shared" si="7"/>
        <v>65275.152712822804</v>
      </c>
    </row>
    <row r="52" spans="2:6" x14ac:dyDescent="0.3">
      <c r="B52" s="9">
        <v>35</v>
      </c>
      <c r="C52" s="61">
        <f t="shared" si="1"/>
        <v>874.25176805375168</v>
      </c>
      <c r="D52" s="47">
        <f>F51*$D$12</f>
        <v>217.58384237607603</v>
      </c>
      <c r="E52" s="61">
        <f>C52-D52</f>
        <v>656.66792567767561</v>
      </c>
      <c r="F52" s="47">
        <f>IF(B52="","",F51-E52)</f>
        <v>64618.484787145127</v>
      </c>
    </row>
    <row r="53" spans="2:6" x14ac:dyDescent="0.3">
      <c r="B53" s="9">
        <v>36</v>
      </c>
      <c r="C53" s="61">
        <f t="shared" si="1"/>
        <v>874.25176805375168</v>
      </c>
      <c r="D53" s="47">
        <f>F52*$D$12</f>
        <v>215.39494929048377</v>
      </c>
      <c r="E53" s="61">
        <f t="shared" ref="E53:E72" si="9">C53-D53</f>
        <v>658.85681876326794</v>
      </c>
      <c r="F53" s="47">
        <f>IF(B53="","",F52-E53)</f>
        <v>63959.627968381857</v>
      </c>
    </row>
    <row r="54" spans="2:6" x14ac:dyDescent="0.3">
      <c r="B54" s="9">
        <v>37</v>
      </c>
      <c r="C54" s="61">
        <f>$D$5</f>
        <v>874.25176805375168</v>
      </c>
      <c r="D54" s="47">
        <f>F53*$D$12</f>
        <v>213.19875989460621</v>
      </c>
      <c r="E54" s="61">
        <f t="shared" si="9"/>
        <v>661.05300815914552</v>
      </c>
      <c r="F54" s="47">
        <f>IF(B54="","",F53-E54)</f>
        <v>63298.574960222715</v>
      </c>
    </row>
    <row r="55" spans="2:6" x14ac:dyDescent="0.3">
      <c r="B55" s="9">
        <v>38</v>
      </c>
      <c r="C55" s="61">
        <f t="shared" si="1"/>
        <v>874.25176805375168</v>
      </c>
      <c r="D55" s="47">
        <f t="shared" ref="D55:D72" si="10">F54*$D$12</f>
        <v>210.99524986740906</v>
      </c>
      <c r="E55" s="61">
        <f t="shared" si="9"/>
        <v>663.25651818634265</v>
      </c>
      <c r="F55" s="47">
        <f t="shared" ref="F55:F72" si="11">IF(B55="","",F54-E55)</f>
        <v>62635.318442036376</v>
      </c>
    </row>
    <row r="56" spans="2:6" x14ac:dyDescent="0.3">
      <c r="B56" s="9">
        <v>39</v>
      </c>
      <c r="C56" s="61">
        <f t="shared" si="1"/>
        <v>874.25176805375168</v>
      </c>
      <c r="D56" s="47">
        <f t="shared" si="10"/>
        <v>208.78439480678793</v>
      </c>
      <c r="E56" s="61">
        <f t="shared" si="9"/>
        <v>665.46737324696369</v>
      </c>
      <c r="F56" s="47">
        <f t="shared" si="11"/>
        <v>61969.851068789416</v>
      </c>
    </row>
    <row r="57" spans="2:6" x14ac:dyDescent="0.3">
      <c r="B57" s="9">
        <v>40</v>
      </c>
      <c r="C57" s="61">
        <f t="shared" si="1"/>
        <v>874.25176805375168</v>
      </c>
      <c r="D57" s="47">
        <f t="shared" si="10"/>
        <v>206.56617022929805</v>
      </c>
      <c r="E57" s="61">
        <f t="shared" si="9"/>
        <v>667.68559782445368</v>
      </c>
      <c r="F57" s="47">
        <f t="shared" si="11"/>
        <v>61302.165470964959</v>
      </c>
    </row>
    <row r="58" spans="2:6" x14ac:dyDescent="0.3">
      <c r="B58" s="9">
        <v>41</v>
      </c>
      <c r="C58" s="61">
        <f t="shared" si="1"/>
        <v>874.25176805375168</v>
      </c>
      <c r="D58" s="47">
        <f t="shared" si="10"/>
        <v>204.34055156988322</v>
      </c>
      <c r="E58" s="61">
        <f t="shared" si="9"/>
        <v>669.91121648386843</v>
      </c>
      <c r="F58" s="47">
        <f t="shared" si="11"/>
        <v>60632.254254481093</v>
      </c>
    </row>
    <row r="59" spans="2:6" x14ac:dyDescent="0.3">
      <c r="B59" s="9">
        <v>42</v>
      </c>
      <c r="C59" s="61">
        <f t="shared" si="1"/>
        <v>874.25176805375168</v>
      </c>
      <c r="D59" s="47">
        <f t="shared" si="10"/>
        <v>202.10751418160365</v>
      </c>
      <c r="E59" s="61">
        <f t="shared" si="9"/>
        <v>672.14425387214806</v>
      </c>
      <c r="F59" s="47">
        <f t="shared" si="11"/>
        <v>59960.110000608947</v>
      </c>
    </row>
    <row r="60" spans="2:6" x14ac:dyDescent="0.3">
      <c r="B60" s="9">
        <v>43</v>
      </c>
      <c r="C60" s="61">
        <f t="shared" si="1"/>
        <v>874.25176805375168</v>
      </c>
      <c r="D60" s="47">
        <f t="shared" si="10"/>
        <v>199.86703333536317</v>
      </c>
      <c r="E60" s="61">
        <f t="shared" si="9"/>
        <v>674.38473471838847</v>
      </c>
      <c r="F60" s="47">
        <f t="shared" si="11"/>
        <v>59285.725265890556</v>
      </c>
    </row>
    <row r="61" spans="2:6" x14ac:dyDescent="0.3">
      <c r="B61" s="9">
        <v>44</v>
      </c>
      <c r="C61" s="61">
        <f t="shared" si="1"/>
        <v>874.25176805375168</v>
      </c>
      <c r="D61" s="47">
        <f t="shared" si="10"/>
        <v>197.6190842196352</v>
      </c>
      <c r="E61" s="61">
        <f t="shared" si="9"/>
        <v>676.63268383411651</v>
      </c>
      <c r="F61" s="47">
        <f t="shared" si="11"/>
        <v>58609.092582056437</v>
      </c>
    </row>
    <row r="62" spans="2:6" x14ac:dyDescent="0.3">
      <c r="B62" s="9">
        <v>45</v>
      </c>
      <c r="C62" s="61">
        <f t="shared" si="1"/>
        <v>874.25176805375168</v>
      </c>
      <c r="D62" s="47">
        <f t="shared" si="10"/>
        <v>195.36364194018813</v>
      </c>
      <c r="E62" s="61">
        <f t="shared" si="9"/>
        <v>678.88812611356354</v>
      </c>
      <c r="F62" s="47">
        <f t="shared" si="11"/>
        <v>57930.204455942876</v>
      </c>
    </row>
    <row r="63" spans="2:6" x14ac:dyDescent="0.3">
      <c r="B63" s="9">
        <v>46</v>
      </c>
      <c r="C63" s="61">
        <f t="shared" si="1"/>
        <v>874.25176805375168</v>
      </c>
      <c r="D63" s="47">
        <f t="shared" si="10"/>
        <v>193.1006815198096</v>
      </c>
      <c r="E63" s="61">
        <f t="shared" si="9"/>
        <v>681.15108653394213</v>
      </c>
      <c r="F63" s="47">
        <f t="shared" si="11"/>
        <v>57249.053369408932</v>
      </c>
    </row>
    <row r="64" spans="2:6" x14ac:dyDescent="0.3">
      <c r="B64" s="9">
        <v>47</v>
      </c>
      <c r="C64" s="61">
        <f t="shared" si="1"/>
        <v>874.25176805375168</v>
      </c>
      <c r="D64" s="47">
        <f t="shared" si="10"/>
        <v>190.83017789802977</v>
      </c>
      <c r="E64" s="61">
        <f t="shared" si="9"/>
        <v>683.4215901557219</v>
      </c>
      <c r="F64" s="47">
        <f t="shared" si="11"/>
        <v>56565.631779253206</v>
      </c>
    </row>
    <row r="65" spans="2:6" x14ac:dyDescent="0.3">
      <c r="B65" s="9">
        <v>48</v>
      </c>
      <c r="C65" s="61">
        <f t="shared" si="1"/>
        <v>874.25176805375168</v>
      </c>
      <c r="D65" s="47">
        <f t="shared" si="10"/>
        <v>188.55210593084402</v>
      </c>
      <c r="E65" s="61">
        <f t="shared" si="9"/>
        <v>685.69966212290763</v>
      </c>
      <c r="F65" s="47">
        <f t="shared" si="11"/>
        <v>55879.932117130302</v>
      </c>
    </row>
    <row r="66" spans="2:6" x14ac:dyDescent="0.3">
      <c r="B66" s="9">
        <v>49</v>
      </c>
      <c r="C66" s="61">
        <f t="shared" si="1"/>
        <v>874.25176805375168</v>
      </c>
      <c r="D66" s="47">
        <f t="shared" si="10"/>
        <v>186.26644039043435</v>
      </c>
      <c r="E66" s="61">
        <f t="shared" si="9"/>
        <v>687.98532766331732</v>
      </c>
      <c r="F66" s="47">
        <f t="shared" si="11"/>
        <v>55191.946789466987</v>
      </c>
    </row>
    <row r="67" spans="2:6" x14ac:dyDescent="0.3">
      <c r="B67" s="9">
        <v>50</v>
      </c>
      <c r="C67" s="61">
        <f t="shared" si="1"/>
        <v>874.25176805375168</v>
      </c>
      <c r="D67" s="47">
        <f t="shared" si="10"/>
        <v>183.97315596488997</v>
      </c>
      <c r="E67" s="61">
        <f t="shared" si="9"/>
        <v>690.27861208886168</v>
      </c>
      <c r="F67" s="47">
        <f t="shared" si="11"/>
        <v>54501.668177378124</v>
      </c>
    </row>
    <row r="68" spans="2:6" x14ac:dyDescent="0.3">
      <c r="B68" s="9">
        <v>51</v>
      </c>
      <c r="C68" s="61">
        <f t="shared" si="1"/>
        <v>874.25176805375168</v>
      </c>
      <c r="D68" s="47">
        <f t="shared" si="10"/>
        <v>181.67222725792709</v>
      </c>
      <c r="E68" s="61">
        <f t="shared" si="9"/>
        <v>692.57954079582464</v>
      </c>
      <c r="F68" s="47">
        <f t="shared" si="11"/>
        <v>53809.088636582303</v>
      </c>
    </row>
    <row r="69" spans="2:6" x14ac:dyDescent="0.3">
      <c r="B69" s="9">
        <v>52</v>
      </c>
      <c r="C69" s="61">
        <f t="shared" si="1"/>
        <v>874.25176805375168</v>
      </c>
      <c r="D69" s="47">
        <f t="shared" si="10"/>
        <v>179.36362878860768</v>
      </c>
      <c r="E69" s="61">
        <f t="shared" si="9"/>
        <v>694.88813926514399</v>
      </c>
      <c r="F69" s="47">
        <f t="shared" si="11"/>
        <v>53114.200497317157</v>
      </c>
    </row>
    <row r="70" spans="2:6" x14ac:dyDescent="0.3">
      <c r="B70" s="9">
        <v>53</v>
      </c>
      <c r="C70" s="61">
        <f t="shared" si="1"/>
        <v>874.25176805375168</v>
      </c>
      <c r="D70" s="47">
        <f t="shared" si="10"/>
        <v>177.0473349910572</v>
      </c>
      <c r="E70" s="61">
        <f t="shared" si="9"/>
        <v>697.20443306269453</v>
      </c>
      <c r="F70" s="47">
        <f t="shared" si="11"/>
        <v>52416.996064254461</v>
      </c>
    </row>
    <row r="71" spans="2:6" x14ac:dyDescent="0.3">
      <c r="B71" s="9">
        <v>54</v>
      </c>
      <c r="C71" s="61">
        <f t="shared" si="1"/>
        <v>874.25176805375168</v>
      </c>
      <c r="D71" s="47">
        <f t="shared" si="10"/>
        <v>174.72332021418154</v>
      </c>
      <c r="E71" s="61">
        <f t="shared" si="9"/>
        <v>699.52844783957016</v>
      </c>
      <c r="F71" s="47">
        <f t="shared" si="11"/>
        <v>51717.467616414891</v>
      </c>
    </row>
    <row r="72" spans="2:6" x14ac:dyDescent="0.3">
      <c r="B72" s="9">
        <v>55</v>
      </c>
      <c r="C72" s="61">
        <f>$D$5</f>
        <v>874.25176805375168</v>
      </c>
      <c r="D72" s="47">
        <f t="shared" si="10"/>
        <v>172.39155872138298</v>
      </c>
      <c r="E72" s="61">
        <f t="shared" si="9"/>
        <v>701.86020933236864</v>
      </c>
      <c r="F72" s="47">
        <f t="shared" si="11"/>
        <v>51015.60740708252</v>
      </c>
    </row>
    <row r="73" spans="2:6" x14ac:dyDescent="0.3">
      <c r="B73" s="9">
        <v>56</v>
      </c>
      <c r="C73" s="61">
        <f t="shared" si="1"/>
        <v>874.25176805375168</v>
      </c>
      <c r="D73" s="47">
        <f>F72*$D$12</f>
        <v>170.05202469027509</v>
      </c>
      <c r="E73" s="61">
        <f>C73-D73</f>
        <v>704.19974336347661</v>
      </c>
      <c r="F73" s="47">
        <f>IF(B73="","",F72-E73)</f>
        <v>50311.407663719045</v>
      </c>
    </row>
    <row r="74" spans="2:6" x14ac:dyDescent="0.3">
      <c r="B74" s="9">
        <v>57</v>
      </c>
      <c r="C74" s="61">
        <f t="shared" si="1"/>
        <v>874.25176805375168</v>
      </c>
      <c r="D74" s="47">
        <f>F73*$D$12</f>
        <v>167.70469221239682</v>
      </c>
      <c r="E74" s="61">
        <f t="shared" ref="E74:E99" si="12">C74-D74</f>
        <v>706.54707584135485</v>
      </c>
      <c r="F74" s="47">
        <f>IF(B74="","",F73-E74)</f>
        <v>49604.860587877687</v>
      </c>
    </row>
    <row r="75" spans="2:6" x14ac:dyDescent="0.3">
      <c r="B75" s="9">
        <v>58</v>
      </c>
      <c r="C75" s="61">
        <f t="shared" si="1"/>
        <v>874.25176805375168</v>
      </c>
      <c r="D75" s="47">
        <f>F74*$D$12</f>
        <v>165.34953529292562</v>
      </c>
      <c r="E75" s="61">
        <f t="shared" si="12"/>
        <v>708.90223276082611</v>
      </c>
      <c r="F75" s="47">
        <f>IF(B75="","",F74-E75)</f>
        <v>48895.958355116862</v>
      </c>
    </row>
    <row r="76" spans="2:6" x14ac:dyDescent="0.3">
      <c r="B76" s="9">
        <v>59</v>
      </c>
      <c r="C76" s="61">
        <f t="shared" si="1"/>
        <v>874.25176805375168</v>
      </c>
      <c r="D76" s="47">
        <f t="shared" ref="D76:D99" si="13">F75*$D$12</f>
        <v>162.98652785038954</v>
      </c>
      <c r="E76" s="61">
        <f t="shared" si="12"/>
        <v>711.26524020336217</v>
      </c>
      <c r="F76" s="47">
        <f t="shared" ref="F76:F99" si="14">IF(B76="","",F75-E76)</f>
        <v>48184.693114913498</v>
      </c>
    </row>
    <row r="77" spans="2:6" x14ac:dyDescent="0.3">
      <c r="B77" s="9">
        <v>60</v>
      </c>
      <c r="C77" s="61">
        <f t="shared" si="1"/>
        <v>874.25176805375168</v>
      </c>
      <c r="D77" s="47">
        <f t="shared" si="13"/>
        <v>160.61564371637834</v>
      </c>
      <c r="E77" s="61">
        <f t="shared" si="12"/>
        <v>713.6361243373733</v>
      </c>
      <c r="F77" s="47">
        <f t="shared" si="14"/>
        <v>47471.056990576122</v>
      </c>
    </row>
    <row r="78" spans="2:6" x14ac:dyDescent="0.3">
      <c r="B78" s="9">
        <v>61</v>
      </c>
      <c r="C78" s="61">
        <f t="shared" si="1"/>
        <v>874.25176805375168</v>
      </c>
      <c r="D78" s="47">
        <f t="shared" si="13"/>
        <v>158.23685663525376</v>
      </c>
      <c r="E78" s="61">
        <f t="shared" si="12"/>
        <v>716.01491141849795</v>
      </c>
      <c r="F78" s="47">
        <f t="shared" si="14"/>
        <v>46755.042079157625</v>
      </c>
    </row>
    <row r="79" spans="2:6" x14ac:dyDescent="0.3">
      <c r="B79" s="9">
        <v>62</v>
      </c>
      <c r="C79" s="61">
        <f t="shared" si="1"/>
        <v>874.25176805375168</v>
      </c>
      <c r="D79" s="47">
        <f t="shared" si="13"/>
        <v>155.85014026385875</v>
      </c>
      <c r="E79" s="61">
        <f t="shared" si="12"/>
        <v>718.40162778989293</v>
      </c>
      <c r="F79" s="47">
        <f t="shared" si="14"/>
        <v>46036.640451367733</v>
      </c>
    </row>
    <row r="80" spans="2:6" x14ac:dyDescent="0.3">
      <c r="B80" s="9">
        <v>63</v>
      </c>
      <c r="C80" s="61">
        <f t="shared" si="1"/>
        <v>874.25176805375168</v>
      </c>
      <c r="D80" s="47">
        <f t="shared" si="13"/>
        <v>153.45546817122579</v>
      </c>
      <c r="E80" s="61">
        <f t="shared" si="12"/>
        <v>720.79629988252589</v>
      </c>
      <c r="F80" s="47">
        <f t="shared" si="14"/>
        <v>45315.844151485209</v>
      </c>
    </row>
    <row r="81" spans="2:6" x14ac:dyDescent="0.3">
      <c r="B81" s="9">
        <v>64</v>
      </c>
      <c r="C81" s="61">
        <f t="shared" si="1"/>
        <v>874.25176805375168</v>
      </c>
      <c r="D81" s="47">
        <f t="shared" si="13"/>
        <v>151.05281383828404</v>
      </c>
      <c r="E81" s="61">
        <f t="shared" si="12"/>
        <v>723.19895421546767</v>
      </c>
      <c r="F81" s="47">
        <f t="shared" si="14"/>
        <v>44592.64519726974</v>
      </c>
    </row>
    <row r="82" spans="2:6" x14ac:dyDescent="0.3">
      <c r="B82" s="9">
        <v>65</v>
      </c>
      <c r="C82" s="61">
        <f t="shared" si="1"/>
        <v>874.25176805375168</v>
      </c>
      <c r="D82" s="47">
        <f t="shared" si="13"/>
        <v>148.64215065756582</v>
      </c>
      <c r="E82" s="61">
        <f t="shared" si="12"/>
        <v>725.60961739618585</v>
      </c>
      <c r="F82" s="47">
        <f t="shared" si="14"/>
        <v>43867.035579873555</v>
      </c>
    </row>
    <row r="83" spans="2:6" x14ac:dyDescent="0.3">
      <c r="B83" s="9">
        <v>66</v>
      </c>
      <c r="C83" s="61">
        <f t="shared" ref="C83:C85" si="15">$D$5</f>
        <v>874.25176805375168</v>
      </c>
      <c r="D83" s="47">
        <f t="shared" si="13"/>
        <v>146.22345193291187</v>
      </c>
      <c r="E83" s="61">
        <f t="shared" si="12"/>
        <v>728.0283161208398</v>
      </c>
      <c r="F83" s="47">
        <f t="shared" si="14"/>
        <v>43139.007263752712</v>
      </c>
    </row>
    <row r="84" spans="2:6" x14ac:dyDescent="0.3">
      <c r="B84" s="9">
        <v>67</v>
      </c>
      <c r="C84" s="61">
        <f t="shared" si="15"/>
        <v>874.25176805375168</v>
      </c>
      <c r="D84" s="47">
        <f t="shared" si="13"/>
        <v>143.79669087917571</v>
      </c>
      <c r="E84" s="61">
        <f t="shared" si="12"/>
        <v>730.45507717457599</v>
      </c>
      <c r="F84" s="47">
        <f t="shared" si="14"/>
        <v>42408.552186578134</v>
      </c>
    </row>
    <row r="85" spans="2:6" x14ac:dyDescent="0.3">
      <c r="B85" s="9">
        <v>68</v>
      </c>
      <c r="C85" s="61">
        <f t="shared" si="15"/>
        <v>874.25176805375168</v>
      </c>
      <c r="D85" s="47">
        <f t="shared" si="13"/>
        <v>141.36184062192712</v>
      </c>
      <c r="E85" s="61">
        <f t="shared" si="12"/>
        <v>732.88992743182462</v>
      </c>
      <c r="F85" s="47">
        <f t="shared" si="14"/>
        <v>41675.662259146309</v>
      </c>
    </row>
    <row r="86" spans="2:6" x14ac:dyDescent="0.3">
      <c r="B86" s="9">
        <v>69</v>
      </c>
      <c r="C86" s="61">
        <f>$D$5</f>
        <v>874.25176805375168</v>
      </c>
      <c r="D86" s="47">
        <f t="shared" si="13"/>
        <v>138.91887419715437</v>
      </c>
      <c r="E86" s="61">
        <f t="shared" si="12"/>
        <v>735.33289385659737</v>
      </c>
      <c r="F86" s="47">
        <f t="shared" si="14"/>
        <v>40940.329365289712</v>
      </c>
    </row>
    <row r="87" spans="2:6" x14ac:dyDescent="0.3">
      <c r="B87" s="9">
        <v>70</v>
      </c>
      <c r="C87" s="61">
        <f t="shared" ref="C87:C120" si="16">$D$5</f>
        <v>874.25176805375168</v>
      </c>
      <c r="D87" s="47">
        <f t="shared" si="13"/>
        <v>136.46776455096571</v>
      </c>
      <c r="E87" s="61">
        <f t="shared" si="12"/>
        <v>737.78400350278594</v>
      </c>
      <c r="F87" s="47">
        <f t="shared" si="14"/>
        <v>40202.545361786928</v>
      </c>
    </row>
    <row r="88" spans="2:6" x14ac:dyDescent="0.3">
      <c r="B88" s="9">
        <v>71</v>
      </c>
      <c r="C88" s="61">
        <f t="shared" si="16"/>
        <v>874.25176805375168</v>
      </c>
      <c r="D88" s="47">
        <f t="shared" si="13"/>
        <v>134.00848453928978</v>
      </c>
      <c r="E88" s="61">
        <f t="shared" si="12"/>
        <v>740.24328351446184</v>
      </c>
      <c r="F88" s="47">
        <f t="shared" si="14"/>
        <v>39462.302078272463</v>
      </c>
    </row>
    <row r="89" spans="2:6" x14ac:dyDescent="0.3">
      <c r="B89" s="9">
        <v>72</v>
      </c>
      <c r="C89" s="61">
        <f t="shared" si="16"/>
        <v>874.25176805375168</v>
      </c>
      <c r="D89" s="47">
        <f t="shared" si="13"/>
        <v>131.5410069275749</v>
      </c>
      <c r="E89" s="61">
        <f t="shared" si="12"/>
        <v>742.71076112617675</v>
      </c>
      <c r="F89" s="47">
        <f t="shared" si="14"/>
        <v>38719.591317146289</v>
      </c>
    </row>
    <row r="90" spans="2:6" x14ac:dyDescent="0.3">
      <c r="B90" s="9">
        <v>73</v>
      </c>
      <c r="C90" s="61">
        <f t="shared" si="16"/>
        <v>874.25176805375168</v>
      </c>
      <c r="D90" s="47">
        <f t="shared" si="13"/>
        <v>129.06530439048763</v>
      </c>
      <c r="E90" s="61">
        <f t="shared" si="12"/>
        <v>745.18646366326402</v>
      </c>
      <c r="F90" s="47">
        <f t="shared" si="14"/>
        <v>37974.404853483022</v>
      </c>
    </row>
    <row r="91" spans="2:6" x14ac:dyDescent="0.3">
      <c r="B91" s="9">
        <v>74</v>
      </c>
      <c r="C91" s="61">
        <f t="shared" si="16"/>
        <v>874.25176805375168</v>
      </c>
      <c r="D91" s="47">
        <f t="shared" si="13"/>
        <v>126.58134951161009</v>
      </c>
      <c r="E91" s="61">
        <f t="shared" si="12"/>
        <v>747.67041854214153</v>
      </c>
      <c r="F91" s="47">
        <f t="shared" si="14"/>
        <v>37226.734434940881</v>
      </c>
    </row>
    <row r="92" spans="2:6" x14ac:dyDescent="0.3">
      <c r="B92" s="9">
        <v>75</v>
      </c>
      <c r="C92" s="61">
        <f t="shared" si="16"/>
        <v>874.25176805375168</v>
      </c>
      <c r="D92" s="47">
        <f t="shared" si="13"/>
        <v>124.08911478313628</v>
      </c>
      <c r="E92" s="61">
        <f t="shared" si="12"/>
        <v>750.16265327061535</v>
      </c>
      <c r="F92" s="47">
        <f t="shared" si="14"/>
        <v>36476.571781670267</v>
      </c>
    </row>
    <row r="93" spans="2:6" x14ac:dyDescent="0.3">
      <c r="B93" s="9">
        <v>76</v>
      </c>
      <c r="C93" s="61">
        <f t="shared" si="16"/>
        <v>874.25176805375168</v>
      </c>
      <c r="D93" s="47">
        <f t="shared" si="13"/>
        <v>121.58857260556756</v>
      </c>
      <c r="E93" s="61">
        <f t="shared" si="12"/>
        <v>752.66319544818407</v>
      </c>
      <c r="F93" s="47">
        <f t="shared" si="14"/>
        <v>35723.908586222082</v>
      </c>
    </row>
    <row r="94" spans="2:6" x14ac:dyDescent="0.3">
      <c r="B94" s="9">
        <v>77</v>
      </c>
      <c r="C94" s="61">
        <f t="shared" si="16"/>
        <v>874.25176805375168</v>
      </c>
      <c r="D94" s="47">
        <f t="shared" si="13"/>
        <v>119.07969528740695</v>
      </c>
      <c r="E94" s="61">
        <f t="shared" si="12"/>
        <v>755.17207276634474</v>
      </c>
      <c r="F94" s="47">
        <f t="shared" si="14"/>
        <v>34968.73651345574</v>
      </c>
    </row>
    <row r="95" spans="2:6" x14ac:dyDescent="0.3">
      <c r="B95" s="9">
        <v>78</v>
      </c>
      <c r="C95" s="61">
        <f t="shared" si="16"/>
        <v>874.25176805375168</v>
      </c>
      <c r="D95" s="47">
        <f t="shared" si="13"/>
        <v>116.56245504485247</v>
      </c>
      <c r="E95" s="61">
        <f t="shared" si="12"/>
        <v>757.68931300889926</v>
      </c>
      <c r="F95" s="47">
        <f t="shared" si="14"/>
        <v>34211.047200446839</v>
      </c>
    </row>
    <row r="96" spans="2:6" x14ac:dyDescent="0.3">
      <c r="B96" s="9">
        <v>79</v>
      </c>
      <c r="C96" s="61">
        <f t="shared" si="16"/>
        <v>874.25176805375168</v>
      </c>
      <c r="D96" s="47">
        <f t="shared" si="13"/>
        <v>114.03682400148948</v>
      </c>
      <c r="E96" s="61">
        <f t="shared" si="12"/>
        <v>760.21494405226224</v>
      </c>
      <c r="F96" s="47">
        <f t="shared" si="14"/>
        <v>33450.832256394577</v>
      </c>
    </row>
    <row r="97" spans="2:6" x14ac:dyDescent="0.3">
      <c r="B97" s="9">
        <v>80</v>
      </c>
      <c r="C97" s="61">
        <f t="shared" si="16"/>
        <v>874.25176805375168</v>
      </c>
      <c r="D97" s="47">
        <f t="shared" si="13"/>
        <v>111.50277418798193</v>
      </c>
      <c r="E97" s="61">
        <f t="shared" si="12"/>
        <v>762.74899386576976</v>
      </c>
      <c r="F97" s="47">
        <f t="shared" si="14"/>
        <v>32688.083262528806</v>
      </c>
    </row>
    <row r="98" spans="2:6" x14ac:dyDescent="0.3">
      <c r="B98" s="9">
        <v>81</v>
      </c>
      <c r="C98" s="61">
        <f t="shared" si="16"/>
        <v>874.25176805375168</v>
      </c>
      <c r="D98" s="47">
        <f t="shared" si="13"/>
        <v>108.96027754176269</v>
      </c>
      <c r="E98" s="61">
        <f t="shared" si="12"/>
        <v>765.29149051198897</v>
      </c>
      <c r="F98" s="47">
        <f t="shared" si="14"/>
        <v>31922.791772016815</v>
      </c>
    </row>
    <row r="99" spans="2:6" x14ac:dyDescent="0.3">
      <c r="B99" s="9">
        <v>82</v>
      </c>
      <c r="C99" s="61">
        <f t="shared" si="16"/>
        <v>874.25176805375168</v>
      </c>
      <c r="D99" s="47">
        <f t="shared" si="13"/>
        <v>106.40930590672272</v>
      </c>
      <c r="E99" s="61">
        <f t="shared" si="12"/>
        <v>767.84246214702898</v>
      </c>
      <c r="F99" s="47">
        <f t="shared" si="14"/>
        <v>31154.949309869786</v>
      </c>
    </row>
    <row r="100" spans="2:6" x14ac:dyDescent="0.3">
      <c r="B100" s="9">
        <v>83</v>
      </c>
      <c r="C100" s="61">
        <f t="shared" si="16"/>
        <v>874.25176805375168</v>
      </c>
      <c r="D100" s="47">
        <f>F99*$D$12</f>
        <v>103.84983103289929</v>
      </c>
      <c r="E100" s="61">
        <f>C100-D100</f>
        <v>770.40193702085242</v>
      </c>
      <c r="F100" s="47">
        <f>IF(B100="","",F99-E100)</f>
        <v>30384.547372848934</v>
      </c>
    </row>
    <row r="101" spans="2:6" x14ac:dyDescent="0.3">
      <c r="B101" s="9">
        <v>84</v>
      </c>
      <c r="C101" s="61">
        <f t="shared" si="16"/>
        <v>874.25176805375168</v>
      </c>
      <c r="D101" s="47">
        <f>F100*$D$12</f>
        <v>101.28182457616312</v>
      </c>
      <c r="E101" s="61">
        <f t="shared" ref="E101:E123" si="17">C101-D101</f>
        <v>772.96994347758857</v>
      </c>
      <c r="F101" s="47">
        <f>IF(B101="","",F100-E101)</f>
        <v>29611.577429371344</v>
      </c>
    </row>
    <row r="102" spans="2:6" x14ac:dyDescent="0.3">
      <c r="B102" s="9">
        <v>85</v>
      </c>
      <c r="C102" s="61">
        <f t="shared" si="16"/>
        <v>874.25176805375168</v>
      </c>
      <c r="D102" s="47">
        <f>F101*$D$12</f>
        <v>98.70525809790449</v>
      </c>
      <c r="E102" s="61">
        <f t="shared" si="17"/>
        <v>775.54650995584723</v>
      </c>
      <c r="F102" s="47">
        <f>IF(B102="","",F101-E102)</f>
        <v>28836.030919415498</v>
      </c>
    </row>
    <row r="103" spans="2:6" x14ac:dyDescent="0.3">
      <c r="B103" s="9">
        <v>86</v>
      </c>
      <c r="C103" s="61">
        <f t="shared" si="16"/>
        <v>874.25176805375168</v>
      </c>
      <c r="D103" s="47">
        <f t="shared" ref="D103:D123" si="18">F102*$D$12</f>
        <v>96.120103064718336</v>
      </c>
      <c r="E103" s="61">
        <f t="shared" si="17"/>
        <v>778.13166498903331</v>
      </c>
      <c r="F103" s="47">
        <f t="shared" ref="F103:F123" si="19">IF(B103="","",F102-E103)</f>
        <v>28057.899254426466</v>
      </c>
    </row>
    <row r="104" spans="2:6" x14ac:dyDescent="0.3">
      <c r="B104" s="9">
        <v>87</v>
      </c>
      <c r="C104" s="61">
        <f>$D$5</f>
        <v>874.25176805375168</v>
      </c>
      <c r="D104" s="47">
        <f t="shared" si="18"/>
        <v>93.526330848088222</v>
      </c>
      <c r="E104" s="61">
        <f t="shared" si="17"/>
        <v>780.72543720566341</v>
      </c>
      <c r="F104" s="47">
        <f t="shared" si="19"/>
        <v>27277.173817220802</v>
      </c>
    </row>
    <row r="105" spans="2:6" x14ac:dyDescent="0.3">
      <c r="B105" s="9">
        <v>88</v>
      </c>
      <c r="C105" s="61">
        <f t="shared" si="16"/>
        <v>874.25176805375168</v>
      </c>
      <c r="D105" s="47">
        <f t="shared" si="18"/>
        <v>90.923912724069353</v>
      </c>
      <c r="E105" s="61">
        <f t="shared" si="17"/>
        <v>783.32785532968228</v>
      </c>
      <c r="F105" s="47">
        <f t="shared" si="19"/>
        <v>26493.845961891122</v>
      </c>
    </row>
    <row r="106" spans="2:6" x14ac:dyDescent="0.3">
      <c r="B106" s="9">
        <v>89</v>
      </c>
      <c r="C106" s="61">
        <f t="shared" si="16"/>
        <v>874.25176805375168</v>
      </c>
      <c r="D106" s="47">
        <f t="shared" si="18"/>
        <v>88.312819872970408</v>
      </c>
      <c r="E106" s="61">
        <f t="shared" si="17"/>
        <v>785.93894818078127</v>
      </c>
      <c r="F106" s="47">
        <f t="shared" si="19"/>
        <v>25707.907013710341</v>
      </c>
    </row>
    <row r="107" spans="2:6" x14ac:dyDescent="0.3">
      <c r="B107" s="9">
        <v>90</v>
      </c>
      <c r="C107" s="61">
        <f t="shared" si="16"/>
        <v>874.25176805375168</v>
      </c>
      <c r="D107" s="47">
        <f t="shared" si="18"/>
        <v>85.693023379034472</v>
      </c>
      <c r="E107" s="61">
        <f t="shared" si="17"/>
        <v>788.55874467471722</v>
      </c>
      <c r="F107" s="47">
        <f t="shared" si="19"/>
        <v>24919.348269035625</v>
      </c>
    </row>
    <row r="108" spans="2:6" x14ac:dyDescent="0.3">
      <c r="B108" s="9">
        <v>91</v>
      </c>
      <c r="C108" s="61">
        <f t="shared" si="16"/>
        <v>874.25176805375168</v>
      </c>
      <c r="D108" s="47">
        <f t="shared" si="18"/>
        <v>83.064494230118754</v>
      </c>
      <c r="E108" s="61">
        <f t="shared" si="17"/>
        <v>791.18727382363295</v>
      </c>
      <c r="F108" s="47">
        <f t="shared" si="19"/>
        <v>24128.160995211991</v>
      </c>
    </row>
    <row r="109" spans="2:6" x14ac:dyDescent="0.3">
      <c r="B109" s="9">
        <v>92</v>
      </c>
      <c r="C109" s="61">
        <f t="shared" si="16"/>
        <v>874.25176805375168</v>
      </c>
      <c r="D109" s="47">
        <f t="shared" si="18"/>
        <v>80.427203317373312</v>
      </c>
      <c r="E109" s="61">
        <f t="shared" si="17"/>
        <v>793.82456473637831</v>
      </c>
      <c r="F109" s="47">
        <f t="shared" si="19"/>
        <v>23334.336430475611</v>
      </c>
    </row>
    <row r="110" spans="2:6" x14ac:dyDescent="0.3">
      <c r="B110" s="9">
        <v>93</v>
      </c>
      <c r="C110" s="61">
        <f t="shared" si="16"/>
        <v>874.25176805375168</v>
      </c>
      <c r="D110" s="47">
        <f t="shared" si="18"/>
        <v>77.781121434918703</v>
      </c>
      <c r="E110" s="61">
        <f t="shared" si="17"/>
        <v>796.47064661883292</v>
      </c>
      <c r="F110" s="47">
        <f t="shared" si="19"/>
        <v>22537.865783856778</v>
      </c>
    </row>
    <row r="111" spans="2:6" x14ac:dyDescent="0.3">
      <c r="B111" s="9">
        <v>94</v>
      </c>
      <c r="C111" s="61">
        <f t="shared" si="16"/>
        <v>874.25176805375168</v>
      </c>
      <c r="D111" s="47">
        <f t="shared" si="18"/>
        <v>75.126219279522601</v>
      </c>
      <c r="E111" s="61">
        <f t="shared" si="17"/>
        <v>799.12554877422906</v>
      </c>
      <c r="F111" s="47">
        <f t="shared" si="19"/>
        <v>21738.74023508255</v>
      </c>
    </row>
    <row r="112" spans="2:6" x14ac:dyDescent="0.3">
      <c r="B112" s="9">
        <v>95</v>
      </c>
      <c r="C112" s="61">
        <f t="shared" si="16"/>
        <v>874.25176805375168</v>
      </c>
      <c r="D112" s="47">
        <f t="shared" si="18"/>
        <v>72.46246745027517</v>
      </c>
      <c r="E112" s="61">
        <f t="shared" si="17"/>
        <v>801.78930060347648</v>
      </c>
      <c r="F112" s="47">
        <f t="shared" si="19"/>
        <v>20936.950934479075</v>
      </c>
    </row>
    <row r="113" spans="2:6" x14ac:dyDescent="0.3">
      <c r="B113" s="9">
        <v>96</v>
      </c>
      <c r="C113" s="61">
        <f t="shared" si="16"/>
        <v>874.25176805375168</v>
      </c>
      <c r="D113" s="47">
        <f t="shared" si="18"/>
        <v>69.789836448263586</v>
      </c>
      <c r="E113" s="61">
        <f t="shared" si="17"/>
        <v>804.46193160548808</v>
      </c>
      <c r="F113" s="47">
        <f t="shared" si="19"/>
        <v>20132.489002873586</v>
      </c>
    </row>
    <row r="114" spans="2:6" x14ac:dyDescent="0.3">
      <c r="B114" s="9">
        <v>97</v>
      </c>
      <c r="C114" s="61">
        <f t="shared" si="16"/>
        <v>874.25176805375168</v>
      </c>
      <c r="D114" s="47">
        <f t="shared" si="18"/>
        <v>67.108296676245288</v>
      </c>
      <c r="E114" s="61">
        <f t="shared" si="17"/>
        <v>807.14347137750633</v>
      </c>
      <c r="F114" s="47">
        <f t="shared" si="19"/>
        <v>19325.345531496081</v>
      </c>
    </row>
    <row r="115" spans="2:6" x14ac:dyDescent="0.3">
      <c r="B115" s="9">
        <v>98</v>
      </c>
      <c r="C115" s="61">
        <f t="shared" si="16"/>
        <v>874.25176805375168</v>
      </c>
      <c r="D115" s="47">
        <f t="shared" si="18"/>
        <v>64.417818438320268</v>
      </c>
      <c r="E115" s="61">
        <f t="shared" si="17"/>
        <v>809.83394961543138</v>
      </c>
      <c r="F115" s="47">
        <f t="shared" si="19"/>
        <v>18515.511581880648</v>
      </c>
    </row>
    <row r="116" spans="2:6" x14ac:dyDescent="0.3">
      <c r="B116" s="9">
        <v>99</v>
      </c>
      <c r="C116" s="61">
        <f t="shared" si="16"/>
        <v>874.25176805375168</v>
      </c>
      <c r="D116" s="47">
        <f t="shared" si="18"/>
        <v>61.718371939602164</v>
      </c>
      <c r="E116" s="61">
        <f t="shared" si="17"/>
        <v>812.53339611414947</v>
      </c>
      <c r="F116" s="47">
        <f t="shared" si="19"/>
        <v>17702.9781857665</v>
      </c>
    </row>
    <row r="117" spans="2:6" x14ac:dyDescent="0.3">
      <c r="B117" s="9">
        <v>100</v>
      </c>
      <c r="C117" s="61">
        <f t="shared" si="16"/>
        <v>874.25176805375168</v>
      </c>
      <c r="D117" s="47">
        <f t="shared" si="18"/>
        <v>59.009927285888338</v>
      </c>
      <c r="E117" s="61">
        <f t="shared" si="17"/>
        <v>815.24184076786332</v>
      </c>
      <c r="F117" s="47">
        <f t="shared" si="19"/>
        <v>16887.736344998637</v>
      </c>
    </row>
    <row r="118" spans="2:6" x14ac:dyDescent="0.3">
      <c r="B118" s="9">
        <v>101</v>
      </c>
      <c r="C118" s="61">
        <f t="shared" si="16"/>
        <v>874.25176805375168</v>
      </c>
      <c r="D118" s="47">
        <f t="shared" si="18"/>
        <v>56.292454483328797</v>
      </c>
      <c r="E118" s="61">
        <f t="shared" si="17"/>
        <v>817.95931357042286</v>
      </c>
      <c r="F118" s="47">
        <f t="shared" si="19"/>
        <v>16069.777031428213</v>
      </c>
    </row>
    <row r="119" spans="2:6" x14ac:dyDescent="0.3">
      <c r="B119" s="9">
        <v>102</v>
      </c>
      <c r="C119" s="61">
        <f t="shared" si="16"/>
        <v>874.25176805375168</v>
      </c>
      <c r="D119" s="47">
        <f t="shared" si="18"/>
        <v>53.565923438094046</v>
      </c>
      <c r="E119" s="61">
        <f t="shared" si="17"/>
        <v>820.68584461565763</v>
      </c>
      <c r="F119" s="47">
        <f t="shared" si="19"/>
        <v>15249.091186812555</v>
      </c>
    </row>
    <row r="120" spans="2:6" x14ac:dyDescent="0.3">
      <c r="B120" s="9">
        <v>103</v>
      </c>
      <c r="C120" s="61">
        <f t="shared" si="16"/>
        <v>874.25176805375168</v>
      </c>
      <c r="D120" s="47">
        <f t="shared" si="18"/>
        <v>50.830303956041853</v>
      </c>
      <c r="E120" s="61">
        <f t="shared" si="17"/>
        <v>823.42146409770987</v>
      </c>
      <c r="F120" s="47">
        <f t="shared" si="19"/>
        <v>14425.669722714845</v>
      </c>
    </row>
    <row r="121" spans="2:6" x14ac:dyDescent="0.3">
      <c r="B121" s="9">
        <v>104</v>
      </c>
      <c r="C121" s="61">
        <f>$D$5</f>
        <v>874.25176805375168</v>
      </c>
      <c r="D121" s="47">
        <f t="shared" si="18"/>
        <v>48.085565742382819</v>
      </c>
      <c r="E121" s="61">
        <f t="shared" si="17"/>
        <v>826.16620231136881</v>
      </c>
      <c r="F121" s="47">
        <f t="shared" si="19"/>
        <v>13599.503520403476</v>
      </c>
    </row>
    <row r="122" spans="2:6" x14ac:dyDescent="0.3">
      <c r="B122" s="9">
        <v>105</v>
      </c>
      <c r="C122" s="61">
        <f t="shared" ref="C122:C137" si="20">$D$5</f>
        <v>874.25176805375168</v>
      </c>
      <c r="D122" s="47">
        <f t="shared" si="18"/>
        <v>45.331678401344924</v>
      </c>
      <c r="E122" s="61">
        <f t="shared" si="17"/>
        <v>828.92008965240677</v>
      </c>
      <c r="F122" s="47">
        <f t="shared" si="19"/>
        <v>12770.583430751069</v>
      </c>
    </row>
    <row r="123" spans="2:6" x14ac:dyDescent="0.3">
      <c r="B123" s="9">
        <v>106</v>
      </c>
      <c r="C123" s="61">
        <f t="shared" si="20"/>
        <v>874.25176805375168</v>
      </c>
      <c r="D123" s="47">
        <f t="shared" si="18"/>
        <v>42.5686114358369</v>
      </c>
      <c r="E123" s="61">
        <f t="shared" si="17"/>
        <v>831.68315661791473</v>
      </c>
      <c r="F123" s="47">
        <f t="shared" si="19"/>
        <v>11938.900274133153</v>
      </c>
    </row>
    <row r="124" spans="2:6" x14ac:dyDescent="0.3">
      <c r="B124" s="9">
        <v>107</v>
      </c>
      <c r="C124" s="61">
        <f t="shared" si="20"/>
        <v>874.25176805375168</v>
      </c>
      <c r="D124" s="47">
        <f>F123*$D$12</f>
        <v>39.796334247110515</v>
      </c>
      <c r="E124" s="61">
        <f>C124-D124</f>
        <v>834.45543380664117</v>
      </c>
      <c r="F124" s="47">
        <f>IF(B124="","",F123-E124)</f>
        <v>11104.444840326512</v>
      </c>
    </row>
    <row r="125" spans="2:6" x14ac:dyDescent="0.3">
      <c r="B125" s="9">
        <v>108</v>
      </c>
      <c r="C125" s="61">
        <f t="shared" si="20"/>
        <v>874.25176805375168</v>
      </c>
      <c r="D125" s="47">
        <f>F124*$D$12</f>
        <v>37.014816134421707</v>
      </c>
      <c r="E125" s="61">
        <f t="shared" ref="E125:E137" si="21">C125-D125</f>
        <v>837.23695191932995</v>
      </c>
      <c r="F125" s="47">
        <f>IF(B125="","",F124-E125)</f>
        <v>10267.207888407182</v>
      </c>
    </row>
    <row r="126" spans="2:6" x14ac:dyDescent="0.3">
      <c r="B126" s="9">
        <v>109</v>
      </c>
      <c r="C126" s="61">
        <f t="shared" si="20"/>
        <v>874.25176805375168</v>
      </c>
      <c r="D126" s="47">
        <f>F125*$D$12</f>
        <v>34.22402629469061</v>
      </c>
      <c r="E126" s="61">
        <f t="shared" si="21"/>
        <v>840.02774175906109</v>
      </c>
      <c r="F126" s="47">
        <f>IF(B126="","",F125-E126)</f>
        <v>9427.1801466481211</v>
      </c>
    </row>
    <row r="127" spans="2:6" x14ac:dyDescent="0.3">
      <c r="B127" s="9">
        <v>110</v>
      </c>
      <c r="C127" s="61">
        <f t="shared" si="20"/>
        <v>874.25176805375168</v>
      </c>
      <c r="D127" s="47">
        <f t="shared" ref="D127:D137" si="22">F126*$D$12</f>
        <v>31.423933822160407</v>
      </c>
      <c r="E127" s="61">
        <f t="shared" si="21"/>
        <v>842.82783423159128</v>
      </c>
      <c r="F127" s="47">
        <f t="shared" ref="F127:F137" si="23">IF(B127="","",F126-E127)</f>
        <v>8584.3523124165295</v>
      </c>
    </row>
    <row r="128" spans="2:6" x14ac:dyDescent="0.3">
      <c r="B128" s="9">
        <v>111</v>
      </c>
      <c r="C128" s="61">
        <f t="shared" si="20"/>
        <v>874.25176805375168</v>
      </c>
      <c r="D128" s="47">
        <f t="shared" si="22"/>
        <v>28.6145077080551</v>
      </c>
      <c r="E128" s="61">
        <f t="shared" si="21"/>
        <v>845.63726034569663</v>
      </c>
      <c r="F128" s="47">
        <f t="shared" si="23"/>
        <v>7738.7150520708328</v>
      </c>
    </row>
    <row r="129" spans="2:6" x14ac:dyDescent="0.3">
      <c r="B129" s="9">
        <v>112</v>
      </c>
      <c r="C129" s="61">
        <f t="shared" si="20"/>
        <v>874.25176805375168</v>
      </c>
      <c r="D129" s="47">
        <f t="shared" si="22"/>
        <v>25.795716840236111</v>
      </c>
      <c r="E129" s="61">
        <f t="shared" si="21"/>
        <v>848.45605121351559</v>
      </c>
      <c r="F129" s="47">
        <f t="shared" si="23"/>
        <v>6890.259000857317</v>
      </c>
    </row>
    <row r="130" spans="2:6" x14ac:dyDescent="0.3">
      <c r="B130" s="9">
        <v>113</v>
      </c>
      <c r="C130" s="61">
        <f t="shared" si="20"/>
        <v>874.25176805375168</v>
      </c>
      <c r="D130" s="47">
        <f t="shared" si="22"/>
        <v>22.967530002857725</v>
      </c>
      <c r="E130" s="61">
        <f t="shared" si="21"/>
        <v>851.28423805089392</v>
      </c>
      <c r="F130" s="47">
        <f t="shared" si="23"/>
        <v>6038.9747628064233</v>
      </c>
    </row>
    <row r="131" spans="2:6" x14ac:dyDescent="0.3">
      <c r="B131" s="9">
        <v>114</v>
      </c>
      <c r="C131" s="61">
        <f t="shared" si="20"/>
        <v>874.25176805375168</v>
      </c>
      <c r="D131" s="47">
        <f t="shared" si="22"/>
        <v>20.129915876021414</v>
      </c>
      <c r="E131" s="61">
        <f t="shared" si="21"/>
        <v>854.12185217773026</v>
      </c>
      <c r="F131" s="47">
        <f t="shared" si="23"/>
        <v>5184.8529106286933</v>
      </c>
    </row>
    <row r="132" spans="2:6" x14ac:dyDescent="0.3">
      <c r="B132" s="9">
        <v>115</v>
      </c>
      <c r="C132" s="61">
        <f t="shared" si="20"/>
        <v>874.25176805375168</v>
      </c>
      <c r="D132" s="47">
        <f t="shared" si="22"/>
        <v>17.282843035428979</v>
      </c>
      <c r="E132" s="61">
        <f t="shared" si="21"/>
        <v>856.96892501832269</v>
      </c>
      <c r="F132" s="47">
        <f t="shared" si="23"/>
        <v>4327.8839856103705</v>
      </c>
    </row>
    <row r="133" spans="2:6" x14ac:dyDescent="0.3">
      <c r="B133" s="9">
        <v>116</v>
      </c>
      <c r="C133" s="61">
        <f t="shared" si="20"/>
        <v>874.25176805375168</v>
      </c>
      <c r="D133" s="47">
        <f t="shared" si="22"/>
        <v>14.426279952034569</v>
      </c>
      <c r="E133" s="61">
        <f t="shared" si="21"/>
        <v>859.82548810171716</v>
      </c>
      <c r="F133" s="47">
        <f t="shared" si="23"/>
        <v>3468.0584975086531</v>
      </c>
    </row>
    <row r="134" spans="2:6" x14ac:dyDescent="0.3">
      <c r="B134" s="9">
        <v>117</v>
      </c>
      <c r="C134" s="61">
        <f t="shared" si="20"/>
        <v>874.25176805375168</v>
      </c>
      <c r="D134" s="47">
        <f t="shared" si="22"/>
        <v>11.560194991695511</v>
      </c>
      <c r="E134" s="61">
        <f t="shared" si="21"/>
        <v>862.69157306205614</v>
      </c>
      <c r="F134" s="47">
        <f t="shared" si="23"/>
        <v>2605.3669244465968</v>
      </c>
    </row>
    <row r="135" spans="2:6" x14ac:dyDescent="0.3">
      <c r="B135" s="9">
        <v>118</v>
      </c>
      <c r="C135" s="61">
        <f t="shared" si="20"/>
        <v>874.25176805375168</v>
      </c>
      <c r="D135" s="47">
        <f t="shared" si="22"/>
        <v>8.6845564148219907</v>
      </c>
      <c r="E135" s="61">
        <f t="shared" si="21"/>
        <v>865.56721163892973</v>
      </c>
      <c r="F135" s="47">
        <f t="shared" si="23"/>
        <v>1739.7997128076672</v>
      </c>
    </row>
    <row r="136" spans="2:6" x14ac:dyDescent="0.3">
      <c r="B136" s="9">
        <v>119</v>
      </c>
      <c r="C136" s="61">
        <f t="shared" si="20"/>
        <v>874.25176805375168</v>
      </c>
      <c r="D136" s="47">
        <f t="shared" si="22"/>
        <v>5.799332376025558</v>
      </c>
      <c r="E136" s="61">
        <f t="shared" si="21"/>
        <v>868.45243567772616</v>
      </c>
      <c r="F136" s="47">
        <f t="shared" si="23"/>
        <v>871.34727712994106</v>
      </c>
    </row>
    <row r="137" spans="2:6" x14ac:dyDescent="0.3">
      <c r="B137" s="9">
        <v>120</v>
      </c>
      <c r="C137" s="61">
        <f t="shared" si="20"/>
        <v>874.25176805375168</v>
      </c>
      <c r="D137" s="47">
        <f t="shared" si="22"/>
        <v>2.9044909237664704</v>
      </c>
      <c r="E137" s="61">
        <f t="shared" si="21"/>
        <v>871.34727712998517</v>
      </c>
      <c r="F137" s="47">
        <f t="shared" si="23"/>
        <v>-4.411049303598702E-11</v>
      </c>
    </row>
  </sheetData>
  <mergeCells count="11">
    <mergeCell ref="B2:C2"/>
    <mergeCell ref="B10:C10"/>
    <mergeCell ref="B11:C11"/>
    <mergeCell ref="B12:C12"/>
    <mergeCell ref="B15:F15"/>
    <mergeCell ref="B3:C3"/>
    <mergeCell ref="B4:C4"/>
    <mergeCell ref="B5:C5"/>
    <mergeCell ref="B7:C7"/>
    <mergeCell ref="B8:C8"/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90F4-C736-439C-85F4-9364480D0F07}">
  <dimension ref="B3:M35"/>
  <sheetViews>
    <sheetView workbookViewId="0">
      <selection activeCell="D5" sqref="D5"/>
    </sheetView>
  </sheetViews>
  <sheetFormatPr defaultRowHeight="14.4" x14ac:dyDescent="0.3"/>
  <cols>
    <col min="2" max="2" width="10.6640625" customWidth="1"/>
    <col min="3" max="3" width="12.33203125" customWidth="1"/>
    <col min="4" max="13" width="11.44140625" bestFit="1" customWidth="1"/>
  </cols>
  <sheetData>
    <row r="3" spans="2:13" x14ac:dyDescent="0.3">
      <c r="B3" s="85" t="s">
        <v>203</v>
      </c>
      <c r="C3" s="85"/>
    </row>
    <row r="4" spans="2:13" x14ac:dyDescent="0.3">
      <c r="B4" s="94"/>
      <c r="C4" s="95"/>
      <c r="D4" s="8">
        <v>2025</v>
      </c>
      <c r="E4" s="8">
        <v>2026</v>
      </c>
      <c r="F4" s="8">
        <v>2027</v>
      </c>
      <c r="G4" s="8">
        <v>2028</v>
      </c>
      <c r="H4" s="8">
        <v>2029</v>
      </c>
      <c r="I4" s="8">
        <v>2030</v>
      </c>
      <c r="J4" s="8">
        <v>2031</v>
      </c>
      <c r="K4" s="8">
        <v>2032</v>
      </c>
      <c r="L4" s="8">
        <v>2033</v>
      </c>
      <c r="M4" s="8">
        <v>2034</v>
      </c>
    </row>
    <row r="5" spans="2:13" x14ac:dyDescent="0.3">
      <c r="B5" s="85" t="s">
        <v>204</v>
      </c>
      <c r="C5" s="85"/>
      <c r="D5" s="70">
        <f>Prihodi!$I$26</f>
        <v>212844</v>
      </c>
      <c r="E5" s="71">
        <f>Prihodi!$I$26</f>
        <v>212844</v>
      </c>
      <c r="F5" s="71">
        <f>Prihodi!$I$26</f>
        <v>212844</v>
      </c>
      <c r="G5" s="71">
        <f>Prihodi!$I$26</f>
        <v>212844</v>
      </c>
      <c r="H5" s="71">
        <f>Prihodi!$I$26</f>
        <v>212844</v>
      </c>
      <c r="I5" s="71">
        <f>Prihodi!$I$26</f>
        <v>212844</v>
      </c>
      <c r="J5" s="71">
        <f>Prihodi!$I$26</f>
        <v>212844</v>
      </c>
      <c r="K5" s="71">
        <f>Prihodi!$I$26</f>
        <v>212844</v>
      </c>
      <c r="L5" s="71">
        <f>Prihodi!$I$26</f>
        <v>212844</v>
      </c>
      <c r="M5" s="71">
        <f>Prihodi!$I$26</f>
        <v>212844</v>
      </c>
    </row>
    <row r="6" spans="2:13" x14ac:dyDescent="0.3">
      <c r="B6" s="85" t="s">
        <v>205</v>
      </c>
      <c r="C6" s="85"/>
      <c r="D6" s="66">
        <f>SUM(D7:D11)</f>
        <v>155215</v>
      </c>
      <c r="E6" s="26">
        <f t="shared" ref="E6:M6" si="0">SUM(E7:E11)</f>
        <v>155215</v>
      </c>
      <c r="F6" s="26">
        <f t="shared" si="0"/>
        <v>155215</v>
      </c>
      <c r="G6" s="26">
        <f t="shared" si="0"/>
        <v>155215</v>
      </c>
      <c r="H6" s="26">
        <f t="shared" si="0"/>
        <v>155215</v>
      </c>
      <c r="I6" s="26">
        <f t="shared" si="0"/>
        <v>155215</v>
      </c>
      <c r="J6" s="26">
        <f t="shared" si="0"/>
        <v>155215</v>
      </c>
      <c r="K6" s="26">
        <f t="shared" si="0"/>
        <v>155215</v>
      </c>
      <c r="L6" s="26">
        <f t="shared" si="0"/>
        <v>155215</v>
      </c>
      <c r="M6" s="26">
        <f t="shared" si="0"/>
        <v>155215</v>
      </c>
    </row>
    <row r="7" spans="2:13" x14ac:dyDescent="0.3">
      <c r="B7" s="96" t="s">
        <v>206</v>
      </c>
      <c r="C7" s="96"/>
      <c r="D7" s="67">
        <f>Rashodi!$K$17</f>
        <v>11980</v>
      </c>
      <c r="E7" s="51">
        <f>Rashodi!$K$17</f>
        <v>11980</v>
      </c>
      <c r="F7" s="51">
        <f>Rashodi!$K$17</f>
        <v>11980</v>
      </c>
      <c r="G7" s="51">
        <f>Rashodi!$K$17</f>
        <v>11980</v>
      </c>
      <c r="H7" s="51">
        <f>Rashodi!$K$17</f>
        <v>11980</v>
      </c>
      <c r="I7" s="51">
        <f>Rashodi!$K$17</f>
        <v>11980</v>
      </c>
      <c r="J7" s="51">
        <f>Rashodi!$K$17</f>
        <v>11980</v>
      </c>
      <c r="K7" s="51">
        <f>Rashodi!$K$17</f>
        <v>11980</v>
      </c>
      <c r="L7" s="51">
        <f>Rashodi!$K$17</f>
        <v>11980</v>
      </c>
      <c r="M7" s="51">
        <f>Rashodi!$K$17</f>
        <v>11980</v>
      </c>
    </row>
    <row r="8" spans="2:13" x14ac:dyDescent="0.3">
      <c r="B8" s="96" t="s">
        <v>207</v>
      </c>
      <c r="C8" s="96"/>
      <c r="D8" s="67">
        <f>Rashodi!$K$18</f>
        <v>9360</v>
      </c>
      <c r="E8" s="51">
        <f>Rashodi!$K$18</f>
        <v>9360</v>
      </c>
      <c r="F8" s="51">
        <f>Rashodi!$K$18</f>
        <v>9360</v>
      </c>
      <c r="G8" s="51">
        <f>Rashodi!$K$18</f>
        <v>9360</v>
      </c>
      <c r="H8" s="51">
        <f>Rashodi!$K$18</f>
        <v>9360</v>
      </c>
      <c r="I8" s="51">
        <f>Rashodi!$K$18</f>
        <v>9360</v>
      </c>
      <c r="J8" s="51">
        <f>Rashodi!$K$18</f>
        <v>9360</v>
      </c>
      <c r="K8" s="51">
        <f>Rashodi!$K$18</f>
        <v>9360</v>
      </c>
      <c r="L8" s="51">
        <f>Rashodi!$K$18</f>
        <v>9360</v>
      </c>
      <c r="M8" s="51">
        <f>Rashodi!$K$18</f>
        <v>9360</v>
      </c>
    </row>
    <row r="9" spans="2:13" x14ac:dyDescent="0.3">
      <c r="B9" s="96" t="s">
        <v>208</v>
      </c>
      <c r="C9" s="96"/>
      <c r="D9" s="67">
        <f>Rashodi!$K$19</f>
        <v>119856</v>
      </c>
      <c r="E9" s="51">
        <f>Rashodi!$K$19</f>
        <v>119856</v>
      </c>
      <c r="F9" s="51">
        <f>Rashodi!$K$19</f>
        <v>119856</v>
      </c>
      <c r="G9" s="51">
        <f>Rashodi!$K$19</f>
        <v>119856</v>
      </c>
      <c r="H9" s="51">
        <f>Rashodi!$K$19</f>
        <v>119856</v>
      </c>
      <c r="I9" s="51">
        <f>Rashodi!$K$19</f>
        <v>119856</v>
      </c>
      <c r="J9" s="51">
        <f>Rashodi!$K$19</f>
        <v>119856</v>
      </c>
      <c r="K9" s="51">
        <f>Rashodi!$K$19</f>
        <v>119856</v>
      </c>
      <c r="L9" s="51">
        <f>Rashodi!$K$19</f>
        <v>119856</v>
      </c>
      <c r="M9" s="51">
        <f>Rashodi!$K$19</f>
        <v>119856</v>
      </c>
    </row>
    <row r="10" spans="2:13" x14ac:dyDescent="0.3">
      <c r="B10" s="96" t="s">
        <v>209</v>
      </c>
      <c r="C10" s="96"/>
      <c r="D10" s="67">
        <f>Rashodi!$K$20</f>
        <v>9600</v>
      </c>
      <c r="E10" s="51">
        <f>Rashodi!$K$20</f>
        <v>9600</v>
      </c>
      <c r="F10" s="51">
        <f>Rashodi!$K$20</f>
        <v>9600</v>
      </c>
      <c r="G10" s="51">
        <f>Rashodi!$K$20</f>
        <v>9600</v>
      </c>
      <c r="H10" s="51">
        <f>Rashodi!$K$20</f>
        <v>9600</v>
      </c>
      <c r="I10" s="51">
        <f>Rashodi!$K$20</f>
        <v>9600</v>
      </c>
      <c r="J10" s="51">
        <f>Rashodi!$K$20</f>
        <v>9600</v>
      </c>
      <c r="K10" s="51">
        <f>Rashodi!$K$20</f>
        <v>9600</v>
      </c>
      <c r="L10" s="51">
        <f>Rashodi!$K$20</f>
        <v>9600</v>
      </c>
      <c r="M10" s="51">
        <f>Rashodi!$K$20</f>
        <v>9600</v>
      </c>
    </row>
    <row r="11" spans="2:13" x14ac:dyDescent="0.3">
      <c r="B11" s="96" t="s">
        <v>105</v>
      </c>
      <c r="C11" s="96"/>
      <c r="D11" s="67">
        <f>Rashodi!$K$21</f>
        <v>4419</v>
      </c>
      <c r="E11" s="51">
        <f>Rashodi!$K$21</f>
        <v>4419</v>
      </c>
      <c r="F11" s="51">
        <f>Rashodi!$K$21</f>
        <v>4419</v>
      </c>
      <c r="G11" s="51">
        <f>Rashodi!$K$21</f>
        <v>4419</v>
      </c>
      <c r="H11" s="51">
        <f>Rashodi!$K$21</f>
        <v>4419</v>
      </c>
      <c r="I11" s="51">
        <f>Rashodi!$K$21</f>
        <v>4419</v>
      </c>
      <c r="J11" s="51">
        <f>Rashodi!$K$21</f>
        <v>4419</v>
      </c>
      <c r="K11" s="51">
        <f>Rashodi!$K$21</f>
        <v>4419</v>
      </c>
      <c r="L11" s="51">
        <f>Rashodi!$K$21</f>
        <v>4419</v>
      </c>
      <c r="M11" s="51">
        <f>Rashodi!$K$21</f>
        <v>4419</v>
      </c>
    </row>
    <row r="12" spans="2:13" x14ac:dyDescent="0.3">
      <c r="B12" s="85" t="s">
        <v>210</v>
      </c>
      <c r="C12" s="85"/>
      <c r="D12" s="66">
        <f>D5-D6</f>
        <v>57629</v>
      </c>
      <c r="E12" s="26">
        <f t="shared" ref="E12:M12" si="1">E5-E6</f>
        <v>57629</v>
      </c>
      <c r="F12" s="26">
        <f t="shared" si="1"/>
        <v>57629</v>
      </c>
      <c r="G12" s="26">
        <f t="shared" si="1"/>
        <v>57629</v>
      </c>
      <c r="H12" s="26">
        <f t="shared" si="1"/>
        <v>57629</v>
      </c>
      <c r="I12" s="26">
        <f t="shared" si="1"/>
        <v>57629</v>
      </c>
      <c r="J12" s="26">
        <f t="shared" si="1"/>
        <v>57629</v>
      </c>
      <c r="K12" s="26">
        <f t="shared" si="1"/>
        <v>57629</v>
      </c>
      <c r="L12" s="26">
        <f t="shared" si="1"/>
        <v>57629</v>
      </c>
      <c r="M12" s="26">
        <f t="shared" si="1"/>
        <v>57629</v>
      </c>
    </row>
    <row r="13" spans="2:13" x14ac:dyDescent="0.3">
      <c r="B13" s="96" t="s">
        <v>169</v>
      </c>
      <c r="C13" s="96"/>
      <c r="D13" s="67">
        <f>'INV+AM'!$F$18</f>
        <v>22737.5</v>
      </c>
      <c r="E13" s="51">
        <f>'INV+AM'!$F$18</f>
        <v>22737.5</v>
      </c>
      <c r="F13" s="51">
        <f>'INV+AM'!$F$18</f>
        <v>22737.5</v>
      </c>
      <c r="G13" s="51">
        <f>'INV+AM'!$F$18</f>
        <v>22737.5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</row>
    <row r="14" spans="2:13" x14ac:dyDescent="0.3">
      <c r="B14" s="96" t="s">
        <v>190</v>
      </c>
      <c r="C14" s="96"/>
      <c r="D14" s="68">
        <f>Kredit!G4</f>
        <v>3323.5436685096856</v>
      </c>
      <c r="E14" s="47">
        <f>Kredit!H4</f>
        <v>3031.5295743557008</v>
      </c>
      <c r="F14" s="47">
        <f>Kredit!I4</f>
        <v>2727.6183754515582</v>
      </c>
      <c r="G14" s="47">
        <f>Kredit!J4</f>
        <v>2411.3253653934576</v>
      </c>
      <c r="H14" s="47">
        <f>Kredit!K4</f>
        <v>2082.1460900908464</v>
      </c>
      <c r="I14" s="47">
        <f>Kredit!L4</f>
        <v>1739.5555432151875</v>
      </c>
      <c r="J14" s="47">
        <f>Kredit!M4</f>
        <v>1383.0073288700803</v>
      </c>
      <c r="K14" s="47">
        <f>Kredit!N4</f>
        <v>1011.9327901472575</v>
      </c>
      <c r="L14" s="47">
        <f>Kredit!O4</f>
        <v>625.74010217861769</v>
      </c>
      <c r="M14" s="47">
        <f>Kredit!P4</f>
        <v>223.81332823779445</v>
      </c>
    </row>
    <row r="15" spans="2:13" x14ac:dyDescent="0.3">
      <c r="B15" s="85" t="s">
        <v>211</v>
      </c>
      <c r="C15" s="85"/>
      <c r="D15" s="66">
        <f>SUM(D6,D13,D14)</f>
        <v>181276.04366850969</v>
      </c>
      <c r="E15" s="26">
        <f t="shared" ref="E15:M15" si="2">SUM(E6,E13,E14)</f>
        <v>180984.02957435569</v>
      </c>
      <c r="F15" s="26">
        <f t="shared" si="2"/>
        <v>180680.11837545157</v>
      </c>
      <c r="G15" s="26">
        <f t="shared" si="2"/>
        <v>180363.82536539345</v>
      </c>
      <c r="H15" s="26">
        <f t="shared" si="2"/>
        <v>157297.14609009086</v>
      </c>
      <c r="I15" s="26">
        <f t="shared" si="2"/>
        <v>156954.55554321519</v>
      </c>
      <c r="J15" s="26">
        <f t="shared" si="2"/>
        <v>156598.00732887007</v>
      </c>
      <c r="K15" s="26">
        <f t="shared" si="2"/>
        <v>156226.93279014726</v>
      </c>
      <c r="L15" s="26">
        <f t="shared" si="2"/>
        <v>155840.74010217862</v>
      </c>
      <c r="M15" s="26">
        <f t="shared" si="2"/>
        <v>155438.8133282378</v>
      </c>
    </row>
    <row r="16" spans="2:13" x14ac:dyDescent="0.3">
      <c r="B16" s="85" t="s">
        <v>212</v>
      </c>
      <c r="C16" s="85"/>
      <c r="D16" s="69">
        <f>D5-D15</f>
        <v>31567.956331490306</v>
      </c>
      <c r="E16" s="65">
        <f t="shared" ref="E16:M16" si="3">E5-E15</f>
        <v>31859.970425644307</v>
      </c>
      <c r="F16" s="65">
        <f t="shared" si="3"/>
        <v>32163.881624548434</v>
      </c>
      <c r="G16" s="65">
        <f t="shared" si="3"/>
        <v>32480.174634606548</v>
      </c>
      <c r="H16" s="65">
        <f t="shared" si="3"/>
        <v>55546.853909909143</v>
      </c>
      <c r="I16" s="65">
        <f t="shared" si="3"/>
        <v>55889.444456784811</v>
      </c>
      <c r="J16" s="65">
        <f t="shared" si="3"/>
        <v>56245.992671129934</v>
      </c>
      <c r="K16" s="65">
        <f t="shared" si="3"/>
        <v>56617.067209852743</v>
      </c>
      <c r="L16" s="65">
        <f t="shared" si="3"/>
        <v>57003.259897821379</v>
      </c>
      <c r="M16" s="65">
        <f t="shared" si="3"/>
        <v>57405.186671762203</v>
      </c>
    </row>
    <row r="17" spans="2:13" x14ac:dyDescent="0.3">
      <c r="B17" s="85" t="s">
        <v>213</v>
      </c>
      <c r="C17" s="85"/>
      <c r="D17" s="69">
        <f>D16*0.1</f>
        <v>3156.7956331490309</v>
      </c>
      <c r="E17" s="65">
        <f t="shared" ref="E17:M17" si="4">E16*0.1</f>
        <v>3185.997042564431</v>
      </c>
      <c r="F17" s="65">
        <f t="shared" si="4"/>
        <v>3216.3881624548435</v>
      </c>
      <c r="G17" s="65">
        <f t="shared" si="4"/>
        <v>3248.0174634606551</v>
      </c>
      <c r="H17" s="65">
        <f t="shared" si="4"/>
        <v>5554.685390990915</v>
      </c>
      <c r="I17" s="65">
        <f t="shared" si="4"/>
        <v>5588.9444456784813</v>
      </c>
      <c r="J17" s="65">
        <f t="shared" si="4"/>
        <v>5624.5992671129934</v>
      </c>
      <c r="K17" s="65">
        <f t="shared" si="4"/>
        <v>5661.7067209852748</v>
      </c>
      <c r="L17" s="65">
        <f t="shared" si="4"/>
        <v>5700.3259897821381</v>
      </c>
      <c r="M17" s="65">
        <f t="shared" si="4"/>
        <v>5740.5186671762203</v>
      </c>
    </row>
    <row r="18" spans="2:13" x14ac:dyDescent="0.3">
      <c r="B18" s="85" t="s">
        <v>181</v>
      </c>
      <c r="C18" s="85"/>
      <c r="D18" s="66">
        <f>D16-D17</f>
        <v>28411.160698341275</v>
      </c>
      <c r="E18" s="26">
        <f t="shared" ref="E18:M18" si="5">E16-E17</f>
        <v>28673.973383079876</v>
      </c>
      <c r="F18" s="26">
        <f t="shared" si="5"/>
        <v>28947.493462093589</v>
      </c>
      <c r="G18" s="26">
        <f t="shared" si="5"/>
        <v>29232.157171145893</v>
      </c>
      <c r="H18" s="26">
        <f t="shared" si="5"/>
        <v>49992.168518918232</v>
      </c>
      <c r="I18" s="26">
        <f t="shared" si="5"/>
        <v>50300.500011106327</v>
      </c>
      <c r="J18" s="26">
        <f t="shared" si="5"/>
        <v>50621.393404016941</v>
      </c>
      <c r="K18" s="26">
        <f t="shared" si="5"/>
        <v>50955.360488867467</v>
      </c>
      <c r="L18" s="26">
        <f t="shared" si="5"/>
        <v>51302.933908039238</v>
      </c>
      <c r="M18" s="26">
        <f t="shared" si="5"/>
        <v>51664.668004585983</v>
      </c>
    </row>
    <row r="22" spans="2:13" x14ac:dyDescent="0.3">
      <c r="B22" s="85" t="s">
        <v>222</v>
      </c>
      <c r="C22" s="85"/>
      <c r="D22" s="85"/>
    </row>
    <row r="23" spans="2:13" x14ac:dyDescent="0.3">
      <c r="B23" s="85" t="s">
        <v>215</v>
      </c>
      <c r="C23" s="85"/>
      <c r="D23" s="26">
        <f>SUM(D24:D29)</f>
        <v>57713.813328237797</v>
      </c>
    </row>
    <row r="24" spans="2:13" x14ac:dyDescent="0.3">
      <c r="B24" s="86" t="s">
        <v>169</v>
      </c>
      <c r="C24" s="86"/>
      <c r="D24" s="47">
        <f>M13</f>
        <v>0</v>
      </c>
    </row>
    <row r="25" spans="2:13" x14ac:dyDescent="0.3">
      <c r="B25" s="86" t="s">
        <v>216</v>
      </c>
      <c r="C25" s="86"/>
      <c r="D25" s="47">
        <f>Rashodi!$K$22</f>
        <v>36936</v>
      </c>
      <c r="G25" s="88" t="s">
        <v>225</v>
      </c>
      <c r="H25" s="90" t="s">
        <v>179</v>
      </c>
      <c r="I25" s="29" t="s">
        <v>226</v>
      </c>
      <c r="J25" s="90" t="s">
        <v>179</v>
      </c>
      <c r="K25" s="30">
        <f>D23</f>
        <v>57713.813328237797</v>
      </c>
      <c r="L25" s="90" t="s">
        <v>179</v>
      </c>
      <c r="M25" s="91">
        <f>K25/K26</f>
        <v>0.50134046793524789</v>
      </c>
    </row>
    <row r="26" spans="2:13" x14ac:dyDescent="0.3">
      <c r="B26" s="86" t="s">
        <v>190</v>
      </c>
      <c r="C26" s="86"/>
      <c r="D26" s="47">
        <f>M14</f>
        <v>223.81332823779445</v>
      </c>
      <c r="G26" s="88"/>
      <c r="H26" s="90"/>
      <c r="I26" s="29" t="s">
        <v>227</v>
      </c>
      <c r="J26" s="90"/>
      <c r="K26" s="30">
        <f>M5-D30</f>
        <v>115119</v>
      </c>
      <c r="L26" s="90"/>
      <c r="M26" s="91"/>
    </row>
    <row r="27" spans="2:13" x14ac:dyDescent="0.3">
      <c r="B27" s="86" t="s">
        <v>207</v>
      </c>
      <c r="C27" s="86"/>
      <c r="D27" s="47">
        <f>M8</f>
        <v>9360</v>
      </c>
    </row>
    <row r="28" spans="2:13" x14ac:dyDescent="0.3">
      <c r="B28" s="86" t="s">
        <v>217</v>
      </c>
      <c r="C28" s="86"/>
      <c r="D28" s="47">
        <f>M7*0.3</f>
        <v>3594</v>
      </c>
      <c r="G28" s="88" t="s">
        <v>228</v>
      </c>
      <c r="H28" s="90" t="s">
        <v>179</v>
      </c>
      <c r="I28" s="29" t="s">
        <v>229</v>
      </c>
      <c r="J28" s="90" t="s">
        <v>179</v>
      </c>
      <c r="K28" s="30">
        <f>D23+D30</f>
        <v>155438.8133282378</v>
      </c>
      <c r="L28" s="90" t="s">
        <v>179</v>
      </c>
      <c r="M28" s="91">
        <f>K28/K29</f>
        <v>0.73029455060155701</v>
      </c>
    </row>
    <row r="29" spans="2:13" x14ac:dyDescent="0.3">
      <c r="B29" s="86" t="s">
        <v>209</v>
      </c>
      <c r="C29" s="86"/>
      <c r="D29" s="47">
        <f>M10-2000</f>
        <v>7600</v>
      </c>
      <c r="G29" s="88"/>
      <c r="H29" s="90"/>
      <c r="I29" s="29" t="s">
        <v>230</v>
      </c>
      <c r="J29" s="90"/>
      <c r="K29" s="30">
        <f>M5</f>
        <v>212844</v>
      </c>
      <c r="L29" s="90"/>
      <c r="M29" s="91"/>
    </row>
    <row r="30" spans="2:13" x14ac:dyDescent="0.3">
      <c r="B30" s="85" t="s">
        <v>218</v>
      </c>
      <c r="C30" s="85"/>
      <c r="D30" s="26">
        <f>SUM(D31:D34)</f>
        <v>97725</v>
      </c>
    </row>
    <row r="31" spans="2:13" x14ac:dyDescent="0.3">
      <c r="B31" s="86" t="s">
        <v>105</v>
      </c>
      <c r="C31" s="86"/>
      <c r="D31" s="47">
        <f>M11</f>
        <v>4419</v>
      </c>
    </row>
    <row r="32" spans="2:13" x14ac:dyDescent="0.3">
      <c r="B32" s="92" t="s">
        <v>209</v>
      </c>
      <c r="C32" s="93"/>
      <c r="D32" s="47">
        <v>2000</v>
      </c>
    </row>
    <row r="33" spans="2:4" x14ac:dyDescent="0.3">
      <c r="B33" s="86" t="s">
        <v>219</v>
      </c>
      <c r="C33" s="86"/>
      <c r="D33" s="47">
        <f>M7*0.7</f>
        <v>8386</v>
      </c>
    </row>
    <row r="34" spans="2:4" x14ac:dyDescent="0.3">
      <c r="B34" s="86" t="s">
        <v>220</v>
      </c>
      <c r="C34" s="86"/>
      <c r="D34" s="47">
        <f>Rashodi!$K$23</f>
        <v>82920</v>
      </c>
    </row>
    <row r="35" spans="2:4" x14ac:dyDescent="0.3">
      <c r="B35" s="85" t="s">
        <v>221</v>
      </c>
      <c r="C35" s="85"/>
      <c r="D35" s="26">
        <f>SUM(D23,D30)</f>
        <v>155438.8133282378</v>
      </c>
    </row>
  </sheetData>
  <mergeCells count="40">
    <mergeCell ref="B3:C3"/>
    <mergeCell ref="B5:C5"/>
    <mergeCell ref="B6:C6"/>
    <mergeCell ref="B7:C7"/>
    <mergeCell ref="B8:C8"/>
    <mergeCell ref="B29:C29"/>
    <mergeCell ref="B16:C16"/>
    <mergeCell ref="B17:C17"/>
    <mergeCell ref="B18:C18"/>
    <mergeCell ref="B4:C4"/>
    <mergeCell ref="B22:D22"/>
    <mergeCell ref="B23:C23"/>
    <mergeCell ref="B10:C10"/>
    <mergeCell ref="B11:C11"/>
    <mergeCell ref="B12:C12"/>
    <mergeCell ref="B13:C13"/>
    <mergeCell ref="B15:C15"/>
    <mergeCell ref="B14:C14"/>
    <mergeCell ref="B9:C9"/>
    <mergeCell ref="B24:C24"/>
    <mergeCell ref="B25:C25"/>
    <mergeCell ref="B26:C26"/>
    <mergeCell ref="B27:C27"/>
    <mergeCell ref="B28:C28"/>
    <mergeCell ref="B30:C30"/>
    <mergeCell ref="B31:C31"/>
    <mergeCell ref="B33:C33"/>
    <mergeCell ref="B34:C34"/>
    <mergeCell ref="B35:C35"/>
    <mergeCell ref="B32:C32"/>
    <mergeCell ref="G25:G26"/>
    <mergeCell ref="H25:H26"/>
    <mergeCell ref="J25:J26"/>
    <mergeCell ref="L25:L26"/>
    <mergeCell ref="M25:M26"/>
    <mergeCell ref="G28:G29"/>
    <mergeCell ref="H28:H29"/>
    <mergeCell ref="J28:J29"/>
    <mergeCell ref="L28:L29"/>
    <mergeCell ref="M28:M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346F-C5D8-4B93-833F-127C3355CDBF}">
  <dimension ref="B2:AC45"/>
  <sheetViews>
    <sheetView workbookViewId="0">
      <selection activeCell="G17" sqref="G17"/>
    </sheetView>
  </sheetViews>
  <sheetFormatPr defaultRowHeight="14.4" x14ac:dyDescent="0.3"/>
  <cols>
    <col min="2" max="2" width="20.109375" customWidth="1"/>
    <col min="3" max="3" width="13.33203125" customWidth="1"/>
    <col min="4" max="4" width="14.21875" bestFit="1" customWidth="1"/>
    <col min="5" max="14" width="13.5546875" bestFit="1" customWidth="1"/>
    <col min="19" max="19" width="11.5546875" customWidth="1"/>
    <col min="20" max="29" width="11.5546875" bestFit="1" customWidth="1"/>
  </cols>
  <sheetData>
    <row r="2" spans="2:29" x14ac:dyDescent="0.3">
      <c r="B2" s="85" t="s">
        <v>232</v>
      </c>
      <c r="C2" s="85"/>
      <c r="Q2" s="85" t="s">
        <v>244</v>
      </c>
      <c r="R2" s="85"/>
    </row>
    <row r="3" spans="2:29" x14ac:dyDescent="0.3">
      <c r="B3" s="85" t="s">
        <v>233</v>
      </c>
      <c r="C3" s="85"/>
      <c r="Q3" s="85" t="s">
        <v>245</v>
      </c>
      <c r="R3" s="85"/>
    </row>
    <row r="4" spans="2:29" x14ac:dyDescent="0.3">
      <c r="B4" s="85" t="s">
        <v>143</v>
      </c>
      <c r="C4" s="85"/>
      <c r="D4" s="8">
        <v>2024</v>
      </c>
      <c r="E4" s="8">
        <v>2025</v>
      </c>
      <c r="F4" s="8">
        <v>2026</v>
      </c>
      <c r="G4" s="8">
        <v>2027</v>
      </c>
      <c r="H4" s="8">
        <v>2028</v>
      </c>
      <c r="I4" s="8">
        <v>2029</v>
      </c>
      <c r="J4" s="8">
        <v>2030</v>
      </c>
      <c r="K4" s="8">
        <v>2031</v>
      </c>
      <c r="L4" s="8">
        <v>2032</v>
      </c>
      <c r="M4" s="8">
        <v>2033</v>
      </c>
      <c r="N4" s="8">
        <v>2034</v>
      </c>
      <c r="Q4" s="85" t="s">
        <v>143</v>
      </c>
      <c r="R4" s="85"/>
      <c r="S4" s="8">
        <v>2024</v>
      </c>
      <c r="T4" s="8">
        <v>2025</v>
      </c>
      <c r="U4" s="8">
        <v>2026</v>
      </c>
      <c r="V4" s="8">
        <v>2027</v>
      </c>
      <c r="W4" s="8">
        <v>2028</v>
      </c>
      <c r="X4" s="8">
        <v>2029</v>
      </c>
      <c r="Y4" s="8">
        <v>2030</v>
      </c>
      <c r="Z4" s="8">
        <v>2031</v>
      </c>
      <c r="AA4" s="8">
        <v>2032</v>
      </c>
      <c r="AB4" s="8">
        <v>2033</v>
      </c>
      <c r="AC4" s="8">
        <v>2034</v>
      </c>
    </row>
    <row r="5" spans="2:29" x14ac:dyDescent="0.3">
      <c r="B5" s="86"/>
      <c r="C5" s="86"/>
      <c r="D5" s="57">
        <v>0</v>
      </c>
      <c r="E5" s="57">
        <v>1</v>
      </c>
      <c r="F5" s="57">
        <v>2</v>
      </c>
      <c r="G5" s="57">
        <v>3</v>
      </c>
      <c r="H5" s="57">
        <v>4</v>
      </c>
      <c r="I5" s="57">
        <v>5</v>
      </c>
      <c r="J5" s="57">
        <v>6</v>
      </c>
      <c r="K5" s="57">
        <v>7</v>
      </c>
      <c r="L5" s="57">
        <v>8</v>
      </c>
      <c r="M5" s="57">
        <v>9</v>
      </c>
      <c r="N5" s="57">
        <v>10</v>
      </c>
      <c r="Q5" s="86"/>
      <c r="R5" s="86"/>
      <c r="S5" s="57">
        <v>0</v>
      </c>
      <c r="T5" s="57">
        <v>1</v>
      </c>
      <c r="U5" s="57">
        <v>2</v>
      </c>
      <c r="V5" s="57">
        <v>3</v>
      </c>
      <c r="W5" s="57">
        <v>4</v>
      </c>
      <c r="X5" s="57">
        <v>5</v>
      </c>
      <c r="Y5" s="57">
        <v>6</v>
      </c>
      <c r="Z5" s="57">
        <v>7</v>
      </c>
      <c r="AA5" s="57">
        <v>8</v>
      </c>
      <c r="AB5" s="57">
        <v>9</v>
      </c>
      <c r="AC5" s="57">
        <v>10</v>
      </c>
    </row>
    <row r="6" spans="2:29" x14ac:dyDescent="0.3">
      <c r="B6" s="85" t="s">
        <v>234</v>
      </c>
      <c r="C6" s="85"/>
      <c r="D6" s="48">
        <f>SUM(D7:D8)</f>
        <v>0</v>
      </c>
      <c r="E6" s="48">
        <f t="shared" ref="E6:N6" si="0">SUM(E7:E8)</f>
        <v>212844</v>
      </c>
      <c r="F6" s="48">
        <f t="shared" si="0"/>
        <v>212844</v>
      </c>
      <c r="G6" s="48">
        <f t="shared" si="0"/>
        <v>212844</v>
      </c>
      <c r="H6" s="48">
        <f t="shared" si="0"/>
        <v>212844</v>
      </c>
      <c r="I6" s="48">
        <f t="shared" si="0"/>
        <v>212844</v>
      </c>
      <c r="J6" s="48">
        <f t="shared" si="0"/>
        <v>212844</v>
      </c>
      <c r="K6" s="48">
        <f t="shared" si="0"/>
        <v>212844</v>
      </c>
      <c r="L6" s="48">
        <f t="shared" si="0"/>
        <v>212844</v>
      </c>
      <c r="M6" s="48">
        <f t="shared" si="0"/>
        <v>212844</v>
      </c>
      <c r="N6" s="48">
        <f t="shared" si="0"/>
        <v>221646.68900038218</v>
      </c>
      <c r="Q6" s="85" t="s">
        <v>234</v>
      </c>
      <c r="R6" s="85"/>
      <c r="S6" s="48">
        <f>SUM(S7:S11)</f>
        <v>200489.37678305688</v>
      </c>
      <c r="T6" s="48">
        <f t="shared" ref="T6:AC6" si="1">SUM(T7:T11)</f>
        <v>212844</v>
      </c>
      <c r="U6" s="48">
        <f t="shared" si="1"/>
        <v>212844</v>
      </c>
      <c r="V6" s="48">
        <f t="shared" si="1"/>
        <v>212844</v>
      </c>
      <c r="W6" s="48">
        <f t="shared" si="1"/>
        <v>212844</v>
      </c>
      <c r="X6" s="48">
        <f t="shared" si="1"/>
        <v>212844</v>
      </c>
      <c r="Y6" s="48">
        <f t="shared" si="1"/>
        <v>212844</v>
      </c>
      <c r="Z6" s="48">
        <f t="shared" si="1"/>
        <v>212844</v>
      </c>
      <c r="AA6" s="48">
        <f t="shared" si="1"/>
        <v>212844</v>
      </c>
      <c r="AB6" s="48">
        <f t="shared" si="1"/>
        <v>212844</v>
      </c>
      <c r="AC6" s="48">
        <f t="shared" si="1"/>
        <v>221646.68900038218</v>
      </c>
    </row>
    <row r="7" spans="2:29" x14ac:dyDescent="0.3">
      <c r="B7" s="86" t="s">
        <v>180</v>
      </c>
      <c r="C7" s="86"/>
      <c r="D7" s="47"/>
      <c r="E7" s="47">
        <f>RDG!D5</f>
        <v>212844</v>
      </c>
      <c r="F7" s="47">
        <f>RDG!E5</f>
        <v>212844</v>
      </c>
      <c r="G7" s="47">
        <f>RDG!F5</f>
        <v>212844</v>
      </c>
      <c r="H7" s="47">
        <f>RDG!G5</f>
        <v>212844</v>
      </c>
      <c r="I7" s="47">
        <f>RDG!H5</f>
        <v>212844</v>
      </c>
      <c r="J7" s="47">
        <f>RDG!I5</f>
        <v>212844</v>
      </c>
      <c r="K7" s="47">
        <f>RDG!J5</f>
        <v>212844</v>
      </c>
      <c r="L7" s="47">
        <f>RDG!K5</f>
        <v>212844</v>
      </c>
      <c r="M7" s="47">
        <f>RDG!L5</f>
        <v>212844</v>
      </c>
      <c r="N7" s="47">
        <f>RDG!M5</f>
        <v>212844</v>
      </c>
      <c r="Q7" s="86" t="s">
        <v>180</v>
      </c>
      <c r="R7" s="86"/>
      <c r="S7" s="47">
        <v>0</v>
      </c>
      <c r="T7" s="47">
        <f>E7</f>
        <v>212844</v>
      </c>
      <c r="U7" s="47">
        <f t="shared" ref="U7:AC7" si="2">F7</f>
        <v>212844</v>
      </c>
      <c r="V7" s="47">
        <f t="shared" si="2"/>
        <v>212844</v>
      </c>
      <c r="W7" s="47">
        <f t="shared" si="2"/>
        <v>212844</v>
      </c>
      <c r="X7" s="47">
        <f t="shared" si="2"/>
        <v>212844</v>
      </c>
      <c r="Y7" s="47">
        <f t="shared" si="2"/>
        <v>212844</v>
      </c>
      <c r="Z7" s="47">
        <f t="shared" si="2"/>
        <v>212844</v>
      </c>
      <c r="AA7" s="47">
        <f t="shared" si="2"/>
        <v>212844</v>
      </c>
      <c r="AB7" s="47">
        <f t="shared" si="2"/>
        <v>212844</v>
      </c>
      <c r="AC7" s="47">
        <f t="shared" si="2"/>
        <v>212844</v>
      </c>
    </row>
    <row r="8" spans="2:29" x14ac:dyDescent="0.3">
      <c r="B8" s="86" t="s">
        <v>231</v>
      </c>
      <c r="C8" s="86"/>
      <c r="D8" s="57"/>
      <c r="E8" s="57"/>
      <c r="F8" s="57"/>
      <c r="G8" s="57"/>
      <c r="H8" s="57"/>
      <c r="I8" s="57"/>
      <c r="J8" s="57"/>
      <c r="K8" s="57"/>
      <c r="L8" s="57"/>
      <c r="M8" s="57"/>
      <c r="N8" s="47">
        <f>SUM(N9:N10)</f>
        <v>8802.6890003821645</v>
      </c>
      <c r="Q8" s="86" t="s">
        <v>260</v>
      </c>
      <c r="R8" s="86"/>
      <c r="S8" s="47">
        <f>SUM(S9:S10)</f>
        <v>100244.68839152844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</row>
    <row r="9" spans="2:29" x14ac:dyDescent="0.3">
      <c r="B9" s="86" t="s">
        <v>235</v>
      </c>
      <c r="C9" s="86"/>
      <c r="D9" s="57"/>
      <c r="E9" s="57"/>
      <c r="F9" s="57"/>
      <c r="G9" s="57"/>
      <c r="H9" s="57"/>
      <c r="I9" s="57"/>
      <c r="J9" s="57"/>
      <c r="K9" s="57"/>
      <c r="L9" s="57"/>
      <c r="M9" s="57"/>
      <c r="N9" s="47">
        <v>0</v>
      </c>
      <c r="Q9" s="86" t="s">
        <v>261</v>
      </c>
      <c r="R9" s="86"/>
      <c r="S9" s="47">
        <f>'INV+AM'!$E$9</f>
        <v>13894.68839152844</v>
      </c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2:29" x14ac:dyDescent="0.3">
      <c r="B10" s="86" t="s">
        <v>236</v>
      </c>
      <c r="C10" s="8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47">
        <f>TOBS!O28</f>
        <v>8802.6890003821645</v>
      </c>
      <c r="Q10" s="86" t="s">
        <v>146</v>
      </c>
      <c r="R10" s="86"/>
      <c r="S10" s="47">
        <f>'INV+AM'!$F$9</f>
        <v>86350</v>
      </c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2:29" x14ac:dyDescent="0.3">
      <c r="B11" s="85" t="s">
        <v>237</v>
      </c>
      <c r="C11" s="85"/>
      <c r="D11" s="48">
        <f>SUM(D12:D15)</f>
        <v>99709.688391528442</v>
      </c>
      <c r="E11" s="48">
        <f t="shared" ref="E11:N11" si="3">SUM(E12:E15)</f>
        <v>158393.69669021061</v>
      </c>
      <c r="F11" s="48">
        <f t="shared" si="3"/>
        <v>158423.79038248226</v>
      </c>
      <c r="G11" s="48">
        <f t="shared" si="3"/>
        <v>158455.11013820922</v>
      </c>
      <c r="H11" s="48">
        <f t="shared" si="3"/>
        <v>158298.22674244168</v>
      </c>
      <c r="I11" s="48">
        <f t="shared" si="3"/>
        <v>160795.37968200661</v>
      </c>
      <c r="J11" s="48">
        <f t="shared" si="3"/>
        <v>160830.68556175436</v>
      </c>
      <c r="K11" s="48">
        <f t="shared" si="3"/>
        <v>160867.42985751721</v>
      </c>
      <c r="L11" s="48">
        <f t="shared" si="3"/>
        <v>160905.67117258292</v>
      </c>
      <c r="M11" s="48">
        <f t="shared" si="3"/>
        <v>160945.47049782772</v>
      </c>
      <c r="N11" s="48">
        <f t="shared" si="3"/>
        <v>160955.51866717622</v>
      </c>
      <c r="Q11" s="97" t="s">
        <v>231</v>
      </c>
      <c r="R11" s="9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>
        <f>N8</f>
        <v>8802.6890003821645</v>
      </c>
    </row>
    <row r="12" spans="2:29" x14ac:dyDescent="0.3">
      <c r="B12" s="86" t="s">
        <v>238</v>
      </c>
      <c r="C12" s="86"/>
      <c r="D12" s="47">
        <f>'INV+AM'!$D$30</f>
        <v>90950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Q12" s="85" t="s">
        <v>237</v>
      </c>
      <c r="R12" s="85"/>
      <c r="S12" s="48">
        <f>SUM(S13:S17)</f>
        <v>99709.688391528442</v>
      </c>
      <c r="T12" s="48">
        <f t="shared" ref="T12:AC12" si="4">SUM(T13:T17)</f>
        <v>168884.71790685563</v>
      </c>
      <c r="U12" s="48">
        <f t="shared" si="4"/>
        <v>168914.81159912728</v>
      </c>
      <c r="V12" s="48">
        <f t="shared" si="4"/>
        <v>168946.13135485424</v>
      </c>
      <c r="W12" s="48">
        <f t="shared" si="4"/>
        <v>168789.2479590867</v>
      </c>
      <c r="X12" s="48">
        <f t="shared" si="4"/>
        <v>171286.40089865163</v>
      </c>
      <c r="Y12" s="48">
        <f t="shared" si="4"/>
        <v>171321.70677839938</v>
      </c>
      <c r="Z12" s="48">
        <f t="shared" si="4"/>
        <v>171358.45107416224</v>
      </c>
      <c r="AA12" s="48">
        <f t="shared" si="4"/>
        <v>171396.69238922794</v>
      </c>
      <c r="AB12" s="48">
        <f t="shared" si="4"/>
        <v>171436.49171447274</v>
      </c>
      <c r="AC12" s="48">
        <f t="shared" si="4"/>
        <v>171446.53988382124</v>
      </c>
    </row>
    <row r="13" spans="2:29" x14ac:dyDescent="0.3">
      <c r="B13" s="86" t="s">
        <v>239</v>
      </c>
      <c r="C13" s="86"/>
      <c r="D13" s="47">
        <f>TOBS!$F$28</f>
        <v>8759.6883915284398</v>
      </c>
      <c r="E13" s="47">
        <f>TOBS!G28-TOBS!F28</f>
        <v>21.901057061550091</v>
      </c>
      <c r="F13" s="47">
        <f>TOBS!H28-TOBS!G28</f>
        <v>22.793339917809135</v>
      </c>
      <c r="G13" s="47">
        <f>TOBS!I28-TOBS!H28</f>
        <v>23.721975754358937</v>
      </c>
      <c r="H13" s="47">
        <f>TOBS!J28-TOBS!I28</f>
        <v>-164.79072101897145</v>
      </c>
      <c r="I13" s="47">
        <f>TOBS!K28-TOBS!J28</f>
        <v>25.694291015674025</v>
      </c>
      <c r="J13" s="47">
        <f>TOBS!L28-TOBS!K28</f>
        <v>26.741116075883838</v>
      </c>
      <c r="K13" s="47">
        <f>TOBS!M28-TOBS!L28</f>
        <v>27.830590404211762</v>
      </c>
      <c r="L13" s="47">
        <f>TOBS!N28-TOBS!M28</f>
        <v>28.964451597648804</v>
      </c>
      <c r="M13" s="47">
        <f>TOBS!O28-TOBS!N28</f>
        <v>30.144508045559633</v>
      </c>
      <c r="N13" s="47"/>
      <c r="Q13" s="86" t="s">
        <v>238</v>
      </c>
      <c r="R13" s="86"/>
      <c r="S13" s="47">
        <f>'INV+AM'!$D$30</f>
        <v>90950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2:29" x14ac:dyDescent="0.3">
      <c r="B14" s="86" t="s">
        <v>240</v>
      </c>
      <c r="C14" s="86"/>
      <c r="D14" s="47"/>
      <c r="E14" s="47">
        <f>RDG!$D$6</f>
        <v>155215</v>
      </c>
      <c r="F14" s="47">
        <f>RDG!$D$6</f>
        <v>155215</v>
      </c>
      <c r="G14" s="47">
        <f>RDG!$D$6</f>
        <v>155215</v>
      </c>
      <c r="H14" s="47">
        <f>RDG!$D$6</f>
        <v>155215</v>
      </c>
      <c r="I14" s="47">
        <f>RDG!$D$6</f>
        <v>155215</v>
      </c>
      <c r="J14" s="47">
        <f>RDG!$D$6</f>
        <v>155215</v>
      </c>
      <c r="K14" s="47">
        <f>RDG!$D$6</f>
        <v>155215</v>
      </c>
      <c r="L14" s="47">
        <f>RDG!$D$6</f>
        <v>155215</v>
      </c>
      <c r="M14" s="47">
        <f>RDG!$D$6</f>
        <v>155215</v>
      </c>
      <c r="N14" s="47">
        <f>RDG!$D$6</f>
        <v>155215</v>
      </c>
      <c r="Q14" s="86" t="s">
        <v>239</v>
      </c>
      <c r="R14" s="86"/>
      <c r="S14" s="47">
        <f>TOBS!$F$28</f>
        <v>8759.6883915284398</v>
      </c>
      <c r="T14" s="47">
        <f>E13</f>
        <v>21.901057061550091</v>
      </c>
      <c r="U14" s="47">
        <f t="shared" ref="U14:AC14" si="5">F13</f>
        <v>22.793339917809135</v>
      </c>
      <c r="V14" s="47">
        <f t="shared" si="5"/>
        <v>23.721975754358937</v>
      </c>
      <c r="W14" s="47">
        <f t="shared" si="5"/>
        <v>-164.79072101897145</v>
      </c>
      <c r="X14" s="47">
        <f t="shared" si="5"/>
        <v>25.694291015674025</v>
      </c>
      <c r="Y14" s="47">
        <f t="shared" si="5"/>
        <v>26.741116075883838</v>
      </c>
      <c r="Z14" s="47">
        <f t="shared" si="5"/>
        <v>27.830590404211762</v>
      </c>
      <c r="AA14" s="47">
        <f t="shared" si="5"/>
        <v>28.964451597648804</v>
      </c>
      <c r="AB14" s="47">
        <f t="shared" si="5"/>
        <v>30.144508045559633</v>
      </c>
      <c r="AC14" s="47">
        <f t="shared" si="5"/>
        <v>0</v>
      </c>
    </row>
    <row r="15" spans="2:29" x14ac:dyDescent="0.3">
      <c r="B15" s="86" t="s">
        <v>111</v>
      </c>
      <c r="C15" s="86"/>
      <c r="D15" s="47"/>
      <c r="E15" s="51">
        <f>RDG!D$17</f>
        <v>3156.7956331490309</v>
      </c>
      <c r="F15" s="51">
        <f>RDG!E$17</f>
        <v>3185.997042564431</v>
      </c>
      <c r="G15" s="51">
        <f>RDG!F$17</f>
        <v>3216.3881624548435</v>
      </c>
      <c r="H15" s="51">
        <f>RDG!G$17</f>
        <v>3248.0174634606551</v>
      </c>
      <c r="I15" s="51">
        <f>RDG!H$17</f>
        <v>5554.685390990915</v>
      </c>
      <c r="J15" s="51">
        <f>RDG!I$17</f>
        <v>5588.9444456784813</v>
      </c>
      <c r="K15" s="51">
        <f>RDG!J$17</f>
        <v>5624.5992671129934</v>
      </c>
      <c r="L15" s="51">
        <f>RDG!K$17</f>
        <v>5661.7067209852748</v>
      </c>
      <c r="M15" s="51">
        <f>RDG!L$17</f>
        <v>5700.3259897821381</v>
      </c>
      <c r="N15" s="51">
        <f>RDG!M$17</f>
        <v>5740.5186671762203</v>
      </c>
      <c r="Q15" s="86" t="s">
        <v>240</v>
      </c>
      <c r="R15" s="86"/>
      <c r="S15" s="47"/>
      <c r="T15" s="51">
        <f>RDG!$D$6</f>
        <v>155215</v>
      </c>
      <c r="U15" s="51">
        <f>RDG!$D$6</f>
        <v>155215</v>
      </c>
      <c r="V15" s="51">
        <f>RDG!$D$6</f>
        <v>155215</v>
      </c>
      <c r="W15" s="51">
        <f>RDG!$D$6</f>
        <v>155215</v>
      </c>
      <c r="X15" s="51">
        <f>RDG!$D$6</f>
        <v>155215</v>
      </c>
      <c r="Y15" s="51">
        <f>RDG!$D$6</f>
        <v>155215</v>
      </c>
      <c r="Z15" s="51">
        <f>RDG!$D$6</f>
        <v>155215</v>
      </c>
      <c r="AA15" s="51">
        <f>RDG!$D$6</f>
        <v>155215</v>
      </c>
      <c r="AB15" s="51">
        <f>RDG!$D$6</f>
        <v>155215</v>
      </c>
      <c r="AC15" s="51">
        <f>RDG!$D$6</f>
        <v>155215</v>
      </c>
    </row>
    <row r="16" spans="2:29" x14ac:dyDescent="0.3">
      <c r="B16" s="85" t="s">
        <v>241</v>
      </c>
      <c r="C16" s="85"/>
      <c r="D16" s="48">
        <f>D6-D11</f>
        <v>-99709.688391528442</v>
      </c>
      <c r="E16" s="48">
        <f t="shared" ref="E16:N16" si="6">E6-E11</f>
        <v>54450.303309789393</v>
      </c>
      <c r="F16" s="48">
        <f t="shared" si="6"/>
        <v>54420.209617517743</v>
      </c>
      <c r="G16" s="48">
        <f t="shared" si="6"/>
        <v>54388.889861790783</v>
      </c>
      <c r="H16" s="48">
        <f t="shared" si="6"/>
        <v>54545.773257558321</v>
      </c>
      <c r="I16" s="48">
        <f t="shared" si="6"/>
        <v>52048.620317993395</v>
      </c>
      <c r="J16" s="48">
        <f t="shared" si="6"/>
        <v>52013.314438245638</v>
      </c>
      <c r="K16" s="48">
        <f t="shared" si="6"/>
        <v>51976.570142482786</v>
      </c>
      <c r="L16" s="48">
        <f t="shared" si="6"/>
        <v>51938.328827417077</v>
      </c>
      <c r="M16" s="48">
        <f t="shared" si="6"/>
        <v>51898.529502172285</v>
      </c>
      <c r="N16" s="48">
        <f t="shared" si="6"/>
        <v>60691.170333205955</v>
      </c>
      <c r="Q16" s="97" t="s">
        <v>111</v>
      </c>
      <c r="R16" s="97"/>
      <c r="S16" s="51"/>
      <c r="T16" s="51">
        <f>RDG!D$17</f>
        <v>3156.7956331490309</v>
      </c>
      <c r="U16" s="51">
        <f>RDG!E$17</f>
        <v>3185.997042564431</v>
      </c>
      <c r="V16" s="51">
        <f>RDG!F$17</f>
        <v>3216.3881624548435</v>
      </c>
      <c r="W16" s="51">
        <f>RDG!G$17</f>
        <v>3248.0174634606551</v>
      </c>
      <c r="X16" s="51">
        <f>RDG!H$17</f>
        <v>5554.685390990915</v>
      </c>
      <c r="Y16" s="51">
        <f>RDG!I$17</f>
        <v>5588.9444456784813</v>
      </c>
      <c r="Z16" s="51">
        <f>RDG!J$17</f>
        <v>5624.5992671129934</v>
      </c>
      <c r="AA16" s="51">
        <f>RDG!K$17</f>
        <v>5661.7067209852748</v>
      </c>
      <c r="AB16" s="51">
        <f>RDG!L$17</f>
        <v>5700.3259897821381</v>
      </c>
      <c r="AC16" s="51">
        <f>RDG!M$17</f>
        <v>5740.5186671762203</v>
      </c>
    </row>
    <row r="17" spans="2:29" x14ac:dyDescent="0.3">
      <c r="B17" s="85" t="s">
        <v>242</v>
      </c>
      <c r="C17" s="85"/>
      <c r="D17" s="48">
        <f>D16</f>
        <v>-99709.688391528442</v>
      </c>
      <c r="E17" s="48">
        <f>D17+E16</f>
        <v>-45259.385081739048</v>
      </c>
      <c r="F17" s="48">
        <f t="shared" ref="F17:N17" si="7">E17+F16</f>
        <v>9160.8245357786946</v>
      </c>
      <c r="G17" s="48">
        <f t="shared" si="7"/>
        <v>63549.714397569478</v>
      </c>
      <c r="H17" s="48">
        <f t="shared" si="7"/>
        <v>118095.4876551278</v>
      </c>
      <c r="I17" s="48">
        <f t="shared" si="7"/>
        <v>170144.10797312119</v>
      </c>
      <c r="J17" s="48">
        <f t="shared" si="7"/>
        <v>222157.42241136683</v>
      </c>
      <c r="K17" s="48">
        <f t="shared" si="7"/>
        <v>274133.99255384959</v>
      </c>
      <c r="L17" s="48">
        <f t="shared" si="7"/>
        <v>326072.32138126669</v>
      </c>
      <c r="M17" s="48">
        <f t="shared" si="7"/>
        <v>377970.85088343895</v>
      </c>
      <c r="N17" s="48">
        <f t="shared" si="7"/>
        <v>438662.02121664491</v>
      </c>
      <c r="Q17" s="97" t="s">
        <v>189</v>
      </c>
      <c r="R17" s="97"/>
      <c r="S17" s="51"/>
      <c r="T17" s="51">
        <f>Kredit!$G$5</f>
        <v>10491.02121664502</v>
      </c>
      <c r="U17" s="51">
        <f>Kredit!$G$5</f>
        <v>10491.02121664502</v>
      </c>
      <c r="V17" s="51">
        <f>Kredit!$G$5</f>
        <v>10491.02121664502</v>
      </c>
      <c r="W17" s="51">
        <f>Kredit!$G$5</f>
        <v>10491.02121664502</v>
      </c>
      <c r="X17" s="51">
        <f>Kredit!$G$5</f>
        <v>10491.02121664502</v>
      </c>
      <c r="Y17" s="51">
        <f>Kredit!$G$5</f>
        <v>10491.02121664502</v>
      </c>
      <c r="Z17" s="51">
        <f>Kredit!$G$5</f>
        <v>10491.02121664502</v>
      </c>
      <c r="AA17" s="51">
        <f>Kredit!$G$5</f>
        <v>10491.02121664502</v>
      </c>
      <c r="AB17" s="51">
        <f>Kredit!$G$5</f>
        <v>10491.02121664502</v>
      </c>
      <c r="AC17" s="51">
        <f>Kredit!$G$5</f>
        <v>10491.02121664502</v>
      </c>
    </row>
    <row r="18" spans="2:29" x14ac:dyDescent="0.3">
      <c r="Q18" s="85" t="s">
        <v>241</v>
      </c>
      <c r="R18" s="85"/>
      <c r="S18" s="48">
        <f>S6-S12</f>
        <v>100779.68839152844</v>
      </c>
      <c r="T18" s="48">
        <f t="shared" ref="T18:AC18" si="8">T6-T12</f>
        <v>43959.282093144371</v>
      </c>
      <c r="U18" s="48">
        <f t="shared" si="8"/>
        <v>43929.188400872721</v>
      </c>
      <c r="V18" s="48">
        <f t="shared" si="8"/>
        <v>43897.868645145762</v>
      </c>
      <c r="W18" s="48">
        <f t="shared" si="8"/>
        <v>44054.752040913299</v>
      </c>
      <c r="X18" s="48">
        <f t="shared" si="8"/>
        <v>41557.599101348373</v>
      </c>
      <c r="Y18" s="48">
        <f t="shared" si="8"/>
        <v>41522.293221600616</v>
      </c>
      <c r="Z18" s="48">
        <f t="shared" si="8"/>
        <v>41485.548925837764</v>
      </c>
      <c r="AA18" s="48">
        <f t="shared" si="8"/>
        <v>41447.307610772055</v>
      </c>
      <c r="AB18" s="48">
        <f t="shared" si="8"/>
        <v>41407.508285527263</v>
      </c>
      <c r="AC18" s="48">
        <f t="shared" si="8"/>
        <v>50200.149116560933</v>
      </c>
    </row>
    <row r="19" spans="2:29" x14ac:dyDescent="0.3">
      <c r="Q19" s="85" t="s">
        <v>242</v>
      </c>
      <c r="R19" s="85"/>
      <c r="S19" s="48">
        <f>S18</f>
        <v>100779.68839152844</v>
      </c>
      <c r="T19" s="48">
        <f>S19+T18</f>
        <v>144738.97048467281</v>
      </c>
      <c r="U19" s="48">
        <f t="shared" ref="U19:AC19" si="9">T19+U18</f>
        <v>188668.15888554553</v>
      </c>
      <c r="V19" s="48">
        <f t="shared" si="9"/>
        <v>232566.0275306913</v>
      </c>
      <c r="W19" s="48">
        <f t="shared" si="9"/>
        <v>276620.77957160457</v>
      </c>
      <c r="X19" s="48">
        <f t="shared" si="9"/>
        <v>318178.37867295294</v>
      </c>
      <c r="Y19" s="48">
        <f t="shared" si="9"/>
        <v>359700.67189455358</v>
      </c>
      <c r="Z19" s="48">
        <f t="shared" si="9"/>
        <v>401186.22082039132</v>
      </c>
      <c r="AA19" s="48">
        <f t="shared" si="9"/>
        <v>442633.5284311634</v>
      </c>
      <c r="AB19" s="48">
        <f t="shared" si="9"/>
        <v>484041.03671669064</v>
      </c>
      <c r="AC19" s="48">
        <f t="shared" si="9"/>
        <v>534241.18583325157</v>
      </c>
    </row>
    <row r="20" spans="2:29" x14ac:dyDescent="0.3">
      <c r="B20" s="85" t="s">
        <v>243</v>
      </c>
      <c r="C20" s="85"/>
      <c r="D20" s="73">
        <f>E5+(-E17)/F16</f>
        <v>1.831665026647934</v>
      </c>
    </row>
    <row r="22" spans="2:29" ht="31.2" customHeight="1" x14ac:dyDescent="0.3">
      <c r="B22" s="88" t="s">
        <v>246</v>
      </c>
      <c r="C22" s="88"/>
      <c r="D22" s="88"/>
      <c r="E22" s="88"/>
      <c r="F22" s="74" t="s">
        <v>253</v>
      </c>
      <c r="G22" s="75">
        <v>0.04</v>
      </c>
    </row>
    <row r="23" spans="2:29" x14ac:dyDescent="0.3">
      <c r="B23" s="85" t="s">
        <v>247</v>
      </c>
      <c r="C23" s="85"/>
      <c r="D23" s="14">
        <v>0</v>
      </c>
      <c r="E23" s="14">
        <v>1</v>
      </c>
      <c r="F23" s="14">
        <v>2</v>
      </c>
      <c r="G23" s="14">
        <v>3</v>
      </c>
      <c r="H23" s="14">
        <v>4</v>
      </c>
      <c r="I23" s="14">
        <v>5</v>
      </c>
      <c r="J23" s="14">
        <v>6</v>
      </c>
      <c r="K23" s="14">
        <v>7</v>
      </c>
      <c r="L23" s="14">
        <v>8</v>
      </c>
      <c r="M23" s="14">
        <v>9</v>
      </c>
      <c r="N23" s="14">
        <v>10</v>
      </c>
    </row>
    <row r="24" spans="2:29" x14ac:dyDescent="0.3">
      <c r="B24" s="86" t="s">
        <v>248</v>
      </c>
      <c r="C24" s="86"/>
      <c r="D24" s="76">
        <f>1/(1+$G$22)^D23</f>
        <v>1</v>
      </c>
      <c r="E24" s="76">
        <f>ROUND(1/(1+$G$22)^E23,4)</f>
        <v>0.96150000000000002</v>
      </c>
      <c r="F24" s="76">
        <f t="shared" ref="F24" si="10">1/(1+$G$22)^F23</f>
        <v>0.92455621301775137</v>
      </c>
      <c r="G24" s="76">
        <f t="shared" ref="G24" si="11">ROUND(1/(1+$G$22)^G23,4)</f>
        <v>0.88900000000000001</v>
      </c>
      <c r="H24" s="76">
        <f t="shared" ref="H24" si="12">1/(1+$G$22)^H23</f>
        <v>0.85480419102972571</v>
      </c>
      <c r="I24" s="76">
        <f t="shared" ref="I24" si="13">ROUND(1/(1+$G$22)^I23,4)</f>
        <v>0.82189999999999996</v>
      </c>
      <c r="J24" s="76">
        <f t="shared" ref="J24" si="14">1/(1+$G$22)^J23</f>
        <v>0.79031452573014571</v>
      </c>
      <c r="K24" s="76">
        <f t="shared" ref="K24" si="15">ROUND(1/(1+$G$22)^K23,4)</f>
        <v>0.75990000000000002</v>
      </c>
      <c r="L24" s="76">
        <f t="shared" ref="L24" si="16">1/(1+$G$22)^L23</f>
        <v>0.73069020500198378</v>
      </c>
      <c r="M24" s="76">
        <f t="shared" ref="M24" si="17">ROUND(1/(1+$G$22)^M23,4)</f>
        <v>0.7026</v>
      </c>
      <c r="N24" s="76">
        <f t="shared" ref="N24" si="18">1/(1+$G$22)^N23</f>
        <v>0.67556416882579851</v>
      </c>
    </row>
    <row r="25" spans="2:29" x14ac:dyDescent="0.3">
      <c r="B25" s="86" t="s">
        <v>249</v>
      </c>
      <c r="C25" s="86"/>
      <c r="D25" s="47">
        <f>D16*D24</f>
        <v>-99709.688391528442</v>
      </c>
      <c r="E25" s="47">
        <f t="shared" ref="E25:N25" si="19">E16*E24</f>
        <v>52353.966632362506</v>
      </c>
      <c r="F25" s="47">
        <f t="shared" si="19"/>
        <v>50314.542915604419</v>
      </c>
      <c r="G25" s="47">
        <f t="shared" si="19"/>
        <v>48351.723087132006</v>
      </c>
      <c r="H25" s="47">
        <f t="shared" si="19"/>
        <v>46625.955583517985</v>
      </c>
      <c r="I25" s="47">
        <f t="shared" si="19"/>
        <v>42778.761039358767</v>
      </c>
      <c r="J25" s="47">
        <f t="shared" si="19"/>
        <v>41106.877931915042</v>
      </c>
      <c r="K25" s="47">
        <f t="shared" si="19"/>
        <v>39496.995651272671</v>
      </c>
      <c r="L25" s="47">
        <f t="shared" si="19"/>
        <v>37950.828138365825</v>
      </c>
      <c r="M25" s="47">
        <f t="shared" si="19"/>
        <v>36463.906828226245</v>
      </c>
      <c r="N25" s="47">
        <f t="shared" si="19"/>
        <v>41000.780041217244</v>
      </c>
    </row>
    <row r="26" spans="2:29" x14ac:dyDescent="0.3">
      <c r="B26" s="85" t="s">
        <v>250</v>
      </c>
      <c r="C26" s="85"/>
      <c r="D26" s="48">
        <f>D25</f>
        <v>-99709.688391528442</v>
      </c>
      <c r="E26" s="48">
        <f>D26+E25</f>
        <v>-47355.721759165936</v>
      </c>
      <c r="F26" s="48">
        <f t="shared" ref="F26:N26" si="20">E26+F25</f>
        <v>2958.8211564384837</v>
      </c>
      <c r="G26" s="48">
        <f t="shared" si="20"/>
        <v>51310.54424357049</v>
      </c>
      <c r="H26" s="48">
        <f t="shared" si="20"/>
        <v>97936.499827088468</v>
      </c>
      <c r="I26" s="48">
        <f t="shared" si="20"/>
        <v>140715.26086644724</v>
      </c>
      <c r="J26" s="48">
        <f t="shared" si="20"/>
        <v>181822.13879836228</v>
      </c>
      <c r="K26" s="48">
        <f t="shared" si="20"/>
        <v>221319.13444963496</v>
      </c>
      <c r="L26" s="48">
        <f t="shared" si="20"/>
        <v>259269.96258800078</v>
      </c>
      <c r="M26" s="48">
        <f t="shared" si="20"/>
        <v>295733.86941622704</v>
      </c>
      <c r="N26" s="48">
        <f t="shared" si="20"/>
        <v>336734.64945744426</v>
      </c>
    </row>
    <row r="28" spans="2:29" x14ac:dyDescent="0.3">
      <c r="B28" s="85" t="s">
        <v>251</v>
      </c>
      <c r="C28" s="85"/>
      <c r="D28" s="85"/>
      <c r="E28" s="73">
        <f>E23+(-E26)/F25</f>
        <v>1.9411935201040882</v>
      </c>
    </row>
    <row r="31" spans="2:29" x14ac:dyDescent="0.3">
      <c r="B31" s="23" t="s">
        <v>252</v>
      </c>
      <c r="C31" s="26">
        <f>SUM(D25:N25)</f>
        <v>336734.64945744426</v>
      </c>
    </row>
    <row r="32" spans="2:29" x14ac:dyDescent="0.3">
      <c r="B32" s="57" t="s">
        <v>254</v>
      </c>
      <c r="C32" s="47">
        <f>NPV(G22,E16:N16)-D11</f>
        <v>336738.19398665137</v>
      </c>
    </row>
    <row r="34" spans="2:14" x14ac:dyDescent="0.3">
      <c r="B34" s="23" t="s">
        <v>255</v>
      </c>
      <c r="C34" s="77">
        <f>IRR(D16:N16)</f>
        <v>0.53506707287481725</v>
      </c>
    </row>
    <row r="36" spans="2:14" ht="28.8" x14ac:dyDescent="0.3">
      <c r="B36" s="88" t="s">
        <v>256</v>
      </c>
      <c r="C36" s="88"/>
      <c r="D36" s="88"/>
      <c r="E36" s="88"/>
      <c r="F36" s="74" t="s">
        <v>253</v>
      </c>
      <c r="G36" s="78">
        <f>C34</f>
        <v>0.53506707287481725</v>
      </c>
    </row>
    <row r="37" spans="2:14" x14ac:dyDescent="0.3">
      <c r="B37" s="85" t="s">
        <v>247</v>
      </c>
      <c r="C37" s="85"/>
      <c r="D37" s="14">
        <v>0</v>
      </c>
      <c r="E37" s="14">
        <v>1</v>
      </c>
      <c r="F37" s="14">
        <v>2</v>
      </c>
      <c r="G37" s="14">
        <v>3</v>
      </c>
      <c r="H37" s="14">
        <v>4</v>
      </c>
      <c r="I37" s="14">
        <v>5</v>
      </c>
      <c r="J37" s="14">
        <v>6</v>
      </c>
      <c r="K37" s="14">
        <v>7</v>
      </c>
      <c r="L37" s="14">
        <v>8</v>
      </c>
      <c r="M37" s="14">
        <v>9</v>
      </c>
      <c r="N37" s="14">
        <v>10</v>
      </c>
    </row>
    <row r="38" spans="2:14" x14ac:dyDescent="0.3">
      <c r="B38" s="86" t="s">
        <v>248</v>
      </c>
      <c r="C38" s="86"/>
      <c r="D38" s="76">
        <f>1/(1+$G$36)^D37</f>
        <v>1</v>
      </c>
      <c r="E38" s="76">
        <f t="shared" ref="E38:N38" si="21">1/(1+$G$36)^E37</f>
        <v>0.65143733304580409</v>
      </c>
      <c r="F38" s="76">
        <f t="shared" si="21"/>
        <v>0.4243705988858299</v>
      </c>
      <c r="G38" s="76">
        <f t="shared" si="21"/>
        <v>0.27645085116123574</v>
      </c>
      <c r="H38" s="76">
        <f t="shared" si="21"/>
        <v>0.18009040519871794</v>
      </c>
      <c r="I38" s="76">
        <f t="shared" si="21"/>
        <v>0.11731761326979102</v>
      </c>
      <c r="J38" s="76">
        <f t="shared" si="21"/>
        <v>7.6425073107771704E-2</v>
      </c>
      <c r="K38" s="76">
        <f t="shared" si="21"/>
        <v>4.9786145803157399E-2</v>
      </c>
      <c r="L38" s="76">
        <f t="shared" si="21"/>
        <v>3.2432554044638413E-2</v>
      </c>
      <c r="M38" s="76">
        <f t="shared" si="21"/>
        <v>2.1127776510703154E-2</v>
      </c>
      <c r="N38" s="76">
        <f t="shared" si="21"/>
        <v>1.376342238332025E-2</v>
      </c>
    </row>
    <row r="39" spans="2:14" x14ac:dyDescent="0.3">
      <c r="B39" s="86" t="s">
        <v>249</v>
      </c>
      <c r="C39" s="86"/>
      <c r="D39" s="47">
        <f>D16*D38</f>
        <v>-99709.688391528442</v>
      </c>
      <c r="E39" s="47">
        <f>E16*E38</f>
        <v>35470.960371664325</v>
      </c>
      <c r="F39" s="47">
        <f t="shared" ref="F39:N39" si="22">F16*F38</f>
        <v>23094.336946878404</v>
      </c>
      <c r="G39" s="47">
        <f t="shared" si="22"/>
        <v>15035.854896006767</v>
      </c>
      <c r="H39" s="47">
        <f t="shared" si="22"/>
        <v>9823.1704078310704</v>
      </c>
      <c r="I39" s="47">
        <f t="shared" si="22"/>
        <v>6106.2199096925369</v>
      </c>
      <c r="J39" s="47">
        <f t="shared" si="22"/>
        <v>3975.1213585204405</v>
      </c>
      <c r="K39" s="47">
        <f t="shared" si="22"/>
        <v>2587.7130994616855</v>
      </c>
      <c r="L39" s="47">
        <f t="shared" si="22"/>
        <v>1684.4926566834056</v>
      </c>
      <c r="M39" s="47">
        <f t="shared" si="22"/>
        <v>1096.5005325560303</v>
      </c>
      <c r="N39" s="47">
        <f t="shared" si="22"/>
        <v>835.31821223394877</v>
      </c>
    </row>
    <row r="40" spans="2:14" x14ac:dyDescent="0.3">
      <c r="B40" s="85" t="s">
        <v>250</v>
      </c>
      <c r="C40" s="85"/>
      <c r="D40" s="48">
        <f>D39</f>
        <v>-99709.688391528442</v>
      </c>
      <c r="E40" s="48">
        <f>D40+E39</f>
        <v>-64238.728019864117</v>
      </c>
      <c r="F40" s="48">
        <f t="shared" ref="F40" si="23">E40+F39</f>
        <v>-41144.391072985716</v>
      </c>
      <c r="G40" s="48">
        <f t="shared" ref="G40" si="24">F40+G39</f>
        <v>-26108.536176978949</v>
      </c>
      <c r="H40" s="48">
        <f t="shared" ref="H40" si="25">G40+H39</f>
        <v>-16285.365769147878</v>
      </c>
      <c r="I40" s="48">
        <f t="shared" ref="I40" si="26">H40+I39</f>
        <v>-10179.145859455341</v>
      </c>
      <c r="J40" s="48">
        <f t="shared" ref="J40" si="27">I40+J39</f>
        <v>-6204.0245009349001</v>
      </c>
      <c r="K40" s="48">
        <f t="shared" ref="K40" si="28">J40+K39</f>
        <v>-3616.3114014732146</v>
      </c>
      <c r="L40" s="48">
        <f t="shared" ref="L40" si="29">K40+L39</f>
        <v>-1931.818744789809</v>
      </c>
      <c r="M40" s="48">
        <f t="shared" ref="M40" si="30">L40+M39</f>
        <v>-835.3182122337787</v>
      </c>
      <c r="N40" s="48">
        <f t="shared" ref="N40" si="31">M40+N39</f>
        <v>1.7007550923153758E-10</v>
      </c>
    </row>
    <row r="43" spans="2:14" x14ac:dyDescent="0.3">
      <c r="B43" s="23" t="s">
        <v>257</v>
      </c>
      <c r="C43" s="79">
        <f>C44/C45</f>
        <v>4.3771507552525248</v>
      </c>
    </row>
    <row r="44" spans="2:14" x14ac:dyDescent="0.3">
      <c r="B44" s="57" t="s">
        <v>259</v>
      </c>
      <c r="C44" s="47">
        <f>SUM(E25:N25)</f>
        <v>436444.33784897265</v>
      </c>
    </row>
    <row r="45" spans="2:14" x14ac:dyDescent="0.3">
      <c r="B45" s="57" t="s">
        <v>258</v>
      </c>
      <c r="C45" s="47">
        <f>D11</f>
        <v>99709.688391528442</v>
      </c>
    </row>
  </sheetData>
  <mergeCells count="46">
    <mergeCell ref="B2:C2"/>
    <mergeCell ref="B4:C4"/>
    <mergeCell ref="B5:C5"/>
    <mergeCell ref="B6:C6"/>
    <mergeCell ref="B7:C7"/>
    <mergeCell ref="B17:C17"/>
    <mergeCell ref="B20:C20"/>
    <mergeCell ref="Q3:R3"/>
    <mergeCell ref="Q4:R4"/>
    <mergeCell ref="Q5:R5"/>
    <mergeCell ref="Q6:R6"/>
    <mergeCell ref="Q7:R7"/>
    <mergeCell ref="B8:C8"/>
    <mergeCell ref="B9:C9"/>
    <mergeCell ref="B10:C10"/>
    <mergeCell ref="B11:C11"/>
    <mergeCell ref="B12:C12"/>
    <mergeCell ref="B13:C13"/>
    <mergeCell ref="B3:C3"/>
    <mergeCell ref="Q12:R12"/>
    <mergeCell ref="Q13:R13"/>
    <mergeCell ref="B14:C14"/>
    <mergeCell ref="B15:C15"/>
    <mergeCell ref="B16:C16"/>
    <mergeCell ref="Q2:R2"/>
    <mergeCell ref="Q8:R8"/>
    <mergeCell ref="Q9:R9"/>
    <mergeCell ref="Q10:R10"/>
    <mergeCell ref="Q11:R11"/>
    <mergeCell ref="Q14:R14"/>
    <mergeCell ref="Q15:R15"/>
    <mergeCell ref="Q16:R16"/>
    <mergeCell ref="Q17:R17"/>
    <mergeCell ref="Q18:R18"/>
    <mergeCell ref="B40:C40"/>
    <mergeCell ref="B22:E22"/>
    <mergeCell ref="B23:C23"/>
    <mergeCell ref="B24:C24"/>
    <mergeCell ref="B25:C25"/>
    <mergeCell ref="B26:C26"/>
    <mergeCell ref="B28:D28"/>
    <mergeCell ref="Q19:R19"/>
    <mergeCell ref="B36:E36"/>
    <mergeCell ref="B37:C37"/>
    <mergeCell ref="B38:C38"/>
    <mergeCell ref="B39:C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649F-FBB4-4D05-8510-45B3D0B87FDB}">
  <dimension ref="C3:O28"/>
  <sheetViews>
    <sheetView workbookViewId="0">
      <selection activeCell="F28" sqref="F28"/>
    </sheetView>
  </sheetViews>
  <sheetFormatPr defaultRowHeight="14.4" x14ac:dyDescent="0.3"/>
  <cols>
    <col min="3" max="3" width="23.88671875" bestFit="1" customWidth="1"/>
    <col min="4" max="4" width="5.33203125" customWidth="1"/>
    <col min="5" max="5" width="5.5546875" customWidth="1"/>
    <col min="6" max="15" width="12.77734375" bestFit="1" customWidth="1"/>
  </cols>
  <sheetData>
    <row r="3" spans="3:15" x14ac:dyDescent="0.3">
      <c r="C3" s="8" t="s">
        <v>41</v>
      </c>
      <c r="D3" s="8"/>
      <c r="E3" s="8"/>
      <c r="F3" s="8">
        <v>2025</v>
      </c>
      <c r="G3" s="8">
        <v>2026</v>
      </c>
      <c r="H3" s="8">
        <v>2027</v>
      </c>
      <c r="I3" s="8">
        <v>2028</v>
      </c>
      <c r="J3" s="8">
        <v>2029</v>
      </c>
      <c r="K3" s="8">
        <v>2030</v>
      </c>
      <c r="L3" s="8">
        <v>2031</v>
      </c>
      <c r="M3" s="8">
        <v>2032</v>
      </c>
      <c r="N3" s="8">
        <v>2033</v>
      </c>
      <c r="O3" s="8">
        <v>2034</v>
      </c>
    </row>
    <row r="4" spans="3:15" x14ac:dyDescent="0.3">
      <c r="C4" s="8" t="s">
        <v>42</v>
      </c>
      <c r="D4" s="8" t="s">
        <v>43</v>
      </c>
      <c r="E4" s="8" t="s">
        <v>44</v>
      </c>
      <c r="F4" s="25" t="s">
        <v>45</v>
      </c>
      <c r="G4" s="25" t="s">
        <v>45</v>
      </c>
      <c r="H4" s="25" t="s">
        <v>45</v>
      </c>
      <c r="I4" s="25" t="s">
        <v>45</v>
      </c>
      <c r="J4" s="25" t="s">
        <v>45</v>
      </c>
      <c r="K4" s="25" t="s">
        <v>45</v>
      </c>
      <c r="L4" s="25" t="s">
        <v>45</v>
      </c>
      <c r="M4" s="25" t="s">
        <v>45</v>
      </c>
      <c r="N4" s="25" t="s">
        <v>45</v>
      </c>
      <c r="O4" s="25" t="s">
        <v>45</v>
      </c>
    </row>
    <row r="5" spans="3:15" x14ac:dyDescent="0.3">
      <c r="C5" s="24" t="s">
        <v>105</v>
      </c>
      <c r="D5" s="24">
        <v>30</v>
      </c>
      <c r="E5" s="24">
        <v>12</v>
      </c>
      <c r="F5" s="51">
        <v>4419</v>
      </c>
      <c r="G5" s="51">
        <v>4419</v>
      </c>
      <c r="H5" s="51">
        <v>4419</v>
      </c>
      <c r="I5" s="51">
        <v>4419</v>
      </c>
      <c r="J5" s="51">
        <v>4419</v>
      </c>
      <c r="K5" s="51">
        <v>4419</v>
      </c>
      <c r="L5" s="51">
        <v>4419</v>
      </c>
      <c r="M5" s="51">
        <v>4419</v>
      </c>
      <c r="N5" s="51">
        <v>4419</v>
      </c>
      <c r="O5" s="51">
        <v>4419</v>
      </c>
    </row>
    <row r="6" spans="3:15" x14ac:dyDescent="0.3">
      <c r="C6" s="24" t="s">
        <v>106</v>
      </c>
      <c r="D6" s="24">
        <v>30</v>
      </c>
      <c r="E6" s="24">
        <v>12</v>
      </c>
      <c r="F6" s="51">
        <v>212844</v>
      </c>
      <c r="G6" s="51">
        <v>212844</v>
      </c>
      <c r="H6" s="51">
        <v>212844</v>
      </c>
      <c r="I6" s="51">
        <v>212844</v>
      </c>
      <c r="J6" s="51">
        <v>212844</v>
      </c>
      <c r="K6" s="51">
        <v>212844</v>
      </c>
      <c r="L6" s="51">
        <v>212844</v>
      </c>
      <c r="M6" s="51">
        <v>212844</v>
      </c>
      <c r="N6" s="51">
        <v>212844</v>
      </c>
      <c r="O6" s="51">
        <v>212844</v>
      </c>
    </row>
    <row r="7" spans="3:15" x14ac:dyDescent="0.3">
      <c r="C7" s="24" t="s">
        <v>107</v>
      </c>
      <c r="D7" s="24">
        <v>2</v>
      </c>
      <c r="E7" s="24">
        <v>180</v>
      </c>
      <c r="F7" s="51">
        <v>212844</v>
      </c>
      <c r="G7" s="51">
        <v>212844</v>
      </c>
      <c r="H7" s="51">
        <v>212844</v>
      </c>
      <c r="I7" s="51">
        <v>212844</v>
      </c>
      <c r="J7" s="51">
        <v>212844</v>
      </c>
      <c r="K7" s="51">
        <v>212844</v>
      </c>
      <c r="L7" s="51">
        <v>212844</v>
      </c>
      <c r="M7" s="51">
        <v>212844</v>
      </c>
      <c r="N7" s="51">
        <v>212844</v>
      </c>
      <c r="O7" s="51">
        <v>212844</v>
      </c>
    </row>
    <row r="8" spans="3:15" x14ac:dyDescent="0.3">
      <c r="C8" s="24" t="s">
        <v>108</v>
      </c>
      <c r="D8" s="24"/>
      <c r="E8" s="24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3:15" x14ac:dyDescent="0.3">
      <c r="C9" s="24" t="s">
        <v>109</v>
      </c>
      <c r="D9" s="24">
        <v>30</v>
      </c>
      <c r="E9" s="24">
        <v>12</v>
      </c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3:15" x14ac:dyDescent="0.3">
      <c r="C10" s="24" t="s">
        <v>110</v>
      </c>
      <c r="D10" s="24">
        <v>30</v>
      </c>
      <c r="E10" s="24">
        <v>12</v>
      </c>
      <c r="F10" s="51">
        <v>119856</v>
      </c>
      <c r="G10" s="51">
        <v>119856</v>
      </c>
      <c r="H10" s="51">
        <v>119856</v>
      </c>
      <c r="I10" s="51">
        <v>119856</v>
      </c>
      <c r="J10" s="51">
        <v>119856</v>
      </c>
      <c r="K10" s="51">
        <v>119856</v>
      </c>
      <c r="L10" s="51">
        <v>119856</v>
      </c>
      <c r="M10" s="51">
        <v>119856</v>
      </c>
      <c r="N10" s="51">
        <v>119856</v>
      </c>
      <c r="O10" s="51">
        <v>119856</v>
      </c>
    </row>
    <row r="11" spans="3:15" x14ac:dyDescent="0.3">
      <c r="C11" s="24" t="s">
        <v>111</v>
      </c>
      <c r="D11" s="24">
        <v>30</v>
      </c>
      <c r="E11" s="24">
        <v>12</v>
      </c>
      <c r="F11" s="51">
        <f>RDG!D17</f>
        <v>3156.7956331490309</v>
      </c>
      <c r="G11" s="51">
        <f>RDG!E17</f>
        <v>3185.997042564431</v>
      </c>
      <c r="H11" s="51">
        <f>RDG!F17</f>
        <v>3216.3881624548435</v>
      </c>
      <c r="I11" s="51">
        <f>RDG!G17</f>
        <v>3248.0174634606551</v>
      </c>
      <c r="J11" s="51">
        <f>RDG!H17</f>
        <v>5554.685390990915</v>
      </c>
      <c r="K11" s="51">
        <f>RDG!I17</f>
        <v>5588.9444456784813</v>
      </c>
      <c r="L11" s="51">
        <f>RDG!J17</f>
        <v>5624.5992671129934</v>
      </c>
      <c r="M11" s="51">
        <f>RDG!K17</f>
        <v>5661.7067209852748</v>
      </c>
      <c r="N11" s="51">
        <f>RDG!L17</f>
        <v>5700.3259897821381</v>
      </c>
      <c r="O11" s="51">
        <f>RDG!M17</f>
        <v>5740.5186671762203</v>
      </c>
    </row>
    <row r="12" spans="3:15" x14ac:dyDescent="0.3">
      <c r="C12" s="24" t="s">
        <v>112</v>
      </c>
      <c r="D12" s="24">
        <v>30</v>
      </c>
      <c r="E12" s="24">
        <v>12</v>
      </c>
      <c r="F12" s="51">
        <f>RDG!D14</f>
        <v>3323.5436685096856</v>
      </c>
      <c r="G12" s="51">
        <f>RDG!E14</f>
        <v>3031.5295743557008</v>
      </c>
      <c r="H12" s="51">
        <f>RDG!F14</f>
        <v>2727.6183754515582</v>
      </c>
      <c r="I12" s="51">
        <f>RDG!G14</f>
        <v>2411.3253653934576</v>
      </c>
      <c r="J12" s="51">
        <f>RDG!H14</f>
        <v>2082.1460900908464</v>
      </c>
      <c r="K12" s="51">
        <f>RDG!I14</f>
        <v>1739.5555432151875</v>
      </c>
      <c r="L12" s="51">
        <f>RDG!J14</f>
        <v>1383.0073288700803</v>
      </c>
      <c r="M12" s="51">
        <f>RDG!K14</f>
        <v>1011.9327901472575</v>
      </c>
      <c r="N12" s="51">
        <f>RDG!L14</f>
        <v>625.74010217861769</v>
      </c>
      <c r="O12" s="51">
        <f>RDG!M14</f>
        <v>223.81332823779445</v>
      </c>
    </row>
    <row r="13" spans="3:15" x14ac:dyDescent="0.3">
      <c r="C13" s="24" t="s">
        <v>113</v>
      </c>
      <c r="D13" s="24"/>
      <c r="E13" s="24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3:15" x14ac:dyDescent="0.3">
      <c r="C14" s="8" t="s">
        <v>114</v>
      </c>
      <c r="D14" s="8"/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7" spans="3:15" x14ac:dyDescent="0.3">
      <c r="C17" s="8" t="s">
        <v>41</v>
      </c>
      <c r="D17" s="8"/>
      <c r="E17" s="8"/>
      <c r="F17" s="8">
        <v>2025</v>
      </c>
      <c r="G17" s="8">
        <v>2026</v>
      </c>
      <c r="H17" s="8">
        <v>2027</v>
      </c>
      <c r="I17" s="8">
        <v>2028</v>
      </c>
      <c r="J17" s="8">
        <v>2029</v>
      </c>
      <c r="K17" s="8">
        <v>2030</v>
      </c>
      <c r="L17" s="8">
        <v>2031</v>
      </c>
      <c r="M17" s="8">
        <v>2032</v>
      </c>
      <c r="N17" s="8">
        <v>2033</v>
      </c>
      <c r="O17" s="8">
        <v>2034</v>
      </c>
    </row>
    <row r="18" spans="3:15" x14ac:dyDescent="0.3">
      <c r="C18" s="8" t="s">
        <v>42</v>
      </c>
      <c r="D18" s="8" t="s">
        <v>43</v>
      </c>
      <c r="E18" s="8" t="s">
        <v>44</v>
      </c>
      <c r="F18" s="25" t="s">
        <v>45</v>
      </c>
      <c r="G18" s="25" t="s">
        <v>45</v>
      </c>
      <c r="H18" s="25" t="s">
        <v>45</v>
      </c>
      <c r="I18" s="25" t="s">
        <v>45</v>
      </c>
      <c r="J18" s="25" t="s">
        <v>45</v>
      </c>
      <c r="K18" s="25" t="s">
        <v>45</v>
      </c>
      <c r="L18" s="25" t="s">
        <v>45</v>
      </c>
      <c r="M18" s="25" t="s">
        <v>45</v>
      </c>
      <c r="N18" s="25" t="s">
        <v>45</v>
      </c>
      <c r="O18" s="25" t="s">
        <v>45</v>
      </c>
    </row>
    <row r="19" spans="3:15" x14ac:dyDescent="0.3">
      <c r="C19" s="24" t="s">
        <v>105</v>
      </c>
      <c r="D19" s="24">
        <v>30</v>
      </c>
      <c r="E19" s="24">
        <v>12</v>
      </c>
      <c r="F19" s="51">
        <f>F5/$E5</f>
        <v>368.25</v>
      </c>
      <c r="G19" s="51">
        <f t="shared" ref="G19:O19" si="0">G5/$E5</f>
        <v>368.25</v>
      </c>
      <c r="H19" s="51">
        <f t="shared" si="0"/>
        <v>368.25</v>
      </c>
      <c r="I19" s="51">
        <f t="shared" si="0"/>
        <v>368.25</v>
      </c>
      <c r="J19" s="51">
        <f t="shared" si="0"/>
        <v>368.25</v>
      </c>
      <c r="K19" s="51">
        <f t="shared" si="0"/>
        <v>368.25</v>
      </c>
      <c r="L19" s="51">
        <f t="shared" si="0"/>
        <v>368.25</v>
      </c>
      <c r="M19" s="51">
        <f t="shared" si="0"/>
        <v>368.25</v>
      </c>
      <c r="N19" s="51">
        <f t="shared" si="0"/>
        <v>368.25</v>
      </c>
      <c r="O19" s="51">
        <f t="shared" si="0"/>
        <v>368.25</v>
      </c>
    </row>
    <row r="20" spans="3:15" x14ac:dyDescent="0.3">
      <c r="C20" s="24" t="s">
        <v>106</v>
      </c>
      <c r="D20" s="24">
        <v>30</v>
      </c>
      <c r="E20" s="24">
        <v>12</v>
      </c>
      <c r="F20" s="51">
        <f>F6/$E6</f>
        <v>17737</v>
      </c>
      <c r="G20" s="51">
        <f t="shared" ref="G20:O20" si="1">G6/$E6</f>
        <v>17737</v>
      </c>
      <c r="H20" s="51">
        <f t="shared" si="1"/>
        <v>17737</v>
      </c>
      <c r="I20" s="51">
        <f t="shared" si="1"/>
        <v>17737</v>
      </c>
      <c r="J20" s="51">
        <f t="shared" si="1"/>
        <v>17737</v>
      </c>
      <c r="K20" s="51">
        <f t="shared" si="1"/>
        <v>17737</v>
      </c>
      <c r="L20" s="51">
        <f t="shared" si="1"/>
        <v>17737</v>
      </c>
      <c r="M20" s="51">
        <f t="shared" si="1"/>
        <v>17737</v>
      </c>
      <c r="N20" s="51">
        <f t="shared" si="1"/>
        <v>17737</v>
      </c>
      <c r="O20" s="51">
        <f t="shared" si="1"/>
        <v>17737</v>
      </c>
    </row>
    <row r="21" spans="3:15" x14ac:dyDescent="0.3">
      <c r="C21" s="24" t="s">
        <v>107</v>
      </c>
      <c r="D21" s="24">
        <v>2</v>
      </c>
      <c r="E21" s="24">
        <v>180</v>
      </c>
      <c r="F21" s="51">
        <f>F7/$E7</f>
        <v>1182.4666666666667</v>
      </c>
      <c r="G21" s="51">
        <f t="shared" ref="G21:O21" si="2">G7/$E7</f>
        <v>1182.4666666666667</v>
      </c>
      <c r="H21" s="51">
        <f t="shared" si="2"/>
        <v>1182.4666666666667</v>
      </c>
      <c r="I21" s="51">
        <f t="shared" si="2"/>
        <v>1182.4666666666667</v>
      </c>
      <c r="J21" s="51">
        <f t="shared" si="2"/>
        <v>1182.4666666666667</v>
      </c>
      <c r="K21" s="51">
        <f t="shared" si="2"/>
        <v>1182.4666666666667</v>
      </c>
      <c r="L21" s="51">
        <f t="shared" si="2"/>
        <v>1182.4666666666667</v>
      </c>
      <c r="M21" s="51">
        <f t="shared" si="2"/>
        <v>1182.4666666666667</v>
      </c>
      <c r="N21" s="51">
        <f t="shared" si="2"/>
        <v>1182.4666666666667</v>
      </c>
      <c r="O21" s="51">
        <f t="shared" si="2"/>
        <v>1182.4666666666667</v>
      </c>
    </row>
    <row r="22" spans="3:15" x14ac:dyDescent="0.3">
      <c r="C22" s="24" t="s">
        <v>108</v>
      </c>
      <c r="D22" s="24"/>
      <c r="E22" s="24"/>
      <c r="F22" s="51">
        <f>SUM(F19:F21)</f>
        <v>19287.716666666667</v>
      </c>
      <c r="G22" s="51">
        <f t="shared" ref="G22:O22" si="3">SUM(G19:G21)</f>
        <v>19287.716666666667</v>
      </c>
      <c r="H22" s="51">
        <f t="shared" si="3"/>
        <v>19287.716666666667</v>
      </c>
      <c r="I22" s="51">
        <f t="shared" si="3"/>
        <v>19287.716666666667</v>
      </c>
      <c r="J22" s="51">
        <f t="shared" si="3"/>
        <v>19287.716666666667</v>
      </c>
      <c r="K22" s="51">
        <f t="shared" si="3"/>
        <v>19287.716666666667</v>
      </c>
      <c r="L22" s="51">
        <f t="shared" si="3"/>
        <v>19287.716666666667</v>
      </c>
      <c r="M22" s="51">
        <f t="shared" si="3"/>
        <v>19287.716666666667</v>
      </c>
      <c r="N22" s="51">
        <f t="shared" si="3"/>
        <v>19287.716666666667</v>
      </c>
      <c r="O22" s="51">
        <f t="shared" si="3"/>
        <v>19287.716666666667</v>
      </c>
    </row>
    <row r="23" spans="3:15" x14ac:dyDescent="0.3">
      <c r="C23" s="24" t="s">
        <v>109</v>
      </c>
      <c r="D23" s="24">
        <v>30</v>
      </c>
      <c r="E23" s="24">
        <v>12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3:15" x14ac:dyDescent="0.3">
      <c r="C24" s="24" t="s">
        <v>110</v>
      </c>
      <c r="D24" s="24">
        <v>30</v>
      </c>
      <c r="E24" s="24">
        <v>12</v>
      </c>
      <c r="F24" s="51">
        <f>F10/$E10</f>
        <v>9988</v>
      </c>
      <c r="G24" s="51">
        <f t="shared" ref="G24:O24" si="4">G10/$E10</f>
        <v>9988</v>
      </c>
      <c r="H24" s="51">
        <f t="shared" si="4"/>
        <v>9988</v>
      </c>
      <c r="I24" s="51">
        <f t="shared" si="4"/>
        <v>9988</v>
      </c>
      <c r="J24" s="51">
        <f t="shared" si="4"/>
        <v>9988</v>
      </c>
      <c r="K24" s="51">
        <f t="shared" si="4"/>
        <v>9988</v>
      </c>
      <c r="L24" s="51">
        <f t="shared" si="4"/>
        <v>9988</v>
      </c>
      <c r="M24" s="51">
        <f t="shared" si="4"/>
        <v>9988</v>
      </c>
      <c r="N24" s="51">
        <f t="shared" si="4"/>
        <v>9988</v>
      </c>
      <c r="O24" s="51">
        <f t="shared" si="4"/>
        <v>9988</v>
      </c>
    </row>
    <row r="25" spans="3:15" x14ac:dyDescent="0.3">
      <c r="C25" s="24" t="s">
        <v>111</v>
      </c>
      <c r="D25" s="24">
        <v>30</v>
      </c>
      <c r="E25" s="24">
        <v>12</v>
      </c>
      <c r="F25" s="51">
        <f>F11/$E11</f>
        <v>263.06630276241924</v>
      </c>
      <c r="G25" s="51">
        <f t="shared" ref="G25:O25" si="5">G11/$E11</f>
        <v>265.49975354703594</v>
      </c>
      <c r="H25" s="51">
        <f t="shared" si="5"/>
        <v>268.03234687123694</v>
      </c>
      <c r="I25" s="51">
        <f t="shared" si="5"/>
        <v>270.66812195505457</v>
      </c>
      <c r="J25" s="51">
        <f t="shared" si="5"/>
        <v>462.89044924924292</v>
      </c>
      <c r="K25" s="51">
        <f t="shared" si="5"/>
        <v>465.74537047320678</v>
      </c>
      <c r="L25" s="51">
        <f t="shared" si="5"/>
        <v>468.71660559274943</v>
      </c>
      <c r="M25" s="51">
        <f t="shared" si="5"/>
        <v>471.80889341543957</v>
      </c>
      <c r="N25" s="51">
        <f t="shared" si="5"/>
        <v>475.02716581517819</v>
      </c>
      <c r="O25" s="51">
        <f t="shared" si="5"/>
        <v>478.37655559801834</v>
      </c>
    </row>
    <row r="26" spans="3:15" x14ac:dyDescent="0.3">
      <c r="C26" s="24" t="s">
        <v>112</v>
      </c>
      <c r="D26" s="24">
        <v>30</v>
      </c>
      <c r="E26" s="24">
        <v>12</v>
      </c>
      <c r="F26" s="51">
        <f>F12/$E12</f>
        <v>276.96197237580714</v>
      </c>
      <c r="G26" s="51">
        <f t="shared" ref="G26:O26" si="6">G12/$E12</f>
        <v>252.62746452964174</v>
      </c>
      <c r="H26" s="51">
        <f t="shared" si="6"/>
        <v>227.30153128762984</v>
      </c>
      <c r="I26" s="51">
        <f t="shared" si="6"/>
        <v>200.94378044945481</v>
      </c>
      <c r="J26" s="51">
        <f t="shared" si="6"/>
        <v>173.5121741742372</v>
      </c>
      <c r="K26" s="51">
        <f t="shared" si="6"/>
        <v>144.96296193459895</v>
      </c>
      <c r="L26" s="51">
        <f t="shared" si="6"/>
        <v>115.25061073917335</v>
      </c>
      <c r="M26" s="51">
        <f t="shared" si="6"/>
        <v>84.327732512271453</v>
      </c>
      <c r="N26" s="51">
        <f t="shared" si="6"/>
        <v>52.145008514884807</v>
      </c>
      <c r="O26" s="51">
        <f t="shared" si="6"/>
        <v>18.65111068648287</v>
      </c>
    </row>
    <row r="27" spans="3:15" x14ac:dyDescent="0.3">
      <c r="C27" s="24" t="s">
        <v>113</v>
      </c>
      <c r="D27" s="24"/>
      <c r="E27" s="24"/>
      <c r="F27" s="51">
        <f>SUM(F23:F26)</f>
        <v>10528.028275138227</v>
      </c>
      <c r="G27" s="51">
        <f t="shared" ref="G27:O27" si="7">SUM(G23:G26)</f>
        <v>10506.127218076677</v>
      </c>
      <c r="H27" s="51">
        <f t="shared" si="7"/>
        <v>10483.333878158868</v>
      </c>
      <c r="I27" s="51">
        <f t="shared" si="7"/>
        <v>10459.611902404509</v>
      </c>
      <c r="J27" s="51">
        <f t="shared" si="7"/>
        <v>10624.402623423481</v>
      </c>
      <c r="K27" s="51">
        <f t="shared" si="7"/>
        <v>10598.708332407807</v>
      </c>
      <c r="L27" s="51">
        <f t="shared" si="7"/>
        <v>10571.967216331923</v>
      </c>
      <c r="M27" s="51">
        <f t="shared" si="7"/>
        <v>10544.136625927711</v>
      </c>
      <c r="N27" s="51">
        <f t="shared" si="7"/>
        <v>10515.172174330062</v>
      </c>
      <c r="O27" s="51">
        <f t="shared" si="7"/>
        <v>10485.027666284503</v>
      </c>
    </row>
    <row r="28" spans="3:15" x14ac:dyDescent="0.3">
      <c r="C28" s="8" t="s">
        <v>114</v>
      </c>
      <c r="D28" s="52"/>
      <c r="E28" s="52"/>
      <c r="F28" s="28">
        <f>F22-F27</f>
        <v>8759.6883915284398</v>
      </c>
      <c r="G28" s="28">
        <f t="shared" ref="G28:O28" si="8">G22-G27</f>
        <v>8781.5894485899898</v>
      </c>
      <c r="H28" s="28">
        <f t="shared" si="8"/>
        <v>8804.382788507799</v>
      </c>
      <c r="I28" s="28">
        <f t="shared" si="8"/>
        <v>8828.1047642621579</v>
      </c>
      <c r="J28" s="28">
        <f t="shared" si="8"/>
        <v>8663.3140432431865</v>
      </c>
      <c r="K28" s="28">
        <f t="shared" si="8"/>
        <v>8689.0083342588605</v>
      </c>
      <c r="L28" s="28">
        <f t="shared" si="8"/>
        <v>8715.7494503347443</v>
      </c>
      <c r="M28" s="28">
        <f t="shared" si="8"/>
        <v>8743.5800407389561</v>
      </c>
      <c r="N28" s="28">
        <f t="shared" si="8"/>
        <v>8772.5444923366049</v>
      </c>
      <c r="O28" s="28">
        <f t="shared" si="8"/>
        <v>8802.6890003821645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B4E3-DE94-4AAF-B273-8C382817C6F0}">
  <dimension ref="A1:G21"/>
  <sheetViews>
    <sheetView workbookViewId="0">
      <selection activeCell="K31" sqref="K31"/>
    </sheetView>
  </sheetViews>
  <sheetFormatPr defaultRowHeight="14.4" x14ac:dyDescent="0.3"/>
  <cols>
    <col min="1" max="1" width="20.6640625" customWidth="1"/>
    <col min="3" max="3" width="23.44140625" customWidth="1"/>
    <col min="5" max="5" width="11.44140625" bestFit="1" customWidth="1"/>
    <col min="7" max="7" width="9.44140625" bestFit="1" customWidth="1"/>
  </cols>
  <sheetData>
    <row r="1" spans="1:7" x14ac:dyDescent="0.3">
      <c r="A1" s="88" t="s">
        <v>172</v>
      </c>
      <c r="B1" s="90" t="s">
        <v>179</v>
      </c>
      <c r="C1" s="29" t="s">
        <v>181</v>
      </c>
      <c r="D1" s="90" t="s">
        <v>179</v>
      </c>
      <c r="E1" s="80">
        <f>RDG!$D$18</f>
        <v>28411.160698341275</v>
      </c>
      <c r="F1" s="90" t="s">
        <v>179</v>
      </c>
      <c r="G1" s="91">
        <f>E1/E2</f>
        <v>0.13348349353677472</v>
      </c>
    </row>
    <row r="2" spans="1:7" x14ac:dyDescent="0.3">
      <c r="A2" s="88"/>
      <c r="B2" s="90"/>
      <c r="C2" s="29" t="s">
        <v>180</v>
      </c>
      <c r="D2" s="90"/>
      <c r="E2" s="80">
        <f>RDG!$D$5</f>
        <v>212844</v>
      </c>
      <c r="F2" s="90"/>
      <c r="G2" s="91"/>
    </row>
    <row r="3" spans="1:7" x14ac:dyDescent="0.3">
      <c r="A3" s="55"/>
      <c r="B3" s="55"/>
      <c r="C3" s="55"/>
      <c r="D3" s="53"/>
      <c r="E3" s="72"/>
      <c r="F3" s="53"/>
      <c r="G3" s="81"/>
    </row>
    <row r="4" spans="1:7" x14ac:dyDescent="0.3">
      <c r="A4" s="98" t="s">
        <v>173</v>
      </c>
      <c r="B4" s="90" t="s">
        <v>179</v>
      </c>
      <c r="C4" s="29" t="s">
        <v>181</v>
      </c>
      <c r="D4" s="90" t="s">
        <v>179</v>
      </c>
      <c r="E4" s="80">
        <f>RDG!$D$18</f>
        <v>28411.160698341275</v>
      </c>
      <c r="F4" s="90" t="s">
        <v>179</v>
      </c>
      <c r="G4" s="101">
        <f>E4/E5</f>
        <v>0.28341811575467241</v>
      </c>
    </row>
    <row r="5" spans="1:7" x14ac:dyDescent="0.3">
      <c r="A5" s="98"/>
      <c r="B5" s="90"/>
      <c r="C5" s="29" t="s">
        <v>182</v>
      </c>
      <c r="D5" s="90"/>
      <c r="E5" s="80">
        <f>'INV+AM'!$D$9</f>
        <v>100244.68839152844</v>
      </c>
      <c r="F5" s="90"/>
      <c r="G5" s="101"/>
    </row>
    <row r="6" spans="1:7" x14ac:dyDescent="0.3">
      <c r="A6" s="54"/>
      <c r="B6" s="55"/>
      <c r="C6" s="55"/>
      <c r="D6" s="53"/>
      <c r="E6" s="72"/>
      <c r="F6" s="53"/>
      <c r="G6" s="82"/>
    </row>
    <row r="7" spans="1:7" x14ac:dyDescent="0.3">
      <c r="A7" s="98" t="s">
        <v>174</v>
      </c>
      <c r="B7" s="90" t="s">
        <v>179</v>
      </c>
      <c r="C7" s="29" t="s">
        <v>180</v>
      </c>
      <c r="D7" s="90" t="s">
        <v>179</v>
      </c>
      <c r="E7" s="80">
        <f>Prihodi!$I$26</f>
        <v>212844</v>
      </c>
      <c r="F7" s="90" t="s">
        <v>179</v>
      </c>
      <c r="G7" s="101">
        <f>E7/E8</f>
        <v>2.1232446667766509</v>
      </c>
    </row>
    <row r="8" spans="1:7" x14ac:dyDescent="0.3">
      <c r="A8" s="98"/>
      <c r="B8" s="90"/>
      <c r="C8" s="29" t="s">
        <v>182</v>
      </c>
      <c r="D8" s="90"/>
      <c r="E8" s="80">
        <f>'INV+AM'!$D$9</f>
        <v>100244.68839152844</v>
      </c>
      <c r="F8" s="90"/>
      <c r="G8" s="101"/>
    </row>
    <row r="9" spans="1:7" x14ac:dyDescent="0.3">
      <c r="A9" s="54"/>
      <c r="B9" s="55"/>
      <c r="C9" s="55"/>
      <c r="D9" s="53"/>
      <c r="E9" s="72"/>
      <c r="F9" s="53"/>
      <c r="G9" s="82"/>
    </row>
    <row r="10" spans="1:7" x14ac:dyDescent="0.3">
      <c r="A10" s="98" t="s">
        <v>175</v>
      </c>
      <c r="B10" s="90" t="s">
        <v>179</v>
      </c>
      <c r="C10" s="29" t="s">
        <v>183</v>
      </c>
      <c r="D10" s="90" t="s">
        <v>179</v>
      </c>
      <c r="E10" s="80">
        <f>RDG!D18+RDG!D13</f>
        <v>51148.660698341278</v>
      </c>
      <c r="F10" s="90" t="s">
        <v>179</v>
      </c>
      <c r="G10" s="101">
        <f>E10/E11</f>
        <v>0.51023811355040127</v>
      </c>
    </row>
    <row r="11" spans="1:7" x14ac:dyDescent="0.3">
      <c r="A11" s="98"/>
      <c r="B11" s="90"/>
      <c r="C11" s="29" t="s">
        <v>182</v>
      </c>
      <c r="D11" s="90"/>
      <c r="E11" s="80">
        <f>'INV+AM'!$D$9</f>
        <v>100244.68839152844</v>
      </c>
      <c r="F11" s="90"/>
      <c r="G11" s="101"/>
    </row>
    <row r="12" spans="1:7" x14ac:dyDescent="0.3">
      <c r="A12" s="55"/>
      <c r="B12" s="55"/>
      <c r="C12" s="55"/>
      <c r="D12" s="53"/>
      <c r="E12" s="72"/>
      <c r="F12" s="53"/>
      <c r="G12" s="82"/>
    </row>
    <row r="13" spans="1:7" x14ac:dyDescent="0.3">
      <c r="A13" s="55"/>
      <c r="B13" s="55"/>
      <c r="C13" s="55"/>
      <c r="D13" s="53"/>
      <c r="E13" s="72"/>
      <c r="F13" s="53"/>
      <c r="G13" s="81"/>
    </row>
    <row r="14" spans="1:7" x14ac:dyDescent="0.3">
      <c r="A14" s="99" t="s">
        <v>176</v>
      </c>
      <c r="B14" s="99"/>
      <c r="C14" s="99"/>
      <c r="D14" s="53"/>
      <c r="E14" s="72"/>
      <c r="F14" s="53"/>
      <c r="G14" s="82"/>
    </row>
    <row r="15" spans="1:7" x14ac:dyDescent="0.3">
      <c r="A15" s="55"/>
      <c r="B15" s="55"/>
      <c r="C15" s="55"/>
      <c r="D15" s="53"/>
      <c r="E15" s="72"/>
      <c r="F15" s="53"/>
      <c r="G15" s="82"/>
    </row>
    <row r="16" spans="1:7" x14ac:dyDescent="0.3">
      <c r="A16" s="98" t="s">
        <v>177</v>
      </c>
      <c r="B16" s="90" t="s">
        <v>179</v>
      </c>
      <c r="C16" s="29" t="s">
        <v>182</v>
      </c>
      <c r="D16" s="90" t="s">
        <v>179</v>
      </c>
      <c r="E16" s="80">
        <f>'INV+AM'!$D$9</f>
        <v>100244.68839152844</v>
      </c>
      <c r="F16" s="90" t="s">
        <v>179</v>
      </c>
      <c r="G16" s="100">
        <f>E16/E17</f>
        <v>8353.7240326273695</v>
      </c>
    </row>
    <row r="17" spans="1:7" x14ac:dyDescent="0.3">
      <c r="A17" s="98"/>
      <c r="B17" s="90"/>
      <c r="C17" s="29" t="s">
        <v>184</v>
      </c>
      <c r="D17" s="90"/>
      <c r="E17" s="83">
        <v>12</v>
      </c>
      <c r="F17" s="90"/>
      <c r="G17" s="100"/>
    </row>
    <row r="18" spans="1:7" x14ac:dyDescent="0.3">
      <c r="A18" s="54"/>
      <c r="B18" s="55"/>
      <c r="C18" s="55"/>
      <c r="D18" s="53"/>
      <c r="E18" s="72"/>
      <c r="F18" s="53"/>
      <c r="G18" s="72"/>
    </row>
    <row r="19" spans="1:7" x14ac:dyDescent="0.3">
      <c r="A19" s="54"/>
      <c r="B19" s="55"/>
      <c r="C19" s="55"/>
      <c r="D19" s="53"/>
      <c r="E19" s="72"/>
      <c r="F19" s="53"/>
      <c r="G19" s="72"/>
    </row>
    <row r="20" spans="1:7" x14ac:dyDescent="0.3">
      <c r="A20" s="98" t="s">
        <v>178</v>
      </c>
      <c r="B20" s="90" t="s">
        <v>179</v>
      </c>
      <c r="C20" s="29" t="s">
        <v>185</v>
      </c>
      <c r="D20" s="90" t="s">
        <v>179</v>
      </c>
      <c r="E20" s="80">
        <f>Rashodi!$F$8</f>
        <v>119856</v>
      </c>
      <c r="F20" s="90" t="s">
        <v>179</v>
      </c>
      <c r="G20" s="100">
        <f>E20/E21</f>
        <v>9988</v>
      </c>
    </row>
    <row r="21" spans="1:7" x14ac:dyDescent="0.3">
      <c r="A21" s="98"/>
      <c r="B21" s="90"/>
      <c r="C21" s="29" t="s">
        <v>184</v>
      </c>
      <c r="D21" s="90"/>
      <c r="E21" s="83">
        <v>12</v>
      </c>
      <c r="F21" s="90"/>
      <c r="G21" s="100"/>
    </row>
  </sheetData>
  <mergeCells count="31">
    <mergeCell ref="D7:D8"/>
    <mergeCell ref="D10:D11"/>
    <mergeCell ref="D16:D17"/>
    <mergeCell ref="G20:G21"/>
    <mergeCell ref="F1:F2"/>
    <mergeCell ref="F4:F5"/>
    <mergeCell ref="F7:F8"/>
    <mergeCell ref="F10:F11"/>
    <mergeCell ref="F16:F17"/>
    <mergeCell ref="F20:F21"/>
    <mergeCell ref="G1:G2"/>
    <mergeCell ref="G4:G5"/>
    <mergeCell ref="G7:G8"/>
    <mergeCell ref="G10:G11"/>
    <mergeCell ref="G16:G17"/>
    <mergeCell ref="D20:D21"/>
    <mergeCell ref="A20:A21"/>
    <mergeCell ref="B1:B2"/>
    <mergeCell ref="B4:B5"/>
    <mergeCell ref="B7:B8"/>
    <mergeCell ref="B10:B11"/>
    <mergeCell ref="B16:B17"/>
    <mergeCell ref="B20:B21"/>
    <mergeCell ref="A1:A2"/>
    <mergeCell ref="A4:A5"/>
    <mergeCell ref="A7:A8"/>
    <mergeCell ref="A10:A11"/>
    <mergeCell ref="A14:C14"/>
    <mergeCell ref="A16:A17"/>
    <mergeCell ref="D1:D2"/>
    <mergeCell ref="D4:D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a W 9 W L 9 G Z p q l A A A A 9 g A A A B I A H A B D b 2 5 m a W c v U G F j a 2 F n Z S 5 4 b W w g o h g A K K A U A A A A A A A A A A A A A A A A A A A A A A A A A A A A h Y 8 x D o I w G I W v Q r r T l h o T Q n 7 K 4 O I g i d H E u D a 1 Q i M U 0 x b L 3 R w 8 k l c Q o 6 i b 4 / v e N 7 x 3 v 9 6 g G N o m u i j r d G d y l G C K I m V k d 9 C m y l H v j 3 G K C g 5 r I U + i U t E o G 5 c N 7 p C j 2 v t z R k g I A Y c Z 7 m x F G K U J 2 Z e r r a x V K 9 B H 1 v / l W B v n h Z E K c d i 9 x n C G E 5 Z i N m e Y A p k g l N p 8 B T b u f b Y / E B Z 9 4 3 u r e G 3 j 5 Q b I F I G 8 P / A H U E s D B B Q A A g A I A F W l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b 1 Y K I p H u A 4 A A A A R A A A A E w A c A E Z v c m 1 1 b G F z L 1 N l Y 3 R p b 2 4 x L m 0 g o h g A K K A U A A A A A A A A A A A A A A A A A A A A A A A A A A A A K 0 5 N L s n M z 1 M I h t C G 1 g B Q S w E C L Q A U A A I A C A B V p b 1 Y v 0 Z m m q U A A A D 2 A A A A E g A A A A A A A A A A A A A A A A A A A A A A Q 2 9 u Z m l n L 1 B h Y 2 t h Z 2 U u e G 1 s U E s B A i 0 A F A A C A A g A V a W 9 W A / K 6 a u k A A A A 6 Q A A A B M A A A A A A A A A A A A A A A A A 8 Q A A A F t D b 2 5 0 Z W 5 0 X 1 R 5 c G V z X S 5 4 b W x Q S w E C L Q A U A A I A C A B V p b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2 C 5 9 P 5 p z 0 m u O l j j 5 q y B w A A A A A A C A A A A A A A Q Z g A A A A E A A C A A A A B j + s O v 6 Z v T S B O a 9 K o u c j 9 s o / M 9 9 g H 1 g 7 i x 9 G 8 m g Q x 1 n Q A A A A A O g A A A A A I A A C A A A A A G B 1 2 h M n 2 7 I T 7 A d / i n L 4 B 7 F i + F 5 G G L k m U k I z q b d N Y o A V A A A A A 6 c P e X Y C L p n f m k P C q 1 b 4 Y s L 0 V G i m a l m P L E X 4 P Z 9 H e p J T 7 g h d + D H H b g 4 I 9 n n / f s C y F h o 2 a s 6 A h C k n W 0 D I n u R D a G 5 F / V U F s K J l L P 2 o z J 7 q z x k U A A A A A g W C w R M P o K W O d t D O T T G V x v f Q M A W F S I N J Q Y n t 1 t z + G p k 0 b Z k V Z M C / s V Q U 4 C X v X k 8 F w 8 i y k I I J k C / e 8 T R Q q i u Y i 1 < / D a t a M a s h u p > 
</file>

<file path=customXml/itemProps1.xml><?xml version="1.0" encoding="utf-8"?>
<ds:datastoreItem xmlns:ds="http://schemas.openxmlformats.org/officeDocument/2006/customXml" ds:itemID="{A9BFA0A1-DFEA-48B4-9669-781F3EF2B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INV</vt:lpstr>
      <vt:lpstr>INV+AM</vt:lpstr>
      <vt:lpstr>Prihodi</vt:lpstr>
      <vt:lpstr>Rashodi</vt:lpstr>
      <vt:lpstr>Kredit</vt:lpstr>
      <vt:lpstr>RDG</vt:lpstr>
      <vt:lpstr>ET i FT</vt:lpstr>
      <vt:lpstr>TOBS</vt:lpstr>
      <vt:lpstr>Ocjena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Mislav Kapetan</dc:creator>
  <cp:lastModifiedBy>Mislav Kapetan</cp:lastModifiedBy>
  <dcterms:created xsi:type="dcterms:W3CDTF">2024-05-22T18:45:49Z</dcterms:created>
  <dcterms:modified xsi:type="dcterms:W3CDTF">2024-06-01T17:17:09Z</dcterms:modified>
</cp:coreProperties>
</file>