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201-107mkdRanalysis\"/>
    </mc:Choice>
  </mc:AlternateContent>
  <bookViews>
    <workbookView xWindow="0" yWindow="0" windowWidth="18450" windowHeight="6180" tabRatio="601" firstSheet="3" activeTab="9"/>
  </bookViews>
  <sheets>
    <sheet name="longform_linked" sheetId="10" r:id="rId1"/>
    <sheet name="201-107_DATAANALYSIS_longform_R" sheetId="1" r:id="rId2"/>
    <sheet name="StudyInfo_Constants" sheetId="14" r:id="rId3"/>
    <sheet name="663" sheetId="9" r:id="rId4"/>
    <sheet name="666" sheetId="8" r:id="rId5"/>
    <sheet name="669" sheetId="7" r:id="rId6"/>
    <sheet name="CDV" sheetId="11" r:id="rId7"/>
    <sheet name="USC505" sheetId="12" r:id="rId8"/>
    <sheet name="CMX001" sheetId="13" r:id="rId9"/>
    <sheet name="MassTable" sheetId="3" r:id="rId10"/>
    <sheet name="pmolPerCellFigure" sheetId="5" r:id="rId11"/>
  </sheets>
  <externalReferences>
    <externalReference r:id="rId12"/>
  </externalReferences>
  <definedNames>
    <definedName name="CDV_T0_ds1_CDV">'201-107_DATAANALYSIS_longform_R'!$K$83</definedName>
    <definedName name="CDV_T0_ds2_CDV">'201-107_DATAANALYSIS_longform_R'!$K$84</definedName>
    <definedName name="CDV_T0_ds3_CDV">'201-107_DATAANALYSIS_longform_R'!$K$85</definedName>
    <definedName name="CDV_T72_ds1_CDV">'201-107_DATAANALYSIS_longform_R'!$K$86</definedName>
    <definedName name="CDV_T72_ds2_CDV">'201-107_DATAANALYSIS_longform_R'!$K$87</definedName>
    <definedName name="CDV_T72_ds3_CDV">'201-107_DATAANALYSIS_longform_R'!$K$88</definedName>
    <definedName name="CDV_T72_lys1_CDV">'201-107_DATAANALYSIS_longform_R'!$K$92</definedName>
    <definedName name="CDV_T72_lys1_PP">'201-107_DATAANALYSIS_longform_R'!$K$95</definedName>
    <definedName name="CDV_T72_lys2_CDV">'201-107_DATAANALYSIS_longform_R'!$K$93</definedName>
    <definedName name="CDV_T72_lys2_PP">'201-107_DATAANALYSIS_longform_R'!$K$96</definedName>
    <definedName name="CDV_T72_lys3_CDV">'201-107_DATAANALYSIS_longform_R'!$K$94</definedName>
    <definedName name="CDV_T72_lys3_PP">'201-107_DATAANALYSIS_longform_R'!$K$97</definedName>
    <definedName name="CDV_T72_med1_CDV">'201-107_DATAANALYSIS_longform_R'!$K$89</definedName>
    <definedName name="CDV_T72_med2_CDV">'201-107_DATAANALYSIS_longform_R'!$K$90</definedName>
    <definedName name="CDV_T72_med3_CDV">'201-107_DATAANALYSIS_longform_R'!$K$91</definedName>
    <definedName name="CMX001_T0_ds1_CDV">'201-107_DATAANALYSIS_longform_R'!$K$128</definedName>
    <definedName name="CMX001_T0_ds1_Pro">'201-107_DATAANALYSIS_longform_R'!$K$116</definedName>
    <definedName name="CMX001_T0_ds1_Prodrug">'201-107_DATAANALYSIS_longform_R'!$K$116</definedName>
    <definedName name="CMX001_T0_ds2_CDV">'201-107_DATAANALYSIS_longform_R'!$K$129</definedName>
    <definedName name="CMX001_T0_ds2_Pro">'201-107_DATAANALYSIS_longform_R'!$K$117</definedName>
    <definedName name="CMX001_T0_ds2_Prodrug">'201-107_DATAANALYSIS_longform_R'!$K$117</definedName>
    <definedName name="CMX001_T0_ds3_CDV">'201-107_DATAANALYSIS_longform_R'!$K$130</definedName>
    <definedName name="CMX001_T0_ds3_Pro">'201-107_DATAANALYSIS_longform_R'!$K$118</definedName>
    <definedName name="CMX001_T0_ds3_Prodrug">'201-107_DATAANALYSIS_longform_R'!$K$118</definedName>
    <definedName name="CMX001_T72_ds1_CDV">'201-107_DATAANALYSIS_longform_R'!$K$131</definedName>
    <definedName name="CMX001_T72_ds1_Pro">'201-107_DATAANALYSIS_longform_R'!$K$119</definedName>
    <definedName name="CMX001_T72_ds1_Prodrug">'201-107_DATAANALYSIS_longform_R'!$K$119</definedName>
    <definedName name="CMX001_T72_ds2_CDV">'201-107_DATAANALYSIS_longform_R'!$K$132</definedName>
    <definedName name="CMX001_T72_ds2_Pro">'201-107_DATAANALYSIS_longform_R'!$K$120</definedName>
    <definedName name="CMX001_T72_ds2_Prodrug">'201-107_DATAANALYSIS_longform_R'!$K$120</definedName>
    <definedName name="CMX001_T72_ds3_CDV">'201-107_DATAANALYSIS_longform_R'!$K$133</definedName>
    <definedName name="CMX001_T72_ds3_Pro">'201-107_DATAANALYSIS_longform_R'!$K$121</definedName>
    <definedName name="CMX001_T72_ds3_Prodrug">'201-107_DATAANALYSIS_longform_R'!$K$121</definedName>
    <definedName name="CMX001_T72_lys1_CDV">'201-107_DATAANALYSIS_longform_R'!$K$137</definedName>
    <definedName name="CMX001_T72_lys1_PP">'201-107_DATAANALYSIS_longform_R'!$K$140</definedName>
    <definedName name="CMX001_T72_lys1_Pro">'201-107_DATAANALYSIS_longform_R'!$K$125</definedName>
    <definedName name="CMX001_T72_lys1_Prodrug">'201-107_DATAANALYSIS_longform_R'!$K$125</definedName>
    <definedName name="CMX001_T72_lys2_CDV">'201-107_DATAANALYSIS_longform_R'!$K$138</definedName>
    <definedName name="CMX001_T72_lys2_PP">'201-107_DATAANALYSIS_longform_R'!$K$141</definedName>
    <definedName name="CMX001_T72_lys2_Pro">'201-107_DATAANALYSIS_longform_R'!$K$126</definedName>
    <definedName name="CMX001_T72_lys2_Prodrug">'201-107_DATAANALYSIS_longform_R'!$K$126</definedName>
    <definedName name="CMX001_T72_lys3_CDV">'201-107_DATAANALYSIS_longform_R'!$K$139</definedName>
    <definedName name="CMX001_T72_lys3_PP">'201-107_DATAANALYSIS_longform_R'!$K$142</definedName>
    <definedName name="CMX001_T72_lys3_Pro">'201-107_DATAANALYSIS_longform_R'!$K$127</definedName>
    <definedName name="CMX001_T72_lys3_Prodrug">'201-107_DATAANALYSIS_longform_R'!$K$127</definedName>
    <definedName name="CMX001_T72_med1_CDV">'201-107_DATAANALYSIS_longform_R'!$K$134</definedName>
    <definedName name="CMX001_T72_med1_Pro">'201-107_DATAANALYSIS_longform_R'!$K$122</definedName>
    <definedName name="CMX001_T72_med1_Prodrug">'201-107_DATAANALYSIS_longform_R'!$K$122</definedName>
    <definedName name="CMX001_T72_med2_CDV">'201-107_DATAANALYSIS_longform_R'!$K$135</definedName>
    <definedName name="CMX001_T72_med2_Pro">'201-107_DATAANALYSIS_longform_R'!$K$123</definedName>
    <definedName name="CMX001_T72_med2_Prodrug">'201-107_DATAANALYSIS_longform_R'!$K$123</definedName>
    <definedName name="CMX001_T72_med3_CDV">'201-107_DATAANALYSIS_longform_R'!$K$136</definedName>
    <definedName name="CMX001_T72_med3_Pro">'201-107_DATAANALYSIS_longform_R'!$K$124</definedName>
    <definedName name="CMX001_T72_med3_Prodrug">'201-107_DATAANALYSIS_longform_R'!$K$124</definedName>
    <definedName name="L_to_mL">StudyInfo_Constants!$B$5</definedName>
    <definedName name="lysate_volume__mL">StudyInfo_Constants!$B$4</definedName>
    <definedName name="media_volume__mL">StudyInfo_Constants!$B$3</definedName>
    <definedName name="nano_to_pico">StudyInfo_Constants!$B$7</definedName>
    <definedName name="NPP663_T0_ds1_CDV">'201-107_DATAANALYSIS_longform_R'!$K$14</definedName>
    <definedName name="NPP663_T0_ds1_Prodrug">'201-107_DATAANALYSIS_longform_R'!$K$2</definedName>
    <definedName name="NPP663_T0_ds2_CDV">'201-107_DATAANALYSIS_longform_R'!$K$15</definedName>
    <definedName name="NPP663_T0_ds2_Prodrug">'201-107_DATAANALYSIS_longform_R'!$K$3</definedName>
    <definedName name="NPP663_T0_ds3_CDV">'201-107_DATAANALYSIS_longform_R'!$K$16</definedName>
    <definedName name="NPP663_T0_ds3_Prodrug">'201-107_DATAANALYSIS_longform_R'!$K$4</definedName>
    <definedName name="NPP663_T72_ds1_CDV">'201-107_DATAANALYSIS_longform_R'!$K$17</definedName>
    <definedName name="NPP663_T72_ds1_Prodrug">'201-107_DATAANALYSIS_longform_R'!$K$5</definedName>
    <definedName name="NPP663_T72_ds2_CDV">'201-107_DATAANALYSIS_longform_R'!$K$18</definedName>
    <definedName name="NPP663_T72_ds2_Prodrug">'201-107_DATAANALYSIS_longform_R'!$K$6</definedName>
    <definedName name="NPP663_T72_ds3_CDV">'201-107_DATAANALYSIS_longform_R'!$K$19</definedName>
    <definedName name="NPP663_T72_ds3_Prodrug">'201-107_DATAANALYSIS_longform_R'!$K$7</definedName>
    <definedName name="NPP663_T72_lys1_CDV">'201-107_DATAANALYSIS_longform_R'!$K$23</definedName>
    <definedName name="NPP663_T72_lys1_PP">'201-107_DATAANALYSIS_longform_R'!$K$26</definedName>
    <definedName name="NPP663_T72_lys1_Prodrug">'201-107_DATAANALYSIS_longform_R'!$K$11</definedName>
    <definedName name="NPP663_T72_lys2_CDV">'201-107_DATAANALYSIS_longform_R'!$K$24</definedName>
    <definedName name="NPP663_T72_lys2_PP">'201-107_DATAANALYSIS_longform_R'!$K$27</definedName>
    <definedName name="NPP663_T72_lys2_Prodrug">'201-107_DATAANALYSIS_longform_R'!$K$12</definedName>
    <definedName name="NPP663_T72_lys3_CDV">'201-107_DATAANALYSIS_longform_R'!$K$25</definedName>
    <definedName name="NPP663_T72_lys3_PP">'201-107_DATAANALYSIS_longform_R'!$K$28</definedName>
    <definedName name="NPP663_T72_lys3_Prodrug">'201-107_DATAANALYSIS_longform_R'!$K$13</definedName>
    <definedName name="NPP663_T72_med1_CDV">'201-107_DATAANALYSIS_longform_R'!$K$20</definedName>
    <definedName name="NPP663_T72_med1_Prodrug">'201-107_DATAANALYSIS_longform_R'!$K$8</definedName>
    <definedName name="NPP663_T72_med2_CDV">'201-107_DATAANALYSIS_longform_R'!$K$21</definedName>
    <definedName name="NPP663_T72_med2_Prodrug">'201-107_DATAANALYSIS_longform_R'!$K$9</definedName>
    <definedName name="NPP663_T72_med3_CDV">'201-107_DATAANALYSIS_longform_R'!$K$22</definedName>
    <definedName name="NPP663_T72_med3_Prodrug">'201-107_DATAANALYSIS_longform_R'!$K$10</definedName>
    <definedName name="NPP666_T0_ds1_CDV">'201-107_DATAANALYSIS_longform_R'!$K$41</definedName>
    <definedName name="NPP666_T0_ds1_Prodrug">'201-107_DATAANALYSIS_longform_R'!$K$29</definedName>
    <definedName name="NPP666_T0_ds2_CDV">'201-107_DATAANALYSIS_longform_R'!$K$42</definedName>
    <definedName name="NPP666_T0_ds2_Prodrug">'201-107_DATAANALYSIS_longform_R'!$K$30</definedName>
    <definedName name="NPP666_T0_ds3_CDV">'201-107_DATAANALYSIS_longform_R'!$K$43</definedName>
    <definedName name="NPP666_T0_ds3_Prodrug">'201-107_DATAANALYSIS_longform_R'!$K$31</definedName>
    <definedName name="NPP666_T72_ds1_CDV">'201-107_DATAANALYSIS_longform_R'!$K$44</definedName>
    <definedName name="NPP666_T72_ds1_Prodrug">'201-107_DATAANALYSIS_longform_R'!$K$32</definedName>
    <definedName name="NPP666_T72_ds2_CDV">'201-107_DATAANALYSIS_longform_R'!$K$45</definedName>
    <definedName name="NPP666_T72_ds2_Prodrug">'201-107_DATAANALYSIS_longform_R'!$K$33</definedName>
    <definedName name="NPP666_T72_ds3_CDV">'201-107_DATAANALYSIS_longform_R'!$K$46</definedName>
    <definedName name="NPP666_T72_ds3_Prodrug">'201-107_DATAANALYSIS_longform_R'!$K$34</definedName>
    <definedName name="NPP666_T72_lys1_CDV">'201-107_DATAANALYSIS_longform_R'!$K$50</definedName>
    <definedName name="NPP666_T72_lys1_PP">'201-107_DATAANALYSIS_longform_R'!$K$53</definedName>
    <definedName name="NPP666_T72_lys1_Prodrug">'201-107_DATAANALYSIS_longform_R'!$K$38</definedName>
    <definedName name="NPP666_T72_lys2_CDV">'201-107_DATAANALYSIS_longform_R'!$K$51</definedName>
    <definedName name="NPP666_T72_lys2_PP">'201-107_DATAANALYSIS_longform_R'!$K$54</definedName>
    <definedName name="NPP666_T72_lys2_Prodrug">'201-107_DATAANALYSIS_longform_R'!$K$39</definedName>
    <definedName name="NPP666_T72_lys3_CDV">'201-107_DATAANALYSIS_longform_R'!$K$52</definedName>
    <definedName name="NPP666_T72_lys3_PP">'201-107_DATAANALYSIS_longform_R'!$K$55</definedName>
    <definedName name="NPP666_T72_lys3_Prodrug">'201-107_DATAANALYSIS_longform_R'!$K$40</definedName>
    <definedName name="NPP666_T72_med1_CDV">'201-107_DATAANALYSIS_longform_R'!$K$47</definedName>
    <definedName name="NPP666_T72_med1_Prodrug">'201-107_DATAANALYSIS_longform_R'!$K$35</definedName>
    <definedName name="NPP666_T72_med2_CDV">'201-107_DATAANALYSIS_longform_R'!$K$48</definedName>
    <definedName name="NPP666_T72_med2_Prodrug">'201-107_DATAANALYSIS_longform_R'!$K$36</definedName>
    <definedName name="NPP666_T72_med3_CDV">'201-107_DATAANALYSIS_longform_R'!$K$49</definedName>
    <definedName name="NPP666_T72_med3_Prodrug">'201-107_DATAANALYSIS_longform_R'!$K$37</definedName>
    <definedName name="NPP669_T0_ds1_CDV">'201-107_DATAANALYSIS_longform_R'!$K$68</definedName>
    <definedName name="NPP669_T0_ds1_Prodrug">'201-107_DATAANALYSIS_longform_R'!$K$56</definedName>
    <definedName name="NPP669_T0_ds2_CDV">'201-107_DATAANALYSIS_longform_R'!$K$69</definedName>
    <definedName name="NPP669_T0_ds2_Prodrug">'201-107_DATAANALYSIS_longform_R'!$K$57</definedName>
    <definedName name="NPP669_T0_ds3_CDV">'201-107_DATAANALYSIS_longform_R'!$K$70</definedName>
    <definedName name="NPP669_T0_ds3_Prodrug">'201-107_DATAANALYSIS_longform_R'!$K$58</definedName>
    <definedName name="NPP669_T72_ds1_CDV">'201-107_DATAANALYSIS_longform_R'!$K$71</definedName>
    <definedName name="NPP669_T72_ds1_Prodrug">'201-107_DATAANALYSIS_longform_R'!$K$59</definedName>
    <definedName name="NPP669_T72_ds2_CDV">'201-107_DATAANALYSIS_longform_R'!$K$72</definedName>
    <definedName name="NPP669_T72_ds2_Prodrug">'201-107_DATAANALYSIS_longform_R'!$K$60</definedName>
    <definedName name="NPP669_T72_ds3_CDV">'201-107_DATAANALYSIS_longform_R'!$K$73</definedName>
    <definedName name="NPP669_T72_ds3_Prodrug">'201-107_DATAANALYSIS_longform_R'!$K$61</definedName>
    <definedName name="NPP669_T72_lys1_CDV">'201-107_DATAANALYSIS_longform_R'!$K$77</definedName>
    <definedName name="NPP669_T72_lys1_PP">'201-107_DATAANALYSIS_longform_R'!$K$80</definedName>
    <definedName name="NPP669_T72_lys1_Prodrug">'201-107_DATAANALYSIS_longform_R'!$K$65</definedName>
    <definedName name="NPP669_T72_lys2_CDV">'201-107_DATAANALYSIS_longform_R'!$K$78</definedName>
    <definedName name="NPP669_T72_lys2_PP">'201-107_DATAANALYSIS_longform_R'!$K$81</definedName>
    <definedName name="NPP669_T72_lys2_Prodrug">'201-107_DATAANALYSIS_longform_R'!$K$66</definedName>
    <definedName name="NPP669_T72_lys3_CDV">'201-107_DATAANALYSIS_longform_R'!$K$79</definedName>
    <definedName name="NPP669_T72_lys3_PP">'201-107_DATAANALYSIS_longform_R'!$K$82</definedName>
    <definedName name="NPP669_T72_lys3_Prodrug">'201-107_DATAANALYSIS_longform_R'!$K$67</definedName>
    <definedName name="NPP669_T72_med1_CDV">'201-107_DATAANALYSIS_longform_R'!$K$74</definedName>
    <definedName name="NPP669_T72_med1_Prodrug">'201-107_DATAANALYSIS_longform_R'!$K$62</definedName>
    <definedName name="NPP669_T72_med2_CDV">'201-107_DATAANALYSIS_longform_R'!$K$75</definedName>
    <definedName name="NPP669_T72_med2_Prodrug">'201-107_DATAANALYSIS_longform_R'!$K$63</definedName>
    <definedName name="NPP669_T72_med3_CDV">'201-107_DATAANALYSIS_longform_R'!$K$76</definedName>
    <definedName name="NPP669_T72_med3_Prodrug">'201-107_DATAANALYSIS_longform_R'!$K$64</definedName>
    <definedName name="Seeding_Density">StudyInfo_Constants!$B$2</definedName>
    <definedName name="Theoretical_Conc.__nM">StudyInfo_Constants!$B$6</definedName>
    <definedName name="USC505_T0_ds1_CDV">'201-107_DATAANALYSIS_longform_R'!$K$101</definedName>
    <definedName name="USC505_T0_ds1_Pro">'201-107_DATAANALYSIS_longform_R'!#REF!</definedName>
    <definedName name="USC505_T0_ds2_CDV">'201-107_DATAANALYSIS_longform_R'!$K$102</definedName>
    <definedName name="USC505_T0_ds2_Pro">'201-107_DATAANALYSIS_longform_R'!#REF!</definedName>
    <definedName name="USC505_T0_ds3_CDV">'201-107_DATAANALYSIS_longform_R'!$K$103</definedName>
    <definedName name="USC505_T0_ds3_Pro">'201-107_DATAANALYSIS_longform_R'!#REF!</definedName>
    <definedName name="USC505_T72_ds1_CDV">'201-107_DATAANALYSIS_longform_R'!$K$104</definedName>
    <definedName name="USC505_T72_ds1_Pro">'201-107_DATAANALYSIS_longform_R'!#REF!</definedName>
    <definedName name="USC505_T72_ds2_CDV">'201-107_DATAANALYSIS_longform_R'!$K$105</definedName>
    <definedName name="USC505_T72_ds2_Pro">'201-107_DATAANALYSIS_longform_R'!#REF!</definedName>
    <definedName name="USC505_T72_ds3_CDV">'201-107_DATAANALYSIS_longform_R'!$K$106</definedName>
    <definedName name="USC505_T72_ds3_Pro">'201-107_DATAANALYSIS_longform_R'!#REF!</definedName>
    <definedName name="USC505_T72_lys1_CDV">'201-107_DATAANALYSIS_longform_R'!$K$110</definedName>
    <definedName name="USC505_T72_lys1_PP">'201-107_DATAANALYSIS_longform_R'!$K$113</definedName>
    <definedName name="USC505_T72_lys1_Pro">'201-107_DATAANALYSIS_longform_R'!$K$98</definedName>
    <definedName name="USC505_T72_lys1_Prodrug">'201-107_DATAANALYSIS_longform_R'!$K$98</definedName>
    <definedName name="USC505_T72_lys2_CDV">'201-107_DATAANALYSIS_longform_R'!$K$111</definedName>
    <definedName name="USC505_T72_lys2_PP">'201-107_DATAANALYSIS_longform_R'!$K$114</definedName>
    <definedName name="USC505_T72_lys2_Pro">'201-107_DATAANALYSIS_longform_R'!$K$99</definedName>
    <definedName name="USC505_T72_lys2_Prodrug">'201-107_DATAANALYSIS_longform_R'!$K$99</definedName>
    <definedName name="USC505_T72_lys3_CDV">'201-107_DATAANALYSIS_longform_R'!$K$112</definedName>
    <definedName name="USC505_T72_lys3_PP">'201-107_DATAANALYSIS_longform_R'!$K$115</definedName>
    <definedName name="USC505_T72_lys3_Pro">'201-107_DATAANALYSIS_longform_R'!$K$100</definedName>
    <definedName name="USC505_T72_lys3_Prodrug">'201-107_DATAANALYSIS_longform_R'!$K$100</definedName>
    <definedName name="USC505_T72_med1_CDV">'201-107_DATAANALYSIS_longform_R'!$K$107</definedName>
    <definedName name="USC505_T72_med1_Pro">'201-107_DATAANALYSIS_longform_R'!#REF!</definedName>
    <definedName name="USC505_T72_med1_Prodrug">'201-107_DATAANALYSIS_longform_R'!#REF!</definedName>
    <definedName name="USC505_T72_med2_CDV">'201-107_DATAANALYSIS_longform_R'!$K$108</definedName>
    <definedName name="USC505_T72_med2_Pro">'201-107_DATAANALYSIS_longform_R'!#REF!</definedName>
    <definedName name="USC505_T72_med2_Prodrug">'201-107_DATAANALYSIS_longform_R'!#REF!</definedName>
    <definedName name="USC505_T72_med3_CDV">'201-107_DATAANALYSIS_longform_R'!$K$109</definedName>
    <definedName name="USC505_T72_med3_Pro">'201-107_DATAANALYSIS_longform_R'!#REF!</definedName>
    <definedName name="USC505_T72_med3_Prodrug">'201-107_DATAANALYSIS_longform_R'!#REF!</definedName>
    <definedName name="VehAveCells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3" l="1"/>
  <c r="H15" i="3"/>
  <c r="F15" i="3"/>
  <c r="D15" i="3"/>
  <c r="I23" i="13"/>
  <c r="I22" i="13"/>
  <c r="I21" i="13"/>
  <c r="I22" i="8"/>
  <c r="I23" i="8"/>
  <c r="I21" i="8"/>
  <c r="I22" i="7"/>
  <c r="I23" i="7"/>
  <c r="I21" i="7"/>
  <c r="I22" i="9"/>
  <c r="I23" i="9"/>
  <c r="I21" i="9"/>
  <c r="B13" i="3"/>
  <c r="L13" i="3"/>
  <c r="J13" i="3"/>
  <c r="H13" i="3"/>
  <c r="F13" i="3"/>
  <c r="D13" i="3"/>
  <c r="F5" i="12" l="1"/>
  <c r="J4" i="11"/>
  <c r="C21" i="5" l="1"/>
  <c r="C4" i="11"/>
  <c r="C11" i="11" s="1"/>
  <c r="J13" i="13"/>
  <c r="J12" i="13"/>
  <c r="J11" i="13"/>
  <c r="J13" i="12"/>
  <c r="J12" i="12"/>
  <c r="J11" i="12"/>
  <c r="G13" i="12"/>
  <c r="F12" i="12"/>
  <c r="J13" i="7"/>
  <c r="J12" i="7"/>
  <c r="J11" i="7"/>
  <c r="J13" i="8"/>
  <c r="J12" i="8"/>
  <c r="J11" i="8"/>
  <c r="C13" i="9"/>
  <c r="E13" i="9"/>
  <c r="E12" i="9"/>
  <c r="E11" i="9"/>
  <c r="D13" i="9"/>
  <c r="D12" i="9"/>
  <c r="D11" i="9"/>
  <c r="C12" i="9"/>
  <c r="C11" i="9"/>
  <c r="J13" i="9"/>
  <c r="J12" i="9"/>
  <c r="J11" i="9"/>
  <c r="H13" i="9"/>
  <c r="H12" i="9"/>
  <c r="A116" i="10"/>
  <c r="B116" i="10"/>
  <c r="C116" i="10"/>
  <c r="D116" i="10"/>
  <c r="E116" i="10"/>
  <c r="F116" i="10"/>
  <c r="G116" i="10"/>
  <c r="H116" i="10"/>
  <c r="I116" i="10"/>
  <c r="J116" i="10"/>
  <c r="K116" i="10"/>
  <c r="L116" i="10"/>
  <c r="M116" i="10"/>
  <c r="N116" i="10"/>
  <c r="O116" i="10"/>
  <c r="P116" i="10"/>
  <c r="Q116" i="10"/>
  <c r="R116" i="10"/>
  <c r="S116" i="10"/>
  <c r="T116" i="10"/>
  <c r="U116" i="10"/>
  <c r="V116" i="10"/>
  <c r="W116" i="10"/>
  <c r="A117" i="10"/>
  <c r="B117" i="10"/>
  <c r="C117" i="10"/>
  <c r="D117" i="10"/>
  <c r="E117" i="10"/>
  <c r="F117" i="10"/>
  <c r="G117" i="10"/>
  <c r="H117" i="10"/>
  <c r="I117" i="10"/>
  <c r="J117" i="10"/>
  <c r="K117" i="10"/>
  <c r="L117" i="10"/>
  <c r="M117" i="10"/>
  <c r="N117" i="10"/>
  <c r="O117" i="10"/>
  <c r="P117" i="10"/>
  <c r="Q117" i="10"/>
  <c r="R117" i="10"/>
  <c r="S117" i="10"/>
  <c r="T117" i="10"/>
  <c r="U117" i="10"/>
  <c r="V117" i="10"/>
  <c r="W117" i="10"/>
  <c r="A118" i="10"/>
  <c r="B118" i="10"/>
  <c r="C118" i="10"/>
  <c r="D118" i="10"/>
  <c r="E118" i="10"/>
  <c r="F118" i="10"/>
  <c r="G118" i="10"/>
  <c r="H118" i="10"/>
  <c r="I118" i="10"/>
  <c r="J118" i="10"/>
  <c r="K118" i="10"/>
  <c r="L118" i="10"/>
  <c r="M118" i="10"/>
  <c r="N118" i="10"/>
  <c r="O118" i="10"/>
  <c r="P118" i="10"/>
  <c r="Q118" i="10"/>
  <c r="R118" i="10"/>
  <c r="S118" i="10"/>
  <c r="T118" i="10"/>
  <c r="U118" i="10"/>
  <c r="V118" i="10"/>
  <c r="W118" i="10"/>
  <c r="A119" i="10"/>
  <c r="B119" i="10"/>
  <c r="C119" i="10"/>
  <c r="D119" i="10"/>
  <c r="E119" i="10"/>
  <c r="F119" i="10"/>
  <c r="G119" i="10"/>
  <c r="H119" i="10"/>
  <c r="I119" i="10"/>
  <c r="J119" i="10"/>
  <c r="K119" i="10"/>
  <c r="L119" i="10"/>
  <c r="M119" i="10"/>
  <c r="N119" i="10"/>
  <c r="O119" i="10"/>
  <c r="P119" i="10"/>
  <c r="Q119" i="10"/>
  <c r="R119" i="10"/>
  <c r="S119" i="10"/>
  <c r="T119" i="10"/>
  <c r="U119" i="10"/>
  <c r="V119" i="10"/>
  <c r="W119" i="10"/>
  <c r="A120" i="10"/>
  <c r="B120" i="10"/>
  <c r="C120" i="10"/>
  <c r="D120" i="10"/>
  <c r="E120" i="10"/>
  <c r="F120" i="10"/>
  <c r="G120" i="10"/>
  <c r="H120" i="10"/>
  <c r="I120" i="10"/>
  <c r="J120" i="10"/>
  <c r="K120" i="10"/>
  <c r="L120" i="10"/>
  <c r="M120" i="10"/>
  <c r="N120" i="10"/>
  <c r="O120" i="10"/>
  <c r="P120" i="10"/>
  <c r="Q120" i="10"/>
  <c r="R120" i="10"/>
  <c r="S120" i="10"/>
  <c r="T120" i="10"/>
  <c r="U120" i="10"/>
  <c r="V120" i="10"/>
  <c r="W120" i="10"/>
  <c r="A121" i="10"/>
  <c r="B121" i="10"/>
  <c r="C121" i="10"/>
  <c r="D121" i="10"/>
  <c r="E121" i="10"/>
  <c r="F121" i="10"/>
  <c r="G121" i="10"/>
  <c r="H121" i="10"/>
  <c r="I121" i="10"/>
  <c r="J121" i="10"/>
  <c r="K121" i="10"/>
  <c r="L121" i="10"/>
  <c r="M121" i="10"/>
  <c r="N121" i="10"/>
  <c r="O121" i="10"/>
  <c r="P121" i="10"/>
  <c r="Q121" i="10"/>
  <c r="R121" i="10"/>
  <c r="S121" i="10"/>
  <c r="T121" i="10"/>
  <c r="U121" i="10"/>
  <c r="V121" i="10"/>
  <c r="W121" i="10"/>
  <c r="A122" i="10"/>
  <c r="B122" i="10"/>
  <c r="C122" i="10"/>
  <c r="D122" i="10"/>
  <c r="E122" i="10"/>
  <c r="F122" i="10"/>
  <c r="G122" i="10"/>
  <c r="H122" i="10"/>
  <c r="I122" i="10"/>
  <c r="J122" i="10"/>
  <c r="K122" i="10"/>
  <c r="L122" i="10"/>
  <c r="M122" i="10"/>
  <c r="N122" i="10"/>
  <c r="O122" i="10"/>
  <c r="P122" i="10"/>
  <c r="Q122" i="10"/>
  <c r="R122" i="10"/>
  <c r="S122" i="10"/>
  <c r="T122" i="10"/>
  <c r="U122" i="10"/>
  <c r="V122" i="10"/>
  <c r="W122" i="10"/>
  <c r="A123" i="10"/>
  <c r="B123" i="10"/>
  <c r="C123" i="10"/>
  <c r="D123" i="10"/>
  <c r="E123" i="10"/>
  <c r="F123" i="10"/>
  <c r="G123" i="10"/>
  <c r="H123" i="10"/>
  <c r="I123" i="10"/>
  <c r="J123" i="10"/>
  <c r="K123" i="10"/>
  <c r="L123" i="10"/>
  <c r="M123" i="10"/>
  <c r="N123" i="10"/>
  <c r="O123" i="10"/>
  <c r="P123" i="10"/>
  <c r="Q123" i="10"/>
  <c r="R123" i="10"/>
  <c r="S123" i="10"/>
  <c r="T123" i="10"/>
  <c r="U123" i="10"/>
  <c r="V123" i="10"/>
  <c r="W123" i="10"/>
  <c r="A124" i="10"/>
  <c r="B124" i="10"/>
  <c r="C124" i="10"/>
  <c r="D124" i="10"/>
  <c r="E124" i="10"/>
  <c r="F124" i="10"/>
  <c r="G124" i="10"/>
  <c r="H124" i="10"/>
  <c r="I124" i="10"/>
  <c r="J124" i="10"/>
  <c r="K124" i="10"/>
  <c r="L124" i="10"/>
  <c r="M124" i="10"/>
  <c r="N124" i="10"/>
  <c r="O124" i="10"/>
  <c r="P124" i="10"/>
  <c r="Q124" i="10"/>
  <c r="R124" i="10"/>
  <c r="S124" i="10"/>
  <c r="T124" i="10"/>
  <c r="U124" i="10"/>
  <c r="V124" i="10"/>
  <c r="W124" i="10"/>
  <c r="A125" i="10"/>
  <c r="B125" i="10"/>
  <c r="C125" i="10"/>
  <c r="D125" i="10"/>
  <c r="E125" i="10"/>
  <c r="F125" i="10"/>
  <c r="G125" i="10"/>
  <c r="H125" i="10"/>
  <c r="I125" i="10"/>
  <c r="J125" i="10"/>
  <c r="K125" i="10"/>
  <c r="L125" i="10"/>
  <c r="M125" i="10"/>
  <c r="N125" i="10"/>
  <c r="O125" i="10"/>
  <c r="P125" i="10"/>
  <c r="Q125" i="10"/>
  <c r="R125" i="10"/>
  <c r="S125" i="10"/>
  <c r="T125" i="10"/>
  <c r="U125" i="10"/>
  <c r="V125" i="10"/>
  <c r="W125" i="10"/>
  <c r="A126" i="10"/>
  <c r="B126" i="10"/>
  <c r="C126" i="10"/>
  <c r="D126" i="10"/>
  <c r="E126" i="10"/>
  <c r="F126" i="10"/>
  <c r="G126" i="10"/>
  <c r="H126" i="10"/>
  <c r="I126" i="10"/>
  <c r="J126" i="10"/>
  <c r="K126" i="10"/>
  <c r="L126" i="10"/>
  <c r="M126" i="10"/>
  <c r="N126" i="10"/>
  <c r="O126" i="10"/>
  <c r="P126" i="10"/>
  <c r="Q126" i="10"/>
  <c r="R126" i="10"/>
  <c r="S126" i="10"/>
  <c r="T126" i="10"/>
  <c r="U126" i="10"/>
  <c r="V126" i="10"/>
  <c r="W126" i="10"/>
  <c r="A127" i="10"/>
  <c r="B127" i="10"/>
  <c r="C127" i="10"/>
  <c r="D127" i="10"/>
  <c r="E127" i="10"/>
  <c r="F127" i="10"/>
  <c r="G127" i="10"/>
  <c r="H127" i="10"/>
  <c r="I127" i="10"/>
  <c r="J127" i="10"/>
  <c r="K127" i="10"/>
  <c r="L127" i="10"/>
  <c r="M127" i="10"/>
  <c r="N127" i="10"/>
  <c r="O127" i="10"/>
  <c r="P127" i="10"/>
  <c r="Q127" i="10"/>
  <c r="R127" i="10"/>
  <c r="S127" i="10"/>
  <c r="T127" i="10"/>
  <c r="U127" i="10"/>
  <c r="V127" i="10"/>
  <c r="W127" i="10"/>
  <c r="A128" i="10"/>
  <c r="B128" i="10"/>
  <c r="C128" i="10"/>
  <c r="D128" i="10"/>
  <c r="E128" i="10"/>
  <c r="F128" i="10"/>
  <c r="G128" i="10"/>
  <c r="H128" i="10"/>
  <c r="I128" i="10"/>
  <c r="J128" i="10"/>
  <c r="K128" i="10"/>
  <c r="L128" i="10"/>
  <c r="M128" i="10"/>
  <c r="N128" i="10"/>
  <c r="O128" i="10"/>
  <c r="P128" i="10"/>
  <c r="Q128" i="10"/>
  <c r="R128" i="10"/>
  <c r="S128" i="10"/>
  <c r="T128" i="10"/>
  <c r="U128" i="10"/>
  <c r="V128" i="10"/>
  <c r="W128" i="10"/>
  <c r="A129" i="10"/>
  <c r="B129" i="10"/>
  <c r="C129" i="10"/>
  <c r="D129" i="10"/>
  <c r="E129" i="10"/>
  <c r="F129" i="10"/>
  <c r="G129" i="10"/>
  <c r="H129" i="10"/>
  <c r="I129" i="10"/>
  <c r="J129" i="10"/>
  <c r="K129" i="10"/>
  <c r="L129" i="10"/>
  <c r="M129" i="10"/>
  <c r="N129" i="10"/>
  <c r="O129" i="10"/>
  <c r="P129" i="10"/>
  <c r="Q129" i="10"/>
  <c r="R129" i="10"/>
  <c r="S129" i="10"/>
  <c r="T129" i="10"/>
  <c r="U129" i="10"/>
  <c r="V129" i="10"/>
  <c r="W129" i="10"/>
  <c r="A130" i="10"/>
  <c r="B130" i="10"/>
  <c r="C130" i="10"/>
  <c r="D130" i="10"/>
  <c r="E130" i="10"/>
  <c r="F130" i="10"/>
  <c r="G130" i="10"/>
  <c r="H130" i="10"/>
  <c r="I130" i="10"/>
  <c r="J130" i="10"/>
  <c r="K130" i="10"/>
  <c r="L130" i="10"/>
  <c r="M130" i="10"/>
  <c r="N130" i="10"/>
  <c r="O130" i="10"/>
  <c r="P130" i="10"/>
  <c r="Q130" i="10"/>
  <c r="R130" i="10"/>
  <c r="S130" i="10"/>
  <c r="T130" i="10"/>
  <c r="U130" i="10"/>
  <c r="V130" i="10"/>
  <c r="W130" i="10"/>
  <c r="A131" i="10"/>
  <c r="B131" i="10"/>
  <c r="C131" i="10"/>
  <c r="D131" i="10"/>
  <c r="E131" i="10"/>
  <c r="F131" i="10"/>
  <c r="G131" i="10"/>
  <c r="H131" i="10"/>
  <c r="I131" i="10"/>
  <c r="J131" i="10"/>
  <c r="K131" i="10"/>
  <c r="L131" i="10"/>
  <c r="M131" i="10"/>
  <c r="N131" i="10"/>
  <c r="O131" i="10"/>
  <c r="P131" i="10"/>
  <c r="Q131" i="10"/>
  <c r="R131" i="10"/>
  <c r="S131" i="10"/>
  <c r="T131" i="10"/>
  <c r="U131" i="10"/>
  <c r="V131" i="10"/>
  <c r="W131" i="10"/>
  <c r="A132" i="10"/>
  <c r="B132" i="10"/>
  <c r="C132" i="10"/>
  <c r="D132" i="10"/>
  <c r="E132" i="10"/>
  <c r="F132" i="10"/>
  <c r="G132" i="10"/>
  <c r="H132" i="10"/>
  <c r="I132" i="10"/>
  <c r="J132" i="10"/>
  <c r="K132" i="10"/>
  <c r="L132" i="10"/>
  <c r="M132" i="10"/>
  <c r="N132" i="10"/>
  <c r="O132" i="10"/>
  <c r="P132" i="10"/>
  <c r="Q132" i="10"/>
  <c r="R132" i="10"/>
  <c r="S132" i="10"/>
  <c r="T132" i="10"/>
  <c r="U132" i="10"/>
  <c r="V132" i="10"/>
  <c r="W132" i="10"/>
  <c r="A133" i="10"/>
  <c r="B133" i="10"/>
  <c r="C133" i="10"/>
  <c r="D133" i="10"/>
  <c r="E133" i="10"/>
  <c r="F133" i="10"/>
  <c r="G133" i="10"/>
  <c r="H133" i="10"/>
  <c r="I133" i="10"/>
  <c r="J133" i="10"/>
  <c r="K133" i="10"/>
  <c r="L133" i="10"/>
  <c r="M133" i="10"/>
  <c r="N133" i="10"/>
  <c r="O133" i="10"/>
  <c r="P133" i="10"/>
  <c r="Q133" i="10"/>
  <c r="R133" i="10"/>
  <c r="S133" i="10"/>
  <c r="T133" i="10"/>
  <c r="U133" i="10"/>
  <c r="V133" i="10"/>
  <c r="W133" i="10"/>
  <c r="A134" i="10"/>
  <c r="B134" i="10"/>
  <c r="C134" i="10"/>
  <c r="D134" i="10"/>
  <c r="E134" i="10"/>
  <c r="F134" i="10"/>
  <c r="G134" i="10"/>
  <c r="H134" i="10"/>
  <c r="I134" i="10"/>
  <c r="J134" i="10"/>
  <c r="K134" i="10"/>
  <c r="L134" i="10"/>
  <c r="M134" i="10"/>
  <c r="N134" i="10"/>
  <c r="O134" i="10"/>
  <c r="P134" i="10"/>
  <c r="Q134" i="10"/>
  <c r="R134" i="10"/>
  <c r="S134" i="10"/>
  <c r="T134" i="10"/>
  <c r="U134" i="10"/>
  <c r="V134" i="10"/>
  <c r="W134" i="10"/>
  <c r="A135" i="10"/>
  <c r="B135" i="10"/>
  <c r="C135" i="10"/>
  <c r="D135" i="10"/>
  <c r="E135" i="10"/>
  <c r="F135" i="10"/>
  <c r="G135" i="10"/>
  <c r="H135" i="10"/>
  <c r="I135" i="10"/>
  <c r="J135" i="10"/>
  <c r="K135" i="10"/>
  <c r="L135" i="10"/>
  <c r="M135" i="10"/>
  <c r="N135" i="10"/>
  <c r="O135" i="10"/>
  <c r="P135" i="10"/>
  <c r="Q135" i="10"/>
  <c r="R135" i="10"/>
  <c r="S135" i="10"/>
  <c r="T135" i="10"/>
  <c r="U135" i="10"/>
  <c r="V135" i="10"/>
  <c r="W135" i="10"/>
  <c r="A136" i="10"/>
  <c r="B136" i="10"/>
  <c r="C136" i="10"/>
  <c r="D136" i="10"/>
  <c r="E136" i="10"/>
  <c r="F136" i="10"/>
  <c r="G136" i="10"/>
  <c r="H136" i="10"/>
  <c r="I136" i="10"/>
  <c r="J136" i="10"/>
  <c r="K136" i="10"/>
  <c r="L136" i="10"/>
  <c r="M136" i="10"/>
  <c r="N136" i="10"/>
  <c r="O136" i="10"/>
  <c r="P136" i="10"/>
  <c r="Q136" i="10"/>
  <c r="R136" i="10"/>
  <c r="S136" i="10"/>
  <c r="T136" i="10"/>
  <c r="U136" i="10"/>
  <c r="V136" i="10"/>
  <c r="W136" i="10"/>
  <c r="A137" i="10"/>
  <c r="B137" i="10"/>
  <c r="C137" i="10"/>
  <c r="D137" i="10"/>
  <c r="E137" i="10"/>
  <c r="F137" i="10"/>
  <c r="G137" i="10"/>
  <c r="H137" i="10"/>
  <c r="I137" i="10"/>
  <c r="J137" i="10"/>
  <c r="K137" i="10"/>
  <c r="L137" i="10"/>
  <c r="M137" i="10"/>
  <c r="N137" i="10"/>
  <c r="O137" i="10"/>
  <c r="P137" i="10"/>
  <c r="Q137" i="10"/>
  <c r="R137" i="10"/>
  <c r="S137" i="10"/>
  <c r="T137" i="10"/>
  <c r="U137" i="10"/>
  <c r="V137" i="10"/>
  <c r="W137" i="10"/>
  <c r="A138" i="10"/>
  <c r="B138" i="10"/>
  <c r="C138" i="10"/>
  <c r="D138" i="10"/>
  <c r="E138" i="10"/>
  <c r="F138" i="10"/>
  <c r="G138" i="10"/>
  <c r="H138" i="10"/>
  <c r="I138" i="10"/>
  <c r="J138" i="10"/>
  <c r="K138" i="10"/>
  <c r="L138" i="10"/>
  <c r="M138" i="10"/>
  <c r="N138" i="10"/>
  <c r="O138" i="10"/>
  <c r="P138" i="10"/>
  <c r="Q138" i="10"/>
  <c r="R138" i="10"/>
  <c r="S138" i="10"/>
  <c r="T138" i="10"/>
  <c r="U138" i="10"/>
  <c r="V138" i="10"/>
  <c r="W138" i="10"/>
  <c r="A139" i="10"/>
  <c r="B139" i="10"/>
  <c r="C139" i="10"/>
  <c r="D139" i="10"/>
  <c r="E139" i="10"/>
  <c r="F139" i="10"/>
  <c r="G139" i="10"/>
  <c r="H139" i="10"/>
  <c r="I139" i="10"/>
  <c r="J139" i="10"/>
  <c r="K139" i="10"/>
  <c r="L139" i="10"/>
  <c r="M139" i="10"/>
  <c r="N139" i="10"/>
  <c r="O139" i="10"/>
  <c r="P139" i="10"/>
  <c r="Q139" i="10"/>
  <c r="R139" i="10"/>
  <c r="S139" i="10"/>
  <c r="T139" i="10"/>
  <c r="U139" i="10"/>
  <c r="V139" i="10"/>
  <c r="W139" i="10"/>
  <c r="A140" i="10"/>
  <c r="B140" i="10"/>
  <c r="C140" i="10"/>
  <c r="D140" i="10"/>
  <c r="E140" i="10"/>
  <c r="F140" i="10"/>
  <c r="G140" i="10"/>
  <c r="H140" i="10"/>
  <c r="I140" i="10"/>
  <c r="J140" i="10"/>
  <c r="K140" i="10"/>
  <c r="L140" i="10"/>
  <c r="M140" i="10"/>
  <c r="N140" i="10"/>
  <c r="O140" i="10"/>
  <c r="P140" i="10"/>
  <c r="Q140" i="10"/>
  <c r="R140" i="10"/>
  <c r="S140" i="10"/>
  <c r="T140" i="10"/>
  <c r="U140" i="10"/>
  <c r="V140" i="10"/>
  <c r="W140" i="10"/>
  <c r="A141" i="10"/>
  <c r="B141" i="10"/>
  <c r="C141" i="10"/>
  <c r="D141" i="10"/>
  <c r="E141" i="10"/>
  <c r="F141" i="10"/>
  <c r="G141" i="10"/>
  <c r="H141" i="10"/>
  <c r="I141" i="10"/>
  <c r="J141" i="10"/>
  <c r="K141" i="10"/>
  <c r="L141" i="10"/>
  <c r="M141" i="10"/>
  <c r="N141" i="10"/>
  <c r="O141" i="10"/>
  <c r="P141" i="10"/>
  <c r="Q141" i="10"/>
  <c r="R141" i="10"/>
  <c r="S141" i="10"/>
  <c r="T141" i="10"/>
  <c r="U141" i="10"/>
  <c r="V141" i="10"/>
  <c r="W141" i="10"/>
  <c r="A142" i="10"/>
  <c r="B142" i="10"/>
  <c r="C142" i="10"/>
  <c r="D142" i="10"/>
  <c r="E142" i="10"/>
  <c r="F142" i="10"/>
  <c r="G142" i="10"/>
  <c r="H142" i="10"/>
  <c r="I142" i="10"/>
  <c r="J142" i="10"/>
  <c r="K142" i="10"/>
  <c r="L142" i="10"/>
  <c r="M142" i="10"/>
  <c r="N142" i="10"/>
  <c r="O142" i="10"/>
  <c r="P142" i="10"/>
  <c r="Q142" i="10"/>
  <c r="R142" i="10"/>
  <c r="S142" i="10"/>
  <c r="T142" i="10"/>
  <c r="U142" i="10"/>
  <c r="V142" i="10"/>
  <c r="W142" i="10"/>
  <c r="C4" i="8" l="1"/>
  <c r="D4" i="8"/>
  <c r="E4" i="8"/>
  <c r="F4" i="8"/>
  <c r="F11" i="8" s="1"/>
  <c r="G4" i="8"/>
  <c r="G11" i="8" s="1"/>
  <c r="H4" i="8"/>
  <c r="I4" i="8"/>
  <c r="J4" i="8"/>
  <c r="J5" i="11" l="1"/>
  <c r="J12" i="11" s="1"/>
  <c r="J6" i="11"/>
  <c r="J13" i="11" s="1"/>
  <c r="J11" i="11"/>
  <c r="B4" i="3" s="1"/>
  <c r="E4" i="12" l="1"/>
  <c r="C4" i="12"/>
  <c r="G4" i="7"/>
  <c r="G11" i="7" s="1"/>
  <c r="C4" i="9"/>
  <c r="W115" i="10"/>
  <c r="V115" i="10"/>
  <c r="U115" i="10"/>
  <c r="T115" i="10"/>
  <c r="S115" i="10"/>
  <c r="R115" i="10"/>
  <c r="Q115" i="10"/>
  <c r="P115" i="10"/>
  <c r="O115" i="10"/>
  <c r="N115" i="10"/>
  <c r="M115" i="10"/>
  <c r="L115" i="10"/>
  <c r="K115" i="10"/>
  <c r="J115" i="10"/>
  <c r="I115" i="10"/>
  <c r="H115" i="10"/>
  <c r="G115" i="10"/>
  <c r="F115" i="10"/>
  <c r="E115" i="10"/>
  <c r="D115" i="10"/>
  <c r="C115" i="10"/>
  <c r="B115" i="10"/>
  <c r="A115" i="10"/>
  <c r="W114" i="10"/>
  <c r="V114" i="10"/>
  <c r="U114" i="10"/>
  <c r="T114" i="10"/>
  <c r="S114" i="10"/>
  <c r="R114" i="10"/>
  <c r="Q114" i="10"/>
  <c r="P114" i="10"/>
  <c r="O114" i="10"/>
  <c r="N114" i="10"/>
  <c r="M114" i="10"/>
  <c r="L114" i="10"/>
  <c r="K114" i="10"/>
  <c r="J114" i="10"/>
  <c r="I114" i="10"/>
  <c r="H114" i="10"/>
  <c r="G114" i="10"/>
  <c r="F114" i="10"/>
  <c r="E114" i="10"/>
  <c r="D114" i="10"/>
  <c r="C114" i="10"/>
  <c r="B114" i="10"/>
  <c r="A114" i="10"/>
  <c r="W113" i="10"/>
  <c r="V113" i="10"/>
  <c r="U113" i="10"/>
  <c r="T113" i="10"/>
  <c r="S113" i="10"/>
  <c r="R113" i="10"/>
  <c r="Q113" i="10"/>
  <c r="P113" i="10"/>
  <c r="O113" i="10"/>
  <c r="N113" i="10"/>
  <c r="M113" i="10"/>
  <c r="L113" i="10"/>
  <c r="K113" i="10"/>
  <c r="J113" i="10"/>
  <c r="I113" i="10"/>
  <c r="H113" i="10"/>
  <c r="G113" i="10"/>
  <c r="F113" i="10"/>
  <c r="E113" i="10"/>
  <c r="D113" i="10"/>
  <c r="C113" i="10"/>
  <c r="B113" i="10"/>
  <c r="A113" i="10"/>
  <c r="W112" i="10"/>
  <c r="V112" i="10"/>
  <c r="U112" i="10"/>
  <c r="T112" i="10"/>
  <c r="S112" i="10"/>
  <c r="R112" i="10"/>
  <c r="Q112" i="10"/>
  <c r="P112" i="10"/>
  <c r="O112" i="10"/>
  <c r="N112" i="10"/>
  <c r="M112" i="10"/>
  <c r="L112" i="10"/>
  <c r="K112" i="10"/>
  <c r="J112" i="10"/>
  <c r="I112" i="10"/>
  <c r="H112" i="10"/>
  <c r="G112" i="10"/>
  <c r="F112" i="10"/>
  <c r="E112" i="10"/>
  <c r="D112" i="10"/>
  <c r="C112" i="10"/>
  <c r="B112" i="10"/>
  <c r="A112" i="10"/>
  <c r="W111" i="10"/>
  <c r="V111" i="10"/>
  <c r="U111" i="10"/>
  <c r="T111" i="10"/>
  <c r="S111" i="10"/>
  <c r="R111" i="10"/>
  <c r="Q111" i="10"/>
  <c r="P111" i="10"/>
  <c r="O111" i="10"/>
  <c r="N111" i="10"/>
  <c r="M111" i="10"/>
  <c r="L111" i="10"/>
  <c r="K111" i="10"/>
  <c r="J111" i="10"/>
  <c r="I111" i="10"/>
  <c r="H111" i="10"/>
  <c r="G111" i="10"/>
  <c r="F111" i="10"/>
  <c r="E111" i="10"/>
  <c r="D111" i="10"/>
  <c r="C111" i="10"/>
  <c r="B111" i="10"/>
  <c r="A111" i="10"/>
  <c r="W110" i="10"/>
  <c r="V110" i="10"/>
  <c r="U110" i="10"/>
  <c r="T110" i="10"/>
  <c r="S110" i="10"/>
  <c r="R110" i="10"/>
  <c r="Q110" i="10"/>
  <c r="P110" i="10"/>
  <c r="O110" i="10"/>
  <c r="N110" i="10"/>
  <c r="M110" i="10"/>
  <c r="L110" i="10"/>
  <c r="K110" i="10"/>
  <c r="J110" i="10"/>
  <c r="I110" i="10"/>
  <c r="H110" i="10"/>
  <c r="G110" i="10"/>
  <c r="F110" i="10"/>
  <c r="E110" i="10"/>
  <c r="D110" i="10"/>
  <c r="C110" i="10"/>
  <c r="B110" i="10"/>
  <c r="A110" i="10"/>
  <c r="W109" i="10"/>
  <c r="V109" i="10"/>
  <c r="U109" i="10"/>
  <c r="T109" i="10"/>
  <c r="S109" i="10"/>
  <c r="R109" i="10"/>
  <c r="Q109" i="10"/>
  <c r="P109" i="10"/>
  <c r="O109" i="10"/>
  <c r="N109" i="10"/>
  <c r="M109" i="10"/>
  <c r="L109" i="10"/>
  <c r="K109" i="10"/>
  <c r="J109" i="10"/>
  <c r="I109" i="10"/>
  <c r="H109" i="10"/>
  <c r="G109" i="10"/>
  <c r="F109" i="10"/>
  <c r="E109" i="10"/>
  <c r="D109" i="10"/>
  <c r="C109" i="10"/>
  <c r="B109" i="10"/>
  <c r="A109" i="10"/>
  <c r="W108" i="10"/>
  <c r="V108" i="10"/>
  <c r="U108" i="10"/>
  <c r="T108" i="10"/>
  <c r="S108" i="10"/>
  <c r="R108" i="10"/>
  <c r="Q108" i="10"/>
  <c r="P108" i="10"/>
  <c r="O108" i="10"/>
  <c r="N108" i="10"/>
  <c r="M108" i="10"/>
  <c r="L108" i="10"/>
  <c r="K108" i="10"/>
  <c r="J108" i="10"/>
  <c r="I108" i="10"/>
  <c r="H108" i="10"/>
  <c r="G108" i="10"/>
  <c r="F108" i="10"/>
  <c r="E108" i="10"/>
  <c r="D108" i="10"/>
  <c r="C108" i="10"/>
  <c r="B108" i="10"/>
  <c r="A108" i="10"/>
  <c r="W107" i="10"/>
  <c r="V107" i="10"/>
  <c r="U107" i="10"/>
  <c r="T107" i="10"/>
  <c r="S107" i="10"/>
  <c r="R107" i="10"/>
  <c r="Q107" i="10"/>
  <c r="P107" i="10"/>
  <c r="O107" i="10"/>
  <c r="N107" i="10"/>
  <c r="M107" i="10"/>
  <c r="L107" i="10"/>
  <c r="K107" i="10"/>
  <c r="J107" i="10"/>
  <c r="I107" i="10"/>
  <c r="H107" i="10"/>
  <c r="G107" i="10"/>
  <c r="F107" i="10"/>
  <c r="E107" i="10"/>
  <c r="D107" i="10"/>
  <c r="C107" i="10"/>
  <c r="B107" i="10"/>
  <c r="A107" i="10"/>
  <c r="W106" i="10"/>
  <c r="V106" i="10"/>
  <c r="U106" i="10"/>
  <c r="T106" i="10"/>
  <c r="S106" i="10"/>
  <c r="R106" i="10"/>
  <c r="Q106" i="10"/>
  <c r="P106" i="10"/>
  <c r="O106" i="10"/>
  <c r="N106" i="10"/>
  <c r="M106" i="10"/>
  <c r="L106" i="10"/>
  <c r="K106" i="10"/>
  <c r="J106" i="10"/>
  <c r="I106" i="10"/>
  <c r="H106" i="10"/>
  <c r="G106" i="10"/>
  <c r="F106" i="10"/>
  <c r="E106" i="10"/>
  <c r="D106" i="10"/>
  <c r="C106" i="10"/>
  <c r="B106" i="10"/>
  <c r="A106" i="10"/>
  <c r="W105" i="10"/>
  <c r="V105" i="10"/>
  <c r="U105" i="10"/>
  <c r="T105" i="10"/>
  <c r="S105" i="10"/>
  <c r="R105" i="10"/>
  <c r="Q105" i="10"/>
  <c r="P105" i="10"/>
  <c r="O105" i="10"/>
  <c r="N105" i="10"/>
  <c r="M105" i="10"/>
  <c r="L105" i="10"/>
  <c r="K105" i="10"/>
  <c r="J105" i="10"/>
  <c r="I105" i="10"/>
  <c r="H105" i="10"/>
  <c r="G105" i="10"/>
  <c r="F105" i="10"/>
  <c r="E105" i="10"/>
  <c r="D105" i="10"/>
  <c r="C105" i="10"/>
  <c r="B105" i="10"/>
  <c r="A105" i="10"/>
  <c r="W104" i="10"/>
  <c r="V104" i="10"/>
  <c r="U104" i="10"/>
  <c r="T104" i="10"/>
  <c r="S104" i="10"/>
  <c r="R104" i="10"/>
  <c r="Q104" i="10"/>
  <c r="P104" i="10"/>
  <c r="O104" i="10"/>
  <c r="N104" i="10"/>
  <c r="M104" i="10"/>
  <c r="L104" i="10"/>
  <c r="K104" i="10"/>
  <c r="J104" i="10"/>
  <c r="I104" i="10"/>
  <c r="H104" i="10"/>
  <c r="G104" i="10"/>
  <c r="F104" i="10"/>
  <c r="E104" i="10"/>
  <c r="D104" i="10"/>
  <c r="C104" i="10"/>
  <c r="B104" i="10"/>
  <c r="A104" i="10"/>
  <c r="W103" i="10"/>
  <c r="V103" i="10"/>
  <c r="U103" i="10"/>
  <c r="T103" i="10"/>
  <c r="S103" i="10"/>
  <c r="R103" i="10"/>
  <c r="Q103" i="10"/>
  <c r="P103" i="10"/>
  <c r="O103" i="10"/>
  <c r="N103" i="10"/>
  <c r="M103" i="10"/>
  <c r="L103" i="10"/>
  <c r="K103" i="10"/>
  <c r="J103" i="10"/>
  <c r="I103" i="10"/>
  <c r="H103" i="10"/>
  <c r="G103" i="10"/>
  <c r="F103" i="10"/>
  <c r="E103" i="10"/>
  <c r="D103" i="10"/>
  <c r="C103" i="10"/>
  <c r="B103" i="10"/>
  <c r="A103" i="10"/>
  <c r="W102" i="10"/>
  <c r="V102" i="10"/>
  <c r="U102" i="10"/>
  <c r="T102" i="10"/>
  <c r="S102" i="10"/>
  <c r="R102" i="10"/>
  <c r="Q102" i="10"/>
  <c r="P102" i="10"/>
  <c r="O102" i="10"/>
  <c r="N102" i="10"/>
  <c r="M102" i="10"/>
  <c r="L102" i="10"/>
  <c r="K102" i="10"/>
  <c r="J102" i="10"/>
  <c r="I102" i="10"/>
  <c r="H102" i="10"/>
  <c r="G102" i="10"/>
  <c r="F102" i="10"/>
  <c r="E102" i="10"/>
  <c r="D102" i="10"/>
  <c r="C102" i="10"/>
  <c r="B102" i="10"/>
  <c r="A102" i="10"/>
  <c r="W101" i="10"/>
  <c r="V101" i="10"/>
  <c r="U101" i="10"/>
  <c r="T101" i="10"/>
  <c r="S101" i="10"/>
  <c r="R101" i="10"/>
  <c r="Q101" i="10"/>
  <c r="P101" i="10"/>
  <c r="O101" i="10"/>
  <c r="N101" i="10"/>
  <c r="M101" i="10"/>
  <c r="L101" i="10"/>
  <c r="K101" i="10"/>
  <c r="J101" i="10"/>
  <c r="I101" i="10"/>
  <c r="H101" i="10"/>
  <c r="G101" i="10"/>
  <c r="F101" i="10"/>
  <c r="E101" i="10"/>
  <c r="D101" i="10"/>
  <c r="C101" i="10"/>
  <c r="B101" i="10"/>
  <c r="A101" i="10"/>
  <c r="W100" i="10"/>
  <c r="V100" i="10"/>
  <c r="U100" i="10"/>
  <c r="T100" i="10"/>
  <c r="S100" i="10"/>
  <c r="R100" i="10"/>
  <c r="Q100" i="10"/>
  <c r="P100" i="10"/>
  <c r="O100" i="10"/>
  <c r="N100" i="10"/>
  <c r="M100" i="10"/>
  <c r="L100" i="10"/>
  <c r="K100" i="10"/>
  <c r="J100" i="10"/>
  <c r="I100" i="10"/>
  <c r="H100" i="10"/>
  <c r="G100" i="10"/>
  <c r="F100" i="10"/>
  <c r="E100" i="10"/>
  <c r="D100" i="10"/>
  <c r="C100" i="10"/>
  <c r="B100" i="10"/>
  <c r="A100" i="10"/>
  <c r="W99" i="10"/>
  <c r="V99" i="10"/>
  <c r="U99" i="10"/>
  <c r="T99" i="10"/>
  <c r="S99" i="10"/>
  <c r="R99" i="10"/>
  <c r="Q99" i="10"/>
  <c r="P99" i="10"/>
  <c r="O99" i="10"/>
  <c r="N99" i="10"/>
  <c r="M99" i="10"/>
  <c r="L99" i="10"/>
  <c r="K99" i="10"/>
  <c r="J99" i="10"/>
  <c r="I99" i="10"/>
  <c r="H99" i="10"/>
  <c r="G99" i="10"/>
  <c r="F99" i="10"/>
  <c r="E99" i="10"/>
  <c r="D99" i="10"/>
  <c r="C99" i="10"/>
  <c r="B99" i="10"/>
  <c r="A99" i="10"/>
  <c r="W98" i="10"/>
  <c r="V98" i="10"/>
  <c r="U98" i="10"/>
  <c r="T98" i="10"/>
  <c r="S98" i="10"/>
  <c r="R98" i="10"/>
  <c r="Q98" i="10"/>
  <c r="P98" i="10"/>
  <c r="O98" i="10"/>
  <c r="N98" i="10"/>
  <c r="M98" i="10"/>
  <c r="L98" i="10"/>
  <c r="K98" i="10"/>
  <c r="J98" i="10"/>
  <c r="I98" i="10"/>
  <c r="H98" i="10"/>
  <c r="G98" i="10"/>
  <c r="F98" i="10"/>
  <c r="E98" i="10"/>
  <c r="D98" i="10"/>
  <c r="C98" i="10"/>
  <c r="B98" i="10"/>
  <c r="A98" i="10"/>
  <c r="W97" i="10"/>
  <c r="V97" i="10"/>
  <c r="U97" i="10"/>
  <c r="T97" i="10"/>
  <c r="S97" i="10"/>
  <c r="R97" i="10"/>
  <c r="Q97" i="10"/>
  <c r="P97" i="10"/>
  <c r="O97" i="10"/>
  <c r="N97" i="10"/>
  <c r="M97" i="10"/>
  <c r="L97" i="10"/>
  <c r="K97" i="10"/>
  <c r="J97" i="10"/>
  <c r="I97" i="10"/>
  <c r="H97" i="10"/>
  <c r="G97" i="10"/>
  <c r="F97" i="10"/>
  <c r="E97" i="10"/>
  <c r="D97" i="10"/>
  <c r="C97" i="10"/>
  <c r="B97" i="10"/>
  <c r="A97" i="10"/>
  <c r="W96" i="10"/>
  <c r="V96" i="10"/>
  <c r="U96" i="10"/>
  <c r="T96" i="10"/>
  <c r="S96" i="10"/>
  <c r="R96" i="10"/>
  <c r="Q96" i="10"/>
  <c r="P96" i="10"/>
  <c r="O96" i="10"/>
  <c r="N96" i="10"/>
  <c r="M96" i="10"/>
  <c r="L96" i="10"/>
  <c r="K96" i="10"/>
  <c r="J96" i="10"/>
  <c r="I96" i="10"/>
  <c r="H96" i="10"/>
  <c r="G96" i="10"/>
  <c r="F96" i="10"/>
  <c r="E96" i="10"/>
  <c r="D96" i="10"/>
  <c r="C96" i="10"/>
  <c r="B96" i="10"/>
  <c r="A96" i="10"/>
  <c r="W95" i="10"/>
  <c r="V95" i="10"/>
  <c r="U95" i="10"/>
  <c r="T95" i="10"/>
  <c r="S95" i="10"/>
  <c r="R95" i="10"/>
  <c r="Q95" i="10"/>
  <c r="P95" i="10"/>
  <c r="O95" i="10"/>
  <c r="N95" i="10"/>
  <c r="M95" i="10"/>
  <c r="L95" i="10"/>
  <c r="K95" i="10"/>
  <c r="J95" i="10"/>
  <c r="I95" i="10"/>
  <c r="H95" i="10"/>
  <c r="G95" i="10"/>
  <c r="F95" i="10"/>
  <c r="E95" i="10"/>
  <c r="D95" i="10"/>
  <c r="C95" i="10"/>
  <c r="B95" i="10"/>
  <c r="A95" i="10"/>
  <c r="W94" i="10"/>
  <c r="V94" i="10"/>
  <c r="U94" i="10"/>
  <c r="T94" i="10"/>
  <c r="S94" i="10"/>
  <c r="R94" i="10"/>
  <c r="Q94" i="10"/>
  <c r="P94" i="10"/>
  <c r="O94" i="10"/>
  <c r="N94" i="10"/>
  <c r="M94" i="10"/>
  <c r="L94" i="10"/>
  <c r="K94" i="10"/>
  <c r="J94" i="10"/>
  <c r="I94" i="10"/>
  <c r="H94" i="10"/>
  <c r="G94" i="10"/>
  <c r="F94" i="10"/>
  <c r="E94" i="10"/>
  <c r="D94" i="10"/>
  <c r="C94" i="10"/>
  <c r="B94" i="10"/>
  <c r="A94" i="10"/>
  <c r="W93" i="10"/>
  <c r="V93" i="10"/>
  <c r="U93" i="10"/>
  <c r="T93" i="10"/>
  <c r="S93" i="10"/>
  <c r="R93" i="10"/>
  <c r="Q93" i="10"/>
  <c r="P93" i="10"/>
  <c r="O93" i="10"/>
  <c r="N93" i="10"/>
  <c r="M93" i="10"/>
  <c r="L93" i="10"/>
  <c r="K93" i="10"/>
  <c r="J93" i="10"/>
  <c r="I93" i="10"/>
  <c r="H93" i="10"/>
  <c r="G93" i="10"/>
  <c r="F93" i="10"/>
  <c r="E93" i="10"/>
  <c r="D93" i="10"/>
  <c r="C93" i="10"/>
  <c r="B93" i="10"/>
  <c r="A93" i="10"/>
  <c r="W92" i="10"/>
  <c r="V92" i="10"/>
  <c r="U92" i="10"/>
  <c r="T92" i="10"/>
  <c r="S92" i="10"/>
  <c r="R92" i="10"/>
  <c r="Q92" i="10"/>
  <c r="P92" i="10"/>
  <c r="O92" i="10"/>
  <c r="N92" i="10"/>
  <c r="M92" i="10"/>
  <c r="L92" i="10"/>
  <c r="K92" i="10"/>
  <c r="J92" i="10"/>
  <c r="I92" i="10"/>
  <c r="H92" i="10"/>
  <c r="G92" i="10"/>
  <c r="F92" i="10"/>
  <c r="E92" i="10"/>
  <c r="D92" i="10"/>
  <c r="C92" i="10"/>
  <c r="B92" i="10"/>
  <c r="A92" i="10"/>
  <c r="W91" i="10"/>
  <c r="V91" i="10"/>
  <c r="U91" i="10"/>
  <c r="T91" i="10"/>
  <c r="S91" i="10"/>
  <c r="R91" i="10"/>
  <c r="Q91" i="10"/>
  <c r="P91" i="10"/>
  <c r="O91" i="10"/>
  <c r="N91" i="10"/>
  <c r="M91" i="10"/>
  <c r="L91" i="10"/>
  <c r="K91" i="10"/>
  <c r="J91" i="10"/>
  <c r="I91" i="10"/>
  <c r="H91" i="10"/>
  <c r="G91" i="10"/>
  <c r="F91" i="10"/>
  <c r="E91" i="10"/>
  <c r="D91" i="10"/>
  <c r="C91" i="10"/>
  <c r="B91" i="10"/>
  <c r="A91" i="10"/>
  <c r="W90" i="10"/>
  <c r="V90" i="10"/>
  <c r="U90" i="10"/>
  <c r="T90" i="10"/>
  <c r="S90" i="10"/>
  <c r="R90" i="10"/>
  <c r="Q90" i="10"/>
  <c r="P90" i="10"/>
  <c r="O90" i="10"/>
  <c r="N90" i="10"/>
  <c r="M90" i="10"/>
  <c r="L90" i="10"/>
  <c r="K90" i="10"/>
  <c r="J90" i="10"/>
  <c r="I90" i="10"/>
  <c r="H90" i="10"/>
  <c r="G90" i="10"/>
  <c r="F90" i="10"/>
  <c r="E90" i="10"/>
  <c r="D90" i="10"/>
  <c r="C90" i="10"/>
  <c r="B90" i="10"/>
  <c r="A90" i="10"/>
  <c r="W89" i="10"/>
  <c r="V89" i="10"/>
  <c r="U89" i="10"/>
  <c r="T89" i="10"/>
  <c r="S89" i="10"/>
  <c r="R89" i="10"/>
  <c r="Q89" i="10"/>
  <c r="P89" i="10"/>
  <c r="O89" i="10"/>
  <c r="N89" i="10"/>
  <c r="M89" i="10"/>
  <c r="L89" i="10"/>
  <c r="K89" i="10"/>
  <c r="J89" i="10"/>
  <c r="I89" i="10"/>
  <c r="H89" i="10"/>
  <c r="G89" i="10"/>
  <c r="F89" i="10"/>
  <c r="E89" i="10"/>
  <c r="D89" i="10"/>
  <c r="C89" i="10"/>
  <c r="B89" i="10"/>
  <c r="A89" i="10"/>
  <c r="W88" i="10"/>
  <c r="V88" i="10"/>
  <c r="U88" i="10"/>
  <c r="T88" i="10"/>
  <c r="S88" i="10"/>
  <c r="R88" i="10"/>
  <c r="Q88" i="10"/>
  <c r="P88" i="10"/>
  <c r="O88" i="10"/>
  <c r="N88" i="10"/>
  <c r="M88" i="10"/>
  <c r="L88" i="10"/>
  <c r="K88" i="10"/>
  <c r="J88" i="10"/>
  <c r="I88" i="10"/>
  <c r="H88" i="10"/>
  <c r="G88" i="10"/>
  <c r="F88" i="10"/>
  <c r="E88" i="10"/>
  <c r="D88" i="10"/>
  <c r="C88" i="10"/>
  <c r="B88" i="10"/>
  <c r="A88" i="10"/>
  <c r="W87" i="10"/>
  <c r="V87" i="10"/>
  <c r="U87" i="10"/>
  <c r="T87" i="10"/>
  <c r="S87" i="10"/>
  <c r="R87" i="10"/>
  <c r="Q87" i="10"/>
  <c r="P87" i="10"/>
  <c r="O87" i="10"/>
  <c r="N87" i="10"/>
  <c r="M87" i="10"/>
  <c r="L87" i="10"/>
  <c r="K87" i="10"/>
  <c r="J87" i="10"/>
  <c r="I87" i="10"/>
  <c r="H87" i="10"/>
  <c r="G87" i="10"/>
  <c r="F87" i="10"/>
  <c r="E87" i="10"/>
  <c r="D87" i="10"/>
  <c r="C87" i="10"/>
  <c r="B87" i="10"/>
  <c r="A87" i="10"/>
  <c r="W86" i="10"/>
  <c r="V86" i="10"/>
  <c r="U86" i="10"/>
  <c r="T86" i="10"/>
  <c r="S86" i="10"/>
  <c r="R86" i="10"/>
  <c r="Q86" i="10"/>
  <c r="P86" i="10"/>
  <c r="O86" i="10"/>
  <c r="N86" i="10"/>
  <c r="M86" i="10"/>
  <c r="L86" i="10"/>
  <c r="K86" i="10"/>
  <c r="J86" i="10"/>
  <c r="I86" i="10"/>
  <c r="H86" i="10"/>
  <c r="G86" i="10"/>
  <c r="F86" i="10"/>
  <c r="E86" i="10"/>
  <c r="D86" i="10"/>
  <c r="C86" i="10"/>
  <c r="B86" i="10"/>
  <c r="A86" i="10"/>
  <c r="W85" i="10"/>
  <c r="V85" i="10"/>
  <c r="U85" i="10"/>
  <c r="T85" i="10"/>
  <c r="S85" i="10"/>
  <c r="R85" i="10"/>
  <c r="Q85" i="10"/>
  <c r="P85" i="10"/>
  <c r="O85" i="10"/>
  <c r="N85" i="10"/>
  <c r="M85" i="10"/>
  <c r="L85" i="10"/>
  <c r="K85" i="10"/>
  <c r="J85" i="10"/>
  <c r="I85" i="10"/>
  <c r="H85" i="10"/>
  <c r="G85" i="10"/>
  <c r="F85" i="10"/>
  <c r="E85" i="10"/>
  <c r="D85" i="10"/>
  <c r="C85" i="10"/>
  <c r="B85" i="10"/>
  <c r="A85" i="10"/>
  <c r="W84" i="10"/>
  <c r="V84" i="10"/>
  <c r="U84" i="10"/>
  <c r="T84" i="10"/>
  <c r="S84" i="10"/>
  <c r="R84" i="10"/>
  <c r="Q84" i="10"/>
  <c r="P84" i="10"/>
  <c r="O84" i="10"/>
  <c r="N84" i="10"/>
  <c r="M84" i="10"/>
  <c r="L84" i="10"/>
  <c r="K84" i="10"/>
  <c r="J84" i="10"/>
  <c r="I84" i="10"/>
  <c r="H84" i="10"/>
  <c r="G84" i="10"/>
  <c r="F84" i="10"/>
  <c r="E84" i="10"/>
  <c r="D84" i="10"/>
  <c r="C84" i="10"/>
  <c r="B84" i="10"/>
  <c r="A84" i="10"/>
  <c r="W83" i="10"/>
  <c r="V83" i="10"/>
  <c r="U83" i="10"/>
  <c r="T83" i="10"/>
  <c r="S83" i="10"/>
  <c r="R83" i="10"/>
  <c r="Q83" i="10"/>
  <c r="P83" i="10"/>
  <c r="O83" i="10"/>
  <c r="N83" i="10"/>
  <c r="M83" i="10"/>
  <c r="L83" i="10"/>
  <c r="K83" i="10"/>
  <c r="J83" i="10"/>
  <c r="I83" i="10"/>
  <c r="H83" i="10"/>
  <c r="G83" i="10"/>
  <c r="F83" i="10"/>
  <c r="E83" i="10"/>
  <c r="D83" i="10"/>
  <c r="C83" i="10"/>
  <c r="B83" i="10"/>
  <c r="A83" i="10"/>
  <c r="W82" i="10"/>
  <c r="V82" i="10"/>
  <c r="U82" i="10"/>
  <c r="T82" i="10"/>
  <c r="S82" i="10"/>
  <c r="R82" i="10"/>
  <c r="Q82" i="10"/>
  <c r="P82" i="10"/>
  <c r="O82" i="10"/>
  <c r="N82" i="10"/>
  <c r="M82" i="10"/>
  <c r="L82" i="10"/>
  <c r="K82" i="10"/>
  <c r="J82" i="10"/>
  <c r="I82" i="10"/>
  <c r="H82" i="10"/>
  <c r="G82" i="10"/>
  <c r="F82" i="10"/>
  <c r="E82" i="10"/>
  <c r="D82" i="10"/>
  <c r="C82" i="10"/>
  <c r="B82" i="10"/>
  <c r="A82" i="10"/>
  <c r="W81" i="10"/>
  <c r="V81" i="10"/>
  <c r="U81" i="10"/>
  <c r="T81" i="10"/>
  <c r="S81" i="10"/>
  <c r="R81" i="10"/>
  <c r="Q81" i="10"/>
  <c r="P81" i="10"/>
  <c r="O81" i="10"/>
  <c r="N81" i="10"/>
  <c r="M81" i="10"/>
  <c r="L81" i="10"/>
  <c r="K81" i="10"/>
  <c r="J81" i="10"/>
  <c r="I81" i="10"/>
  <c r="H81" i="10"/>
  <c r="G81" i="10"/>
  <c r="F81" i="10"/>
  <c r="E81" i="10"/>
  <c r="D81" i="10"/>
  <c r="C81" i="10"/>
  <c r="B81" i="10"/>
  <c r="A81" i="10"/>
  <c r="W80" i="10"/>
  <c r="V80" i="10"/>
  <c r="U80" i="10"/>
  <c r="T80" i="10"/>
  <c r="S80" i="10"/>
  <c r="R80" i="10"/>
  <c r="Q80" i="10"/>
  <c r="P80" i="10"/>
  <c r="O80" i="10"/>
  <c r="N80" i="10"/>
  <c r="M80" i="10"/>
  <c r="L80" i="10"/>
  <c r="K80" i="10"/>
  <c r="J80" i="10"/>
  <c r="I80" i="10"/>
  <c r="H80" i="10"/>
  <c r="G80" i="10"/>
  <c r="F80" i="10"/>
  <c r="E80" i="10"/>
  <c r="D80" i="10"/>
  <c r="C80" i="10"/>
  <c r="B80" i="10"/>
  <c r="A80" i="10"/>
  <c r="W79" i="10"/>
  <c r="V79" i="10"/>
  <c r="U79" i="10"/>
  <c r="T79" i="10"/>
  <c r="S79" i="10"/>
  <c r="R79" i="10"/>
  <c r="Q79" i="10"/>
  <c r="P79" i="10"/>
  <c r="O79" i="10"/>
  <c r="N79" i="10"/>
  <c r="M79" i="10"/>
  <c r="L79" i="10"/>
  <c r="K79" i="10"/>
  <c r="J79" i="10"/>
  <c r="I79" i="10"/>
  <c r="H79" i="10"/>
  <c r="G79" i="10"/>
  <c r="F79" i="10"/>
  <c r="E79" i="10"/>
  <c r="D79" i="10"/>
  <c r="C79" i="10"/>
  <c r="B79" i="10"/>
  <c r="A79" i="10"/>
  <c r="W78" i="10"/>
  <c r="V78" i="10"/>
  <c r="U78" i="10"/>
  <c r="T78" i="10"/>
  <c r="S78" i="10"/>
  <c r="R78" i="10"/>
  <c r="Q78" i="10"/>
  <c r="P78" i="10"/>
  <c r="O78" i="10"/>
  <c r="N78" i="10"/>
  <c r="M78" i="10"/>
  <c r="L78" i="10"/>
  <c r="K78" i="10"/>
  <c r="J78" i="10"/>
  <c r="I78" i="10"/>
  <c r="H78" i="10"/>
  <c r="G78" i="10"/>
  <c r="F78" i="10"/>
  <c r="E78" i="10"/>
  <c r="D78" i="10"/>
  <c r="C78" i="10"/>
  <c r="B78" i="10"/>
  <c r="A78" i="10"/>
  <c r="W77" i="10"/>
  <c r="V77" i="10"/>
  <c r="U77" i="10"/>
  <c r="T77" i="10"/>
  <c r="S77" i="10"/>
  <c r="R77" i="10"/>
  <c r="Q77" i="10"/>
  <c r="P77" i="10"/>
  <c r="O77" i="10"/>
  <c r="N77" i="10"/>
  <c r="M77" i="10"/>
  <c r="L77" i="10"/>
  <c r="K77" i="10"/>
  <c r="J77" i="10"/>
  <c r="I77" i="10"/>
  <c r="H77" i="10"/>
  <c r="G77" i="10"/>
  <c r="F77" i="10"/>
  <c r="E77" i="10"/>
  <c r="D77" i="10"/>
  <c r="C77" i="10"/>
  <c r="B77" i="10"/>
  <c r="A77" i="10"/>
  <c r="W76" i="10"/>
  <c r="V76" i="10"/>
  <c r="U76" i="10"/>
  <c r="T76" i="10"/>
  <c r="S76" i="10"/>
  <c r="R76" i="10"/>
  <c r="Q76" i="10"/>
  <c r="P76" i="10"/>
  <c r="O76" i="10"/>
  <c r="N76" i="10"/>
  <c r="M76" i="10"/>
  <c r="L76" i="10"/>
  <c r="K76" i="10"/>
  <c r="J76" i="10"/>
  <c r="I76" i="10"/>
  <c r="H76" i="10"/>
  <c r="G76" i="10"/>
  <c r="F76" i="10"/>
  <c r="E76" i="10"/>
  <c r="D76" i="10"/>
  <c r="C76" i="10"/>
  <c r="B76" i="10"/>
  <c r="A76" i="10"/>
  <c r="W75" i="10"/>
  <c r="V75" i="10"/>
  <c r="U75" i="10"/>
  <c r="T75" i="10"/>
  <c r="S75" i="10"/>
  <c r="R75" i="10"/>
  <c r="Q75" i="10"/>
  <c r="P75" i="10"/>
  <c r="O75" i="10"/>
  <c r="N75" i="10"/>
  <c r="M75" i="10"/>
  <c r="L75" i="10"/>
  <c r="K75" i="10"/>
  <c r="J75" i="10"/>
  <c r="I75" i="10"/>
  <c r="H75" i="10"/>
  <c r="G75" i="10"/>
  <c r="F75" i="10"/>
  <c r="E75" i="10"/>
  <c r="D75" i="10"/>
  <c r="C75" i="10"/>
  <c r="B75" i="10"/>
  <c r="A75" i="10"/>
  <c r="W74" i="10"/>
  <c r="V74" i="10"/>
  <c r="U74" i="10"/>
  <c r="T74" i="10"/>
  <c r="S74" i="10"/>
  <c r="R74" i="10"/>
  <c r="Q74" i="10"/>
  <c r="P74" i="10"/>
  <c r="O74" i="10"/>
  <c r="N74" i="10"/>
  <c r="M74" i="10"/>
  <c r="L74" i="10"/>
  <c r="K74" i="10"/>
  <c r="J74" i="10"/>
  <c r="I74" i="10"/>
  <c r="H74" i="10"/>
  <c r="G74" i="10"/>
  <c r="F74" i="10"/>
  <c r="E74" i="10"/>
  <c r="D74" i="10"/>
  <c r="C74" i="10"/>
  <c r="B74" i="10"/>
  <c r="A74" i="10"/>
  <c r="W73" i="10"/>
  <c r="V73" i="10"/>
  <c r="U73" i="10"/>
  <c r="T73" i="10"/>
  <c r="S73" i="10"/>
  <c r="R73" i="10"/>
  <c r="Q73" i="10"/>
  <c r="P73" i="10"/>
  <c r="O73" i="10"/>
  <c r="N73" i="10"/>
  <c r="M73" i="10"/>
  <c r="L73" i="10"/>
  <c r="K73" i="10"/>
  <c r="J73" i="10"/>
  <c r="I73" i="10"/>
  <c r="H73" i="10"/>
  <c r="G73" i="10"/>
  <c r="F73" i="10"/>
  <c r="E73" i="10"/>
  <c r="D73" i="10"/>
  <c r="C73" i="10"/>
  <c r="B73" i="10"/>
  <c r="A73" i="10"/>
  <c r="W72" i="10"/>
  <c r="V72" i="10"/>
  <c r="U72" i="10"/>
  <c r="T72" i="10"/>
  <c r="S72" i="10"/>
  <c r="R72" i="10"/>
  <c r="Q72" i="10"/>
  <c r="P72" i="10"/>
  <c r="O72" i="10"/>
  <c r="N72" i="10"/>
  <c r="M72" i="10"/>
  <c r="L72" i="10"/>
  <c r="K72" i="10"/>
  <c r="J72" i="10"/>
  <c r="I72" i="10"/>
  <c r="H72" i="10"/>
  <c r="G72" i="10"/>
  <c r="F72" i="10"/>
  <c r="E72" i="10"/>
  <c r="D72" i="10"/>
  <c r="C72" i="10"/>
  <c r="B72" i="10"/>
  <c r="A72" i="10"/>
  <c r="W71" i="10"/>
  <c r="V71" i="10"/>
  <c r="U71" i="10"/>
  <c r="T71" i="10"/>
  <c r="S71" i="10"/>
  <c r="R71" i="10"/>
  <c r="Q71" i="10"/>
  <c r="P71" i="10"/>
  <c r="O71" i="10"/>
  <c r="N71" i="10"/>
  <c r="M71" i="10"/>
  <c r="L71" i="10"/>
  <c r="K71" i="10"/>
  <c r="J71" i="10"/>
  <c r="I71" i="10"/>
  <c r="H71" i="10"/>
  <c r="G71" i="10"/>
  <c r="F71" i="10"/>
  <c r="E71" i="10"/>
  <c r="D71" i="10"/>
  <c r="C71" i="10"/>
  <c r="B71" i="10"/>
  <c r="A71" i="10"/>
  <c r="W70" i="10"/>
  <c r="V70" i="10"/>
  <c r="U70" i="10"/>
  <c r="T70" i="10"/>
  <c r="S70" i="10"/>
  <c r="R70" i="10"/>
  <c r="Q70" i="10"/>
  <c r="P70" i="10"/>
  <c r="O70" i="10"/>
  <c r="N70" i="10"/>
  <c r="M70" i="10"/>
  <c r="L70" i="10"/>
  <c r="K70" i="10"/>
  <c r="J70" i="10"/>
  <c r="I70" i="10"/>
  <c r="H70" i="10"/>
  <c r="G70" i="10"/>
  <c r="F70" i="10"/>
  <c r="E70" i="10"/>
  <c r="D70" i="10"/>
  <c r="C70" i="10"/>
  <c r="B70" i="10"/>
  <c r="A70" i="10"/>
  <c r="W69" i="10"/>
  <c r="V69" i="10"/>
  <c r="U69" i="10"/>
  <c r="T69" i="10"/>
  <c r="S69" i="10"/>
  <c r="R69" i="10"/>
  <c r="Q69" i="10"/>
  <c r="P69" i="10"/>
  <c r="O69" i="10"/>
  <c r="N69" i="10"/>
  <c r="M69" i="10"/>
  <c r="L69" i="10"/>
  <c r="K69" i="10"/>
  <c r="J69" i="10"/>
  <c r="I69" i="10"/>
  <c r="H69" i="10"/>
  <c r="G69" i="10"/>
  <c r="F69" i="10"/>
  <c r="E69" i="10"/>
  <c r="D69" i="10"/>
  <c r="C69" i="10"/>
  <c r="B69" i="10"/>
  <c r="A69" i="10"/>
  <c r="W68" i="10"/>
  <c r="V68" i="10"/>
  <c r="U68" i="10"/>
  <c r="T68" i="10"/>
  <c r="S68" i="10"/>
  <c r="R68" i="10"/>
  <c r="Q68" i="10"/>
  <c r="P68" i="10"/>
  <c r="O68" i="10"/>
  <c r="N68" i="10"/>
  <c r="M68" i="10"/>
  <c r="L68" i="10"/>
  <c r="K68" i="10"/>
  <c r="J68" i="10"/>
  <c r="I68" i="10"/>
  <c r="H68" i="10"/>
  <c r="G68" i="10"/>
  <c r="F68" i="10"/>
  <c r="E68" i="10"/>
  <c r="D68" i="10"/>
  <c r="C68" i="10"/>
  <c r="B68" i="10"/>
  <c r="A68" i="10"/>
  <c r="W67" i="10"/>
  <c r="V67" i="10"/>
  <c r="U67" i="10"/>
  <c r="T67" i="10"/>
  <c r="S67" i="10"/>
  <c r="R67" i="10"/>
  <c r="Q67" i="10"/>
  <c r="P67" i="10"/>
  <c r="O67" i="10"/>
  <c r="N67" i="10"/>
  <c r="M67" i="10"/>
  <c r="L67" i="10"/>
  <c r="K67" i="10"/>
  <c r="J67" i="10"/>
  <c r="I67" i="10"/>
  <c r="H67" i="10"/>
  <c r="G67" i="10"/>
  <c r="F67" i="10"/>
  <c r="E67" i="10"/>
  <c r="D67" i="10"/>
  <c r="C67" i="10"/>
  <c r="B67" i="10"/>
  <c r="A67" i="10"/>
  <c r="W66" i="10"/>
  <c r="V66" i="10"/>
  <c r="U66" i="10"/>
  <c r="T66" i="10"/>
  <c r="S66" i="10"/>
  <c r="R66" i="10"/>
  <c r="Q66" i="10"/>
  <c r="P66" i="10"/>
  <c r="O66" i="10"/>
  <c r="N66" i="10"/>
  <c r="M66" i="10"/>
  <c r="L66" i="10"/>
  <c r="K66" i="10"/>
  <c r="J66" i="10"/>
  <c r="I66" i="10"/>
  <c r="H66" i="10"/>
  <c r="G66" i="10"/>
  <c r="F66" i="10"/>
  <c r="E66" i="10"/>
  <c r="D66" i="10"/>
  <c r="C66" i="10"/>
  <c r="B66" i="10"/>
  <c r="A66" i="10"/>
  <c r="W65" i="10"/>
  <c r="V65" i="10"/>
  <c r="U65" i="10"/>
  <c r="T65" i="10"/>
  <c r="S65" i="10"/>
  <c r="R65" i="10"/>
  <c r="Q65" i="10"/>
  <c r="P65" i="10"/>
  <c r="O65" i="10"/>
  <c r="N65" i="10"/>
  <c r="M65" i="10"/>
  <c r="L65" i="10"/>
  <c r="K65" i="10"/>
  <c r="J65" i="10"/>
  <c r="I65" i="10"/>
  <c r="H65" i="10"/>
  <c r="G65" i="10"/>
  <c r="F65" i="10"/>
  <c r="E65" i="10"/>
  <c r="D65" i="10"/>
  <c r="C65" i="10"/>
  <c r="B65" i="10"/>
  <c r="A65" i="10"/>
  <c r="W64" i="10"/>
  <c r="V64" i="10"/>
  <c r="U64" i="10"/>
  <c r="T64" i="10"/>
  <c r="S64" i="10"/>
  <c r="R64" i="10"/>
  <c r="Q64" i="10"/>
  <c r="P64" i="10"/>
  <c r="O64" i="10"/>
  <c r="N64" i="10"/>
  <c r="M64" i="10"/>
  <c r="L64" i="10"/>
  <c r="K64" i="10"/>
  <c r="J64" i="10"/>
  <c r="I64" i="10"/>
  <c r="H64" i="10"/>
  <c r="G64" i="10"/>
  <c r="F64" i="10"/>
  <c r="E64" i="10"/>
  <c r="D64" i="10"/>
  <c r="C64" i="10"/>
  <c r="B64" i="10"/>
  <c r="A64" i="10"/>
  <c r="W63" i="10"/>
  <c r="V63" i="10"/>
  <c r="U63" i="10"/>
  <c r="T63" i="10"/>
  <c r="S63" i="10"/>
  <c r="R63" i="10"/>
  <c r="Q63" i="10"/>
  <c r="P63" i="10"/>
  <c r="O63" i="10"/>
  <c r="N63" i="10"/>
  <c r="M63" i="10"/>
  <c r="L63" i="10"/>
  <c r="K63" i="10"/>
  <c r="J63" i="10"/>
  <c r="I63" i="10"/>
  <c r="H63" i="10"/>
  <c r="G63" i="10"/>
  <c r="F63" i="10"/>
  <c r="E63" i="10"/>
  <c r="D63" i="10"/>
  <c r="C63" i="10"/>
  <c r="B63" i="10"/>
  <c r="A63" i="10"/>
  <c r="W62" i="10"/>
  <c r="V62" i="10"/>
  <c r="U62" i="10"/>
  <c r="T62" i="10"/>
  <c r="S62" i="10"/>
  <c r="R62" i="10"/>
  <c r="Q62" i="10"/>
  <c r="P62" i="10"/>
  <c r="O62" i="10"/>
  <c r="N62" i="10"/>
  <c r="M62" i="10"/>
  <c r="L62" i="10"/>
  <c r="K62" i="10"/>
  <c r="J62" i="10"/>
  <c r="I62" i="10"/>
  <c r="H62" i="10"/>
  <c r="G62" i="10"/>
  <c r="F62" i="10"/>
  <c r="E62" i="10"/>
  <c r="D62" i="10"/>
  <c r="C62" i="10"/>
  <c r="B62" i="10"/>
  <c r="A62" i="10"/>
  <c r="W61" i="10"/>
  <c r="V61" i="10"/>
  <c r="U61" i="10"/>
  <c r="T61" i="10"/>
  <c r="S61" i="10"/>
  <c r="R61" i="10"/>
  <c r="Q61" i="10"/>
  <c r="P61" i="10"/>
  <c r="O61" i="10"/>
  <c r="N61" i="10"/>
  <c r="M61" i="10"/>
  <c r="L61" i="10"/>
  <c r="K61" i="10"/>
  <c r="J61" i="10"/>
  <c r="I61" i="10"/>
  <c r="H61" i="10"/>
  <c r="G61" i="10"/>
  <c r="F61" i="10"/>
  <c r="E61" i="10"/>
  <c r="D61" i="10"/>
  <c r="C61" i="10"/>
  <c r="B61" i="10"/>
  <c r="A61" i="10"/>
  <c r="W60" i="10"/>
  <c r="V60" i="10"/>
  <c r="U60" i="10"/>
  <c r="T60" i="10"/>
  <c r="S60" i="10"/>
  <c r="R60" i="10"/>
  <c r="Q60" i="10"/>
  <c r="P60" i="10"/>
  <c r="O60" i="10"/>
  <c r="N60" i="10"/>
  <c r="M60" i="10"/>
  <c r="L60" i="10"/>
  <c r="K60" i="10"/>
  <c r="J60" i="10"/>
  <c r="I60" i="10"/>
  <c r="H60" i="10"/>
  <c r="G60" i="10"/>
  <c r="F60" i="10"/>
  <c r="E60" i="10"/>
  <c r="D60" i="10"/>
  <c r="C60" i="10"/>
  <c r="B60" i="10"/>
  <c r="A60" i="10"/>
  <c r="W59" i="10"/>
  <c r="V59" i="10"/>
  <c r="U59" i="10"/>
  <c r="T59" i="10"/>
  <c r="S59" i="10"/>
  <c r="R59" i="10"/>
  <c r="Q59" i="10"/>
  <c r="P59" i="10"/>
  <c r="O59" i="10"/>
  <c r="N59" i="10"/>
  <c r="M59" i="10"/>
  <c r="L59" i="10"/>
  <c r="K59" i="10"/>
  <c r="J59" i="10"/>
  <c r="I59" i="10"/>
  <c r="H59" i="10"/>
  <c r="G59" i="10"/>
  <c r="F59" i="10"/>
  <c r="E59" i="10"/>
  <c r="D59" i="10"/>
  <c r="C59" i="10"/>
  <c r="B59" i="10"/>
  <c r="A59" i="10"/>
  <c r="W58" i="10"/>
  <c r="V58" i="10"/>
  <c r="U58" i="10"/>
  <c r="T58" i="10"/>
  <c r="S58" i="10"/>
  <c r="R58" i="10"/>
  <c r="Q58" i="10"/>
  <c r="P58" i="10"/>
  <c r="O58" i="10"/>
  <c r="N58" i="10"/>
  <c r="M58" i="10"/>
  <c r="L58" i="10"/>
  <c r="K58" i="10"/>
  <c r="J58" i="10"/>
  <c r="I58" i="10"/>
  <c r="H58" i="10"/>
  <c r="G58" i="10"/>
  <c r="F58" i="10"/>
  <c r="E58" i="10"/>
  <c r="D58" i="10"/>
  <c r="C58" i="10"/>
  <c r="B58" i="10"/>
  <c r="A58" i="10"/>
  <c r="W57" i="10"/>
  <c r="V57" i="10"/>
  <c r="U57" i="10"/>
  <c r="T57" i="10"/>
  <c r="S57" i="10"/>
  <c r="R57" i="10"/>
  <c r="Q57" i="10"/>
  <c r="P57" i="10"/>
  <c r="O57" i="10"/>
  <c r="N57" i="10"/>
  <c r="M57" i="10"/>
  <c r="L57" i="10"/>
  <c r="K57" i="10"/>
  <c r="J57" i="10"/>
  <c r="I57" i="10"/>
  <c r="H57" i="10"/>
  <c r="G57" i="10"/>
  <c r="F57" i="10"/>
  <c r="E57" i="10"/>
  <c r="D57" i="10"/>
  <c r="C57" i="10"/>
  <c r="B57" i="10"/>
  <c r="A57" i="10"/>
  <c r="W56" i="10"/>
  <c r="V56" i="10"/>
  <c r="U56" i="10"/>
  <c r="T56" i="10"/>
  <c r="S56" i="10"/>
  <c r="R56" i="10"/>
  <c r="Q56" i="10"/>
  <c r="P56" i="10"/>
  <c r="O56" i="10"/>
  <c r="N56" i="10"/>
  <c r="M56" i="10"/>
  <c r="L56" i="10"/>
  <c r="K56" i="10"/>
  <c r="J56" i="10"/>
  <c r="I56" i="10"/>
  <c r="H56" i="10"/>
  <c r="G56" i="10"/>
  <c r="F56" i="10"/>
  <c r="E56" i="10"/>
  <c r="D56" i="10"/>
  <c r="C56" i="10"/>
  <c r="B56" i="10"/>
  <c r="A56" i="10"/>
  <c r="W55" i="10"/>
  <c r="V55" i="10"/>
  <c r="U55" i="10"/>
  <c r="T55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C55" i="10"/>
  <c r="B55" i="10"/>
  <c r="A55" i="10"/>
  <c r="W54" i="10"/>
  <c r="V54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C54" i="10"/>
  <c r="B54" i="10"/>
  <c r="A54" i="10"/>
  <c r="W53" i="10"/>
  <c r="V53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C53" i="10"/>
  <c r="B53" i="10"/>
  <c r="A53" i="10"/>
  <c r="W52" i="10"/>
  <c r="V52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C52" i="10"/>
  <c r="B52" i="10"/>
  <c r="A52" i="10"/>
  <c r="W51" i="10"/>
  <c r="V51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C51" i="10"/>
  <c r="B51" i="10"/>
  <c r="A51" i="10"/>
  <c r="W50" i="10"/>
  <c r="V50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C50" i="10"/>
  <c r="B50" i="10"/>
  <c r="A50" i="10"/>
  <c r="W49" i="10"/>
  <c r="V49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B49" i="10"/>
  <c r="A49" i="10"/>
  <c r="W48" i="10"/>
  <c r="V48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C48" i="10"/>
  <c r="B48" i="10"/>
  <c r="A48" i="10"/>
  <c r="W47" i="10"/>
  <c r="V47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B47" i="10"/>
  <c r="A47" i="10"/>
  <c r="W46" i="10"/>
  <c r="V46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C46" i="10"/>
  <c r="B46" i="10"/>
  <c r="A46" i="10"/>
  <c r="W45" i="10"/>
  <c r="V45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C45" i="10"/>
  <c r="B45" i="10"/>
  <c r="A45" i="10"/>
  <c r="W44" i="10"/>
  <c r="V44" i="10"/>
  <c r="U44" i="10"/>
  <c r="T44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G44" i="10"/>
  <c r="F44" i="10"/>
  <c r="E44" i="10"/>
  <c r="D44" i="10"/>
  <c r="C44" i="10"/>
  <c r="B44" i="10"/>
  <c r="A44" i="10"/>
  <c r="W43" i="10"/>
  <c r="V43" i="10"/>
  <c r="U43" i="10"/>
  <c r="T43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F43" i="10"/>
  <c r="E43" i="10"/>
  <c r="D43" i="10"/>
  <c r="C43" i="10"/>
  <c r="B43" i="10"/>
  <c r="A43" i="10"/>
  <c r="W42" i="10"/>
  <c r="V42" i="10"/>
  <c r="U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D42" i="10"/>
  <c r="C42" i="10"/>
  <c r="B42" i="10"/>
  <c r="A42" i="10"/>
  <c r="W41" i="10"/>
  <c r="V41" i="10"/>
  <c r="U41" i="10"/>
  <c r="T41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F41" i="10"/>
  <c r="E41" i="10"/>
  <c r="D41" i="10"/>
  <c r="C41" i="10"/>
  <c r="B41" i="10"/>
  <c r="A41" i="10"/>
  <c r="W40" i="10"/>
  <c r="V40" i="10"/>
  <c r="U40" i="10"/>
  <c r="T40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E40" i="10"/>
  <c r="D40" i="10"/>
  <c r="C40" i="10"/>
  <c r="B40" i="10"/>
  <c r="A40" i="10"/>
  <c r="W39" i="10"/>
  <c r="V39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C39" i="10"/>
  <c r="B39" i="10"/>
  <c r="A39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B38" i="10"/>
  <c r="A38" i="10"/>
  <c r="W37" i="10"/>
  <c r="V37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C37" i="10"/>
  <c r="B37" i="10"/>
  <c r="A37" i="10"/>
  <c r="W36" i="10"/>
  <c r="V36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C36" i="10"/>
  <c r="B36" i="10"/>
  <c r="A36" i="10"/>
  <c r="W35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C35" i="10"/>
  <c r="B35" i="10"/>
  <c r="A35" i="10"/>
  <c r="W34" i="10"/>
  <c r="V34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C34" i="10"/>
  <c r="B34" i="10"/>
  <c r="A34" i="10"/>
  <c r="W33" i="10"/>
  <c r="V33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C33" i="10"/>
  <c r="B33" i="10"/>
  <c r="A33" i="10"/>
  <c r="W32" i="10"/>
  <c r="V32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B32" i="10"/>
  <c r="A32" i="10"/>
  <c r="W31" i="10"/>
  <c r="V31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C31" i="10"/>
  <c r="B31" i="10"/>
  <c r="A31" i="10"/>
  <c r="W30" i="10"/>
  <c r="V30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B30" i="10"/>
  <c r="A30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A29" i="10"/>
  <c r="W28" i="10"/>
  <c r="V28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A28" i="10"/>
  <c r="W27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B27" i="10"/>
  <c r="A27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B26" i="10"/>
  <c r="A26" i="10"/>
  <c r="W25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B25" i="10"/>
  <c r="A25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B24" i="10"/>
  <c r="A24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B23" i="10"/>
  <c r="A23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B22" i="10"/>
  <c r="A22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B21" i="10"/>
  <c r="A21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B20" i="10"/>
  <c r="A20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B19" i="10"/>
  <c r="A19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B18" i="10"/>
  <c r="A18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B17" i="10"/>
  <c r="A17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A16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A15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A14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A13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A12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A11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A10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A9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A8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A7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A6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A5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A4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A3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A2" i="10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2" i="1"/>
  <c r="D23" i="13"/>
  <c r="D22" i="13"/>
  <c r="D21" i="13"/>
  <c r="D22" i="12"/>
  <c r="D23" i="12"/>
  <c r="D21" i="12"/>
  <c r="D25" i="12" s="1"/>
  <c r="D22" i="11"/>
  <c r="D23" i="11"/>
  <c r="D21" i="11"/>
  <c r="D21" i="8"/>
  <c r="D25" i="11" l="1"/>
  <c r="D25" i="13"/>
  <c r="D22" i="7"/>
  <c r="D23" i="7"/>
  <c r="D21" i="7"/>
  <c r="D23" i="8"/>
  <c r="D22" i="8"/>
  <c r="D25" i="8" s="1"/>
  <c r="D22" i="9"/>
  <c r="D23" i="9"/>
  <c r="D21" i="9"/>
  <c r="I6" i="9"/>
  <c r="I13" i="9" s="1"/>
  <c r="H6" i="9"/>
  <c r="G6" i="9"/>
  <c r="G13" i="9" s="1"/>
  <c r="F6" i="9"/>
  <c r="F13" i="9" s="1"/>
  <c r="E6" i="9"/>
  <c r="D6" i="9"/>
  <c r="J6" i="9"/>
  <c r="C6" i="9"/>
  <c r="I5" i="9"/>
  <c r="I12" i="9" s="1"/>
  <c r="H5" i="9"/>
  <c r="G5" i="9"/>
  <c r="G12" i="9" s="1"/>
  <c r="F5" i="9"/>
  <c r="F12" i="9" s="1"/>
  <c r="E5" i="9"/>
  <c r="D5" i="9"/>
  <c r="J5" i="9"/>
  <c r="C5" i="9"/>
  <c r="I4" i="9"/>
  <c r="I11" i="9" s="1"/>
  <c r="H4" i="9"/>
  <c r="H11" i="9" s="1"/>
  <c r="G4" i="9"/>
  <c r="G11" i="9" s="1"/>
  <c r="F4" i="9"/>
  <c r="F11" i="9" s="1"/>
  <c r="E4" i="9"/>
  <c r="D8" i="3" s="1"/>
  <c r="D4" i="9"/>
  <c r="D6" i="3" s="1"/>
  <c r="J4" i="9"/>
  <c r="I6" i="11"/>
  <c r="I13" i="11" s="1"/>
  <c r="G23" i="11" s="1"/>
  <c r="I5" i="11"/>
  <c r="I12" i="11" s="1"/>
  <c r="G22" i="11" s="1"/>
  <c r="I4" i="11"/>
  <c r="I11" i="11" s="1"/>
  <c r="G21" i="11" s="1"/>
  <c r="H6" i="11"/>
  <c r="H13" i="11" s="1"/>
  <c r="F23" i="11" s="1"/>
  <c r="H5" i="11"/>
  <c r="H12" i="11" s="1"/>
  <c r="F22" i="11" s="1"/>
  <c r="H4" i="11"/>
  <c r="H11" i="11" s="1"/>
  <c r="F21" i="11" s="1"/>
  <c r="G6" i="11"/>
  <c r="G13" i="11" s="1"/>
  <c r="G5" i="11"/>
  <c r="G12" i="11" s="1"/>
  <c r="G4" i="11"/>
  <c r="G11" i="11" s="1"/>
  <c r="F6" i="11"/>
  <c r="F13" i="11" s="1"/>
  <c r="F5" i="11"/>
  <c r="F12" i="11" s="1"/>
  <c r="F4" i="11"/>
  <c r="F11" i="11" s="1"/>
  <c r="E6" i="11"/>
  <c r="E13" i="11" s="1"/>
  <c r="E23" i="11" s="1"/>
  <c r="D6" i="11"/>
  <c r="D13" i="11" s="1"/>
  <c r="C6" i="11"/>
  <c r="C13" i="11" s="1"/>
  <c r="E5" i="11"/>
  <c r="E12" i="11" s="1"/>
  <c r="E22" i="11" s="1"/>
  <c r="D5" i="11"/>
  <c r="D12" i="11" s="1"/>
  <c r="C5" i="11"/>
  <c r="C12" i="11" s="1"/>
  <c r="E4" i="11"/>
  <c r="E11" i="11" s="1"/>
  <c r="E21" i="11" s="1"/>
  <c r="D4" i="11"/>
  <c r="D11" i="11" s="1"/>
  <c r="G25" i="11" l="1"/>
  <c r="F24" i="5"/>
  <c r="G24" i="5"/>
  <c r="B7" i="3"/>
  <c r="D26" i="7"/>
  <c r="D7" i="3"/>
  <c r="E7" i="3" s="1"/>
  <c r="E21" i="9"/>
  <c r="D4" i="3"/>
  <c r="F21" i="9"/>
  <c r="F22" i="9"/>
  <c r="F23" i="9"/>
  <c r="G21" i="9"/>
  <c r="E22" i="9"/>
  <c r="G22" i="9"/>
  <c r="E23" i="9"/>
  <c r="G23" i="9"/>
  <c r="B3" i="3"/>
  <c r="B10" i="3"/>
  <c r="C10" i="3" s="1"/>
  <c r="D25" i="9"/>
  <c r="D3" i="3"/>
  <c r="C7" i="3" l="1"/>
  <c r="B8" i="3"/>
  <c r="B9" i="3"/>
  <c r="E24" i="5"/>
  <c r="C6" i="3"/>
  <c r="C4" i="3"/>
  <c r="E6" i="3"/>
  <c r="E4" i="3"/>
  <c r="I6" i="13"/>
  <c r="H6" i="13"/>
  <c r="G6" i="13"/>
  <c r="G13" i="13" s="1"/>
  <c r="F6" i="13"/>
  <c r="F13" i="13" s="1"/>
  <c r="E6" i="13"/>
  <c r="D6" i="13"/>
  <c r="J6" i="13"/>
  <c r="C6" i="13"/>
  <c r="I5" i="13"/>
  <c r="H5" i="13"/>
  <c r="G5" i="13"/>
  <c r="G12" i="13" s="1"/>
  <c r="F5" i="13"/>
  <c r="F12" i="13" s="1"/>
  <c r="E5" i="13"/>
  <c r="E12" i="13" s="1"/>
  <c r="E22" i="13" s="1"/>
  <c r="D5" i="13"/>
  <c r="J5" i="13"/>
  <c r="C5" i="13"/>
  <c r="I4" i="13"/>
  <c r="I11" i="13" s="1"/>
  <c r="G21" i="13" s="1"/>
  <c r="H4" i="13"/>
  <c r="H11" i="13" s="1"/>
  <c r="F21" i="13" s="1"/>
  <c r="G4" i="13"/>
  <c r="G11" i="13" s="1"/>
  <c r="F4" i="13"/>
  <c r="F11" i="13" s="1"/>
  <c r="E4" i="13"/>
  <c r="E11" i="13" s="1"/>
  <c r="E21" i="13" s="1"/>
  <c r="D4" i="13"/>
  <c r="D11" i="13" s="1"/>
  <c r="J4" i="13"/>
  <c r="L4" i="3" s="1"/>
  <c r="C4" i="13"/>
  <c r="C11" i="13" s="1"/>
  <c r="D24" i="5" l="1"/>
  <c r="F25" i="11"/>
  <c r="L7" i="3"/>
  <c r="E25" i="11"/>
  <c r="I6" i="12"/>
  <c r="H6" i="12"/>
  <c r="H13" i="12" s="1"/>
  <c r="F23" i="12" s="1"/>
  <c r="G6" i="12"/>
  <c r="F6" i="12"/>
  <c r="F13" i="12" s="1"/>
  <c r="E6" i="12"/>
  <c r="E13" i="12" s="1"/>
  <c r="E23" i="12" s="1"/>
  <c r="D6" i="12"/>
  <c r="D13" i="12" s="1"/>
  <c r="J6" i="12"/>
  <c r="C6" i="12"/>
  <c r="C13" i="12" s="1"/>
  <c r="I5" i="12"/>
  <c r="H5" i="12"/>
  <c r="H12" i="12" s="1"/>
  <c r="F22" i="12" s="1"/>
  <c r="G5" i="12"/>
  <c r="G12" i="12" s="1"/>
  <c r="E5" i="12"/>
  <c r="E12" i="12" s="1"/>
  <c r="E22" i="12" s="1"/>
  <c r="D5" i="12"/>
  <c r="D12" i="12" s="1"/>
  <c r="J5" i="12"/>
  <c r="C5" i="12"/>
  <c r="C12" i="12" s="1"/>
  <c r="I4" i="12"/>
  <c r="I11" i="12" s="1"/>
  <c r="G21" i="12" s="1"/>
  <c r="H4" i="12"/>
  <c r="H11" i="12" s="1"/>
  <c r="F21" i="12" s="1"/>
  <c r="G4" i="12"/>
  <c r="G11" i="12" s="1"/>
  <c r="F4" i="12"/>
  <c r="F11" i="12" s="1"/>
  <c r="E11" i="12"/>
  <c r="E21" i="12" s="1"/>
  <c r="D4" i="12"/>
  <c r="D11" i="12" s="1"/>
  <c r="J4" i="12"/>
  <c r="C11" i="12"/>
  <c r="C13" i="13"/>
  <c r="C12" i="13"/>
  <c r="H13" i="13"/>
  <c r="F23" i="13" s="1"/>
  <c r="D13" i="13"/>
  <c r="H12" i="13"/>
  <c r="F22" i="13" s="1"/>
  <c r="D12" i="13"/>
  <c r="I13" i="13"/>
  <c r="G23" i="13" s="1"/>
  <c r="E13" i="13"/>
  <c r="E23" i="13" s="1"/>
  <c r="I12" i="13"/>
  <c r="G22" i="13" s="1"/>
  <c r="I12" i="12"/>
  <c r="G22" i="12" s="1"/>
  <c r="I6" i="8"/>
  <c r="H6" i="8"/>
  <c r="H13" i="8" s="1"/>
  <c r="F23" i="8" s="1"/>
  <c r="G6" i="8"/>
  <c r="G13" i="8" s="1"/>
  <c r="F6" i="8"/>
  <c r="F13" i="8" s="1"/>
  <c r="E6" i="8"/>
  <c r="E13" i="8" s="1"/>
  <c r="E23" i="8" s="1"/>
  <c r="D6" i="8"/>
  <c r="D13" i="8" s="1"/>
  <c r="J6" i="8"/>
  <c r="C6" i="8"/>
  <c r="C13" i="8" s="1"/>
  <c r="I5" i="8"/>
  <c r="H5" i="8"/>
  <c r="H12" i="8" s="1"/>
  <c r="F22" i="8" s="1"/>
  <c r="G5" i="8"/>
  <c r="G12" i="8" s="1"/>
  <c r="F5" i="8"/>
  <c r="F12" i="8" s="1"/>
  <c r="E5" i="8"/>
  <c r="E12" i="8" s="1"/>
  <c r="E22" i="8" s="1"/>
  <c r="D5" i="8"/>
  <c r="D12" i="8" s="1"/>
  <c r="J5" i="8"/>
  <c r="C5" i="8"/>
  <c r="C12" i="8" s="1"/>
  <c r="H11" i="8"/>
  <c r="F21" i="8" s="1"/>
  <c r="E11" i="8"/>
  <c r="D11" i="8"/>
  <c r="C11" i="8"/>
  <c r="I6" i="7"/>
  <c r="I5" i="7"/>
  <c r="I4" i="7"/>
  <c r="F4" i="7"/>
  <c r="F11" i="7" s="1"/>
  <c r="H6" i="7"/>
  <c r="H13" i="7" s="1"/>
  <c r="F23" i="7" s="1"/>
  <c r="G6" i="7"/>
  <c r="G13" i="7" s="1"/>
  <c r="F6" i="7"/>
  <c r="F13" i="7" s="1"/>
  <c r="H5" i="7"/>
  <c r="H12" i="7" s="1"/>
  <c r="F22" i="7" s="1"/>
  <c r="G5" i="7"/>
  <c r="G12" i="7" s="1"/>
  <c r="F5" i="7"/>
  <c r="F12" i="7" s="1"/>
  <c r="H4" i="7"/>
  <c r="H11" i="7" s="1"/>
  <c r="F21" i="7" s="1"/>
  <c r="E6" i="7"/>
  <c r="E5" i="7"/>
  <c r="E4" i="7"/>
  <c r="E11" i="7" s="1"/>
  <c r="E21" i="7" s="1"/>
  <c r="D6" i="7"/>
  <c r="D5" i="7"/>
  <c r="C4" i="7"/>
  <c r="C11" i="7" s="1"/>
  <c r="C5" i="7"/>
  <c r="C6" i="7"/>
  <c r="J4" i="7"/>
  <c r="D4" i="7"/>
  <c r="D11" i="7" s="1"/>
  <c r="J6" i="7"/>
  <c r="J5" i="7"/>
  <c r="H7" i="3" l="1"/>
  <c r="I7" i="3" s="1"/>
  <c r="L11" i="3"/>
  <c r="M11" i="3" s="1"/>
  <c r="M7" i="3"/>
  <c r="L6" i="3"/>
  <c r="J7" i="3"/>
  <c r="F4" i="3"/>
  <c r="F6" i="3"/>
  <c r="F8" i="3"/>
  <c r="E21" i="8"/>
  <c r="C22" i="5" s="1"/>
  <c r="F7" i="3"/>
  <c r="I13" i="12"/>
  <c r="G23" i="12" s="1"/>
  <c r="G25" i="5" s="1"/>
  <c r="C9" i="3"/>
  <c r="B11" i="3"/>
  <c r="C11" i="3" s="1"/>
  <c r="I13" i="7"/>
  <c r="G23" i="7" s="1"/>
  <c r="I11" i="7"/>
  <c r="G21" i="7" s="1"/>
  <c r="H4" i="3"/>
  <c r="I12" i="7"/>
  <c r="G22" i="7" s="1"/>
  <c r="I11" i="8"/>
  <c r="G21" i="8" s="1"/>
  <c r="I12" i="8"/>
  <c r="I13" i="8"/>
  <c r="G23" i="8" s="1"/>
  <c r="L3" i="3"/>
  <c r="G25" i="13"/>
  <c r="F25" i="13"/>
  <c r="F26" i="7"/>
  <c r="D21" i="5"/>
  <c r="E21" i="5"/>
  <c r="E22" i="5"/>
  <c r="D22" i="5"/>
  <c r="L8" i="3"/>
  <c r="M8" i="3" s="1"/>
  <c r="E25" i="13"/>
  <c r="C8" i="3"/>
  <c r="E25" i="5"/>
  <c r="J8" i="3"/>
  <c r="D10" i="3"/>
  <c r="E10" i="3" s="1"/>
  <c r="L9" i="3"/>
  <c r="L10" i="3"/>
  <c r="J9" i="3"/>
  <c r="F9" i="3"/>
  <c r="J10" i="3"/>
  <c r="H9" i="3"/>
  <c r="D9" i="3"/>
  <c r="E9" i="3" s="1"/>
  <c r="F3" i="3"/>
  <c r="D12" i="7"/>
  <c r="D13" i="7"/>
  <c r="C12" i="7"/>
  <c r="C13" i="7"/>
  <c r="E13" i="7"/>
  <c r="E23" i="7" s="1"/>
  <c r="E12" i="7"/>
  <c r="E22" i="7" s="1"/>
  <c r="B21" i="5" s="1"/>
  <c r="G7" i="3" l="1"/>
  <c r="F11" i="3"/>
  <c r="M10" i="3"/>
  <c r="H6" i="3"/>
  <c r="B22" i="5"/>
  <c r="G26" i="7"/>
  <c r="F21" i="5"/>
  <c r="G21" i="5"/>
  <c r="H10" i="3"/>
  <c r="F10" i="3"/>
  <c r="G22" i="8"/>
  <c r="G22" i="5" s="1"/>
  <c r="G25" i="12"/>
  <c r="F25" i="5"/>
  <c r="M6" i="3"/>
  <c r="M4" i="3"/>
  <c r="G6" i="3"/>
  <c r="G4" i="3"/>
  <c r="E8" i="3"/>
  <c r="D11" i="3"/>
  <c r="E11" i="3" s="1"/>
  <c r="M9" i="3"/>
  <c r="E25" i="9"/>
  <c r="C23" i="5"/>
  <c r="B23" i="5"/>
  <c r="E23" i="5"/>
  <c r="D23" i="5"/>
  <c r="G25" i="9"/>
  <c r="F23" i="5"/>
  <c r="G23" i="5"/>
  <c r="E26" i="7"/>
  <c r="G9" i="3"/>
  <c r="G8" i="3"/>
  <c r="C26" i="5"/>
  <c r="B26" i="5"/>
  <c r="F26" i="5"/>
  <c r="G26" i="5"/>
  <c r="E26" i="5"/>
  <c r="D26" i="5"/>
  <c r="D25" i="5"/>
  <c r="F25" i="12"/>
  <c r="E25" i="12"/>
  <c r="B25" i="5"/>
  <c r="C25" i="5"/>
  <c r="F25" i="9"/>
  <c r="H8" i="3"/>
  <c r="F25" i="8"/>
  <c r="E25" i="8"/>
  <c r="H3" i="3"/>
  <c r="I4" i="3" s="1"/>
  <c r="G11" i="3" l="1"/>
  <c r="G10" i="3"/>
  <c r="G25" i="8"/>
  <c r="H11" i="3"/>
  <c r="I11" i="3" s="1"/>
  <c r="F22" i="5"/>
  <c r="I6" i="3"/>
  <c r="I8" i="3"/>
  <c r="I10" i="3"/>
  <c r="I9" i="3"/>
</calcChain>
</file>

<file path=xl/sharedStrings.xml><?xml version="1.0" encoding="utf-8"?>
<sst xmlns="http://schemas.openxmlformats.org/spreadsheetml/2006/main" count="1639" uniqueCount="348">
  <si>
    <t>Rep</t>
  </si>
  <si>
    <t>Tx</t>
  </si>
  <si>
    <t>Test Article</t>
  </si>
  <si>
    <t>cell_count_flask</t>
  </si>
  <si>
    <t>CDV</t>
  </si>
  <si>
    <t>NPP669</t>
  </si>
  <si>
    <t>NPP666</t>
  </si>
  <si>
    <t>NPP663</t>
  </si>
  <si>
    <t>USC505</t>
  </si>
  <si>
    <t>t72_stab</t>
  </si>
  <si>
    <t>CMX001</t>
  </si>
  <si>
    <t>201-107</t>
  </si>
  <si>
    <t>Pro_t0_Media_nM</t>
  </si>
  <si>
    <t>Pro_t72_Media_nM</t>
  </si>
  <si>
    <t>CDV_t0_Media_nM</t>
  </si>
  <si>
    <t>CDV_t72_Media_nM</t>
  </si>
  <si>
    <t>Pro_t72_Lysate_nM</t>
  </si>
  <si>
    <t>CDV_t72_Lysate_nM</t>
  </si>
  <si>
    <t>PP_t72_Lysate_nM</t>
  </si>
  <si>
    <t>Input</t>
  </si>
  <si>
    <t>72 hr Media Prodrug</t>
  </si>
  <si>
    <t>Lysate Prodrug</t>
  </si>
  <si>
    <t>Lysate CDV</t>
  </si>
  <si>
    <t>Lysate CDV-PP</t>
  </si>
  <si>
    <t>nmoles</t>
  </si>
  <si>
    <t>% recovery</t>
  </si>
  <si>
    <t>Matrix</t>
  </si>
  <si>
    <t>media</t>
  </si>
  <si>
    <t>lysate</t>
  </si>
  <si>
    <t>Time_hr</t>
  </si>
  <si>
    <t>Conc. (nM)</t>
  </si>
  <si>
    <t>rawcells</t>
  </si>
  <si>
    <t>Pro_t0_Media_nmole</t>
  </si>
  <si>
    <t>Pro_t72_Media_nmole</t>
  </si>
  <si>
    <t>CDV_t0_Media_nmole</t>
  </si>
  <si>
    <t>CDV_t72_Media_nmole</t>
  </si>
  <si>
    <t>Pro_t72_Lysate_nmole</t>
  </si>
  <si>
    <t>CDV_t72_Lysate_nmole</t>
  </si>
  <si>
    <t>PP_t72_Lysate_nmole</t>
  </si>
  <si>
    <t xml:space="preserve"> </t>
  </si>
  <si>
    <t>pmol_Pro/10^6cells</t>
  </si>
  <si>
    <t>pmol_PP/10^6cells</t>
  </si>
  <si>
    <t>CMX</t>
  </si>
  <si>
    <t>Prodrug</t>
  </si>
  <si>
    <t>CDV-PP</t>
  </si>
  <si>
    <t>Data Filename</t>
  </si>
  <si>
    <t>Sample Name</t>
  </si>
  <si>
    <t>201-107_PL10_T0_ds1_CC-004-766_031.lcd</t>
  </si>
  <si>
    <t>T0_ds1</t>
  </si>
  <si>
    <t>201-107_PL10_T0_ds2_CC-004-766_032.lcd</t>
  </si>
  <si>
    <t>T0_ds2</t>
  </si>
  <si>
    <t>201-107_PL10_T0_ds3_CC-004-766_033.lcd</t>
  </si>
  <si>
    <t>T0_ds3</t>
  </si>
  <si>
    <t>201-107_PL10_T72_ds1_CC-004-766_035.lcd</t>
  </si>
  <si>
    <t>T72_ds1</t>
  </si>
  <si>
    <t>201-107_PL10_T72_ds2_CC-004-766_036.lcd</t>
  </si>
  <si>
    <t>T72_ds2</t>
  </si>
  <si>
    <t>201-107_PL10_T72_ds3_CC-004-766_037.lcd</t>
  </si>
  <si>
    <t>T72_ds3</t>
  </si>
  <si>
    <t>201-107_PL10_T72_med1_CC-004-766_039.lcd</t>
  </si>
  <si>
    <t>T72_med1</t>
  </si>
  <si>
    <t>201-107_PL10_T72_med2_CC-004-766_040.lcd</t>
  </si>
  <si>
    <t>T72_med2</t>
  </si>
  <si>
    <t>201-107_PL10_T72_med3_CC-004-766_041.lcd</t>
  </si>
  <si>
    <t>T72_med3</t>
  </si>
  <si>
    <t>201-107_PL11_T72_lys1_CC-004-769_031.lcd</t>
  </si>
  <si>
    <t>T72_lys1</t>
  </si>
  <si>
    <t>201-107_PL11_T72_lys2_CC-004-769_032.lcd</t>
  </si>
  <si>
    <t>T72_lys2</t>
  </si>
  <si>
    <t>201-107_PL11_T72_lys3_CC-004-769_033.lcd</t>
  </si>
  <si>
    <t>T72_lys3</t>
  </si>
  <si>
    <t>201-107_PL10_T0_ds1_CC-004-767_031.lcd</t>
  </si>
  <si>
    <t>201-107_PL10_T0_ds2_CC-004-767_032.lcd</t>
  </si>
  <si>
    <t>201-107_PL10_T0_ds3_CC-004-767_033.lcd</t>
  </si>
  <si>
    <t>201-107_PL10_T72_ds1_CC-004-767_035.lcd</t>
  </si>
  <si>
    <t>201-107_PL10_T72_ds2_CC-004-767_036.lcd</t>
  </si>
  <si>
    <t>201-107_PL10_T72_ds3_CC-004-767_037.lcd</t>
  </si>
  <si>
    <t>201-107_PL10_T72_med1_CC-004-767_039.lcd</t>
  </si>
  <si>
    <t>201-107_PL10_T72_med2_CC-004-767_040.lcd</t>
  </si>
  <si>
    <t>201-107_PL10_T72_med3_CC-004-767_041.lcd</t>
  </si>
  <si>
    <t>201-107_PL11_T72_lys1_CC-004-770_031.lcd</t>
  </si>
  <si>
    <t>201-107_PL11_T72_lys2_CC-004-770_032.lcd</t>
  </si>
  <si>
    <t>201-107_PL11_T72_lys3_CC-004-770_033.lcd</t>
  </si>
  <si>
    <t>201-107_PL10_T0_ds1_CC-004-768_031.lcd</t>
  </si>
  <si>
    <t>201-107_PL10_T0_ds2_CC-004-768_032.lcd</t>
  </si>
  <si>
    <t>201-107_PL10_T0_ds3_CC-004-768_033.lcd</t>
  </si>
  <si>
    <t>201-107_PL10_T72_ds1_CC-004-768_035.lcd</t>
  </si>
  <si>
    <t>201-107_PL10_T72_ds2_CC-004-768_036.lcd</t>
  </si>
  <si>
    <t>201-107_PL10_T72_ds3_CC-004-768_037.lcd</t>
  </si>
  <si>
    <t>201-107_PL10_T72_med1_CC-004-768_039.lcd</t>
  </si>
  <si>
    <t>201-107_PL10_T72_med2_CC-004-768_040.lcd</t>
  </si>
  <si>
    <t>201-107_PL10_T72_med3_CC-004-768_041.lcd</t>
  </si>
  <si>
    <t>201-107_PL11_T72_lys1_CC-004-771_031.lcd</t>
  </si>
  <si>
    <t>201-107_PL11_T72_lys2_CC-004-771_032.lcd</t>
  </si>
  <si>
    <t>201-107_PL11_T72_lys3_CC-004-771_033.lcd</t>
  </si>
  <si>
    <t>Study</t>
  </si>
  <si>
    <t>PP</t>
  </si>
  <si>
    <t>media volume (mL)</t>
  </si>
  <si>
    <t>lysate volume (mL)</t>
  </si>
  <si>
    <t>Seeding Density</t>
  </si>
  <si>
    <t>L to mL</t>
  </si>
  <si>
    <t>TxSamp</t>
  </si>
  <si>
    <t>Convert to nanomoles</t>
  </si>
  <si>
    <t>picomoles per 10^6 cells</t>
  </si>
  <si>
    <t>201-107_PL12_CDV_Lysate_081718_663_T72_lys1_CC-004-773_031.lcd</t>
  </si>
  <si>
    <t>201-107_PL12_CDV_Lysate_081718_663_T72_lys2_CC-004-773_032.lcd</t>
  </si>
  <si>
    <t>201-107_PL12_CDV_Lysate_081718_663_T72_lys3_CC-004-773_033.lcd</t>
  </si>
  <si>
    <t>201-107_PL13_CDVPP_Lysate_663_T72_lys1_CC-004-773_031.lcd</t>
  </si>
  <si>
    <t>201-107_PL13_CDVPP_Lysate_663_T72_lys2_CC-004-773_032.lcd</t>
  </si>
  <si>
    <t>201-107_PL13_CDVPP_Lysate_663_T72_lys3_CC-004-773_033.lcd</t>
  </si>
  <si>
    <t>201-107_PL12_CDV_Lysate_081718_666_T72_lys1_CC-004-773_035.lcd</t>
  </si>
  <si>
    <t>201-107_PL12_CDV_Lysate_081718_666_T72_lys2_CC-004-773_036.lcd</t>
  </si>
  <si>
    <t>201-107_PL12_CDV_Lysate_081718_666_T72_lys3_CC-004-773_037.lcd</t>
  </si>
  <si>
    <t>201-107_PL13_CDVPP_Lysate_666_T72_lys1_CC-004-773_035.lcd</t>
  </si>
  <si>
    <t>201-107_PL13_CDVPP_Lysate_666_T72_lys2_CC-004-773_036.lcd</t>
  </si>
  <si>
    <t>201-107_PL13_CDVPP_Lysate_666_T72_lys3_CC-004-773_037.lcd</t>
  </si>
  <si>
    <t>201-107_PL12_CDV_Lysate_081718_669_T72_lys1_CC-004-773_039.lcd</t>
  </si>
  <si>
    <t>201-107_PL12_CDV_Lysate_081718_669_T72_lys2_CC-004-773_040.lcd</t>
  </si>
  <si>
    <t>201-107_PL12_CDV_Lysate_081718_669_T72_lys3_CC-004-773_041.lcd</t>
  </si>
  <si>
    <t>201-107_PL13_CDVPP_Lysate_669_T72_lys1_CC-004-773_039.lcd</t>
  </si>
  <si>
    <t>201-107_PL13_CDVPP_Lysate_669_T72_lys2_CC-004-773_040.lcd</t>
  </si>
  <si>
    <t>201-107_PL13_CDVPP_Lysate_669_T72_lys3_CC-004-773_041.lcd</t>
  </si>
  <si>
    <t>201-107_PL12_CDV_Lysate_081718_CDV_T72_lys1_CC-004-773_043.lcd</t>
  </si>
  <si>
    <t>201-107_PL12_CDV_Lysate_081718_CDV_T72_lys2_CC-004-773_044.lcd</t>
  </si>
  <si>
    <t>201-107_PL12_CDV_Lysate_081718_CDV_T72_lys3_CC-004-773_045.lcd</t>
  </si>
  <si>
    <t>201-107_PL13_CDVPP_Lysate_CDV_T72_lys1_CC-004-773_043.lcd</t>
  </si>
  <si>
    <t>201-107_PL13_CDVPP_Lysate_CDV_T72_lys2_CC-004-773_044.lcd</t>
  </si>
  <si>
    <t>201-107_PL13_CDVPP_Lysate_CDV_T72_lys3_CC-004-773_045.lcd</t>
  </si>
  <si>
    <t>201-107_PL13_CDVPP_Lysate_505_T72_lys1_CC-004-773_047.lcd</t>
  </si>
  <si>
    <t>201-107_PL13_CDVPP_Lysate_505_T72_lys2_CC-004-773_048.lcd</t>
  </si>
  <si>
    <t>201-107_PL13_CDVPP_Lysate_505_T72_lys3_CC-004-773_049.lcd</t>
  </si>
  <si>
    <t>201-107_PL13_CDVPP_Lysate_CMX_T72_lys1_CC-004-773_051.lcd</t>
  </si>
  <si>
    <t>201-107_PL13_CDVPP_Lysate_CMX_T72_lys2_CC-004-773_052.lcd</t>
  </si>
  <si>
    <t>201-107_PL13_CDVPP_Lysate_CMX_T72_lys3_CC-004-773_053.lcd</t>
  </si>
  <si>
    <t>NA</t>
  </si>
  <si>
    <t>Average</t>
  </si>
  <si>
    <t>72 hr Media CDV</t>
  </si>
  <si>
    <t>aBLQlyte</t>
  </si>
  <si>
    <t>Sample Type</t>
  </si>
  <si>
    <t>Level#</t>
  </si>
  <si>
    <t>Tray</t>
  </si>
  <si>
    <t>Vial#</t>
  </si>
  <si>
    <t>Ret. Time</t>
  </si>
  <si>
    <t>Area</t>
  </si>
  <si>
    <t>ISTD Area</t>
  </si>
  <si>
    <t>Area Ratio</t>
  </si>
  <si>
    <t>Std. Conc.</t>
  </si>
  <si>
    <t>Accuracy[%]</t>
  </si>
  <si>
    <t>Cal. Point</t>
  </si>
  <si>
    <t>QC Check Results</t>
  </si>
  <si>
    <t>S/N</t>
  </si>
  <si>
    <t>Ref.1 Act%</t>
  </si>
  <si>
    <t>Ref.2 Act%</t>
  </si>
  <si>
    <t>Dilution Factor</t>
  </si>
  <si>
    <t>Height</t>
  </si>
  <si>
    <t>Intensity</t>
  </si>
  <si>
    <t>Mark</t>
  </si>
  <si>
    <t>Date Acquired</t>
  </si>
  <si>
    <t>-----</t>
  </si>
  <si>
    <t>201-107_PL14_CDV_CMX_T0_ds1_CC-004-778_091.lcd</t>
  </si>
  <si>
    <t>CMX_T0_ds1</t>
  </si>
  <si>
    <t>201-107_PL14_CDV_CMX_T0_ds2_CC-004-778_092.lcd</t>
  </si>
  <si>
    <t>CMX_T0_ds2</t>
  </si>
  <si>
    <t>201-107_PL14_CDV_CMX_T0_ds3_CC-004-778_093.lcd</t>
  </si>
  <si>
    <t>CMX_T0_ds3</t>
  </si>
  <si>
    <t>201-107_PL14_CDV_CMX_T72_ds1_CC-004-778_095.lcd</t>
  </si>
  <si>
    <t>CMX_T72_ds1</t>
  </si>
  <si>
    <t>201-107_PL14_CDV_CMX_T72_ds2_CC-004-778_096.lcd</t>
  </si>
  <si>
    <t>CMX_T72_ds2</t>
  </si>
  <si>
    <t>201-107_PL14_CDV_CMX_T72_ds3_CC-004-778_097.lcd</t>
  </si>
  <si>
    <t>CMX_T72_ds3</t>
  </si>
  <si>
    <t>201-107_PL14_CDV_CMX_T72_med1_CC-004-778_099.lcd</t>
  </si>
  <si>
    <t>CMX_T72_med1</t>
  </si>
  <si>
    <t>201-107_PL14_CDV_CMX_T72_med2_CC-004-778_100.lcd</t>
  </si>
  <si>
    <t>CMX_T72_med2</t>
  </si>
  <si>
    <t>201-107_PL14_CDV_CMX_T72_med3_CC-004-778_101.lcd</t>
  </si>
  <si>
    <t>CMX_T72_med3</t>
  </si>
  <si>
    <t>201-107_PL14_CDV_663_T0_ds1_CC-004-778_031.lcd</t>
  </si>
  <si>
    <t>201-107_PL14_CDV_663_T0_ds2_CC-004-778_032.lcd</t>
  </si>
  <si>
    <t>201-107_PL14_CDV_663_T0_ds3_CC-004-778_033.lcd</t>
  </si>
  <si>
    <t>201-107_PL14_CDV_663_T72_ds1_CC-004-778_035.lcd</t>
  </si>
  <si>
    <t>201-107_PL14_CDV_663_T72_ds2_CC-004-778_036.lcd</t>
  </si>
  <si>
    <t>201-107_PL14_CDV_663_T72_ds3_CC-004-778_037.lcd</t>
  </si>
  <si>
    <t>201-107_PL14_CDV_663_T72_med1_CC-004-778_039.lcd</t>
  </si>
  <si>
    <t>201-107_PL14_CDV_663_T72_med2_CC-004-778_040.lcd</t>
  </si>
  <si>
    <t>201-107_PL14_CDV_663_T72_med3_CC-004-778_041.lcd</t>
  </si>
  <si>
    <t>201-107_PL14_CDV_666_T0_ds1_CC-004-778_043.lcd</t>
  </si>
  <si>
    <t>201-107_PL14_CDV_666_T0_ds2_CC-004-778_044.lcd</t>
  </si>
  <si>
    <t>201-107_PL14_CDV_666_T0_ds3_CC-004-778_045.lcd</t>
  </si>
  <si>
    <t>201-107_PL14_CDV_666_T72_ds1_CC-004-778_047.lcd</t>
  </si>
  <si>
    <t>201-107_PL14_CDV_666_T72_ds2_CC-004-778_048.lcd</t>
  </si>
  <si>
    <t>201-107_PL14_CDV_666_T72_ds3_CC-004-778_049.lcd</t>
  </si>
  <si>
    <t>201-107_PL14_CDV_666_T72_med1_CC-004-778_051.lcd</t>
  </si>
  <si>
    <t>201-107_PL14_CDV_666_T72_med2_CC-004-778_052.lcd</t>
  </si>
  <si>
    <t>201-107_PL14_CDV_666_T72_med3_CC-004-778_053.lcd</t>
  </si>
  <si>
    <t>201-107_PL14_CDV_669_T0_ds1_CC-004-778_055.lcd</t>
  </si>
  <si>
    <t>201-107_PL14_CDV_669_T0_ds2_CC-004-778_056.lcd</t>
  </si>
  <si>
    <t>201-107_PL14_CDV_669_T0_ds3_CC-004-778_057.lcd</t>
  </si>
  <si>
    <t>201-107_PL14_CDV_669_T72_ds1_CC-004-778_059.lcd</t>
  </si>
  <si>
    <t>201-107_PL14_CDV_669_T72_ds2_CC-004-778_060.lcd</t>
  </si>
  <si>
    <t>201-107_PL14_CDV_669_T72_ds3_CC-004-778_061.lcd</t>
  </si>
  <si>
    <t>201-107_PL14_CDV_669_T72_med1_CC-004-778_063.lcd</t>
  </si>
  <si>
    <t>201-107_PL14_CDV_669_T72_med2_CC-004-778_064.lcd</t>
  </si>
  <si>
    <t>201-107_PL14_CDV_669_T72_med3_CC-004-778_065.lcd</t>
  </si>
  <si>
    <t>201-107_PL14_CDV_CDV_T0_ds1_CC-004-778_067.lcd</t>
  </si>
  <si>
    <t>201-107_PL14_CDV_CDV_T0_ds2_CC-004-778_068.lcd</t>
  </si>
  <si>
    <t>201-107_PL14_CDV_CDV_T0_ds3_CC-004-778_069.lcd</t>
  </si>
  <si>
    <t>201-107_PL14_CDV_CDV_T72_ds1_CC-004-778_071.lcd</t>
  </si>
  <si>
    <t>201-107_PL14_CDV_CDV_T72_ds2_CC-004-778_072.lcd</t>
  </si>
  <si>
    <t>201-107_PL14_CDV_CDV_T72_ds3_CC-004-778_073.lcd</t>
  </si>
  <si>
    <t>201-107_PL14_CDV_CDV_T72_med1_CC-004-778_075.lcd</t>
  </si>
  <si>
    <t>201-107_PL14_CDV_CDV_T72_med2_CC-004-778_076.lcd</t>
  </si>
  <si>
    <t>201-107_PL14_CDV_CDV_T72_med3_CC-004-778_077.lcd</t>
  </si>
  <si>
    <t>201-107_PL14_505_505_T72_lys1_CC-004-776_031.lcd</t>
  </si>
  <si>
    <t>201-107_PL14_505_505_T72_lys2_CC-004-776_032.lcd</t>
  </si>
  <si>
    <t>201-107_PL14_505_505_T72_lys3_CC-004-776_033.lcd</t>
  </si>
  <si>
    <t>201-107_PL14_CDV_505_T0_ds1_CC-004-778_079.lcd</t>
  </si>
  <si>
    <t>201-107_PL14_CDV_505_T0_ds2_CC-004-778_080.lcd</t>
  </si>
  <si>
    <t>201-107_PL14_CDV_505_T0_ds3_CC-004-778_081.lcd</t>
  </si>
  <si>
    <t>201-107_PL14_CDV_505_T72_ds1_CC-004-778_083.lcd</t>
  </si>
  <si>
    <t>201-107_PL14_CDV_505_T72_ds2_CC-004-778_084.lcd</t>
  </si>
  <si>
    <t>201-107_PL14_CDV_505_T72_ds3_CC-004-778_085.lcd</t>
  </si>
  <si>
    <t>201-107_PL14_CDV_505_T72_med1_CC-004-778_087.lcd</t>
  </si>
  <si>
    <t>201-107_PL14_CDV_505_T72_med2_CC-004-778_088.lcd</t>
  </si>
  <si>
    <t>201-107_PL14_CDV_505_T72_med3_CC-004-778_089.lcd</t>
  </si>
  <si>
    <t>201-107_PL14_CDV_505_T72_lys1_CC-004-776_031.lcd</t>
  </si>
  <si>
    <t>201-107_PL14_CDV_505_T72_lys2_CC-004-776_032.lcd</t>
  </si>
  <si>
    <t>201-107_PL14_CDV_505_T72_lys3_CC-004-776_033.lcd</t>
  </si>
  <si>
    <t>201-107_PL14_CMX_CMX_T0_ds1_CC-004-775_030.lcd</t>
  </si>
  <si>
    <t>201-107_PL14_CMX_CMX_T0_ds2_CC-004-775_031.lcd</t>
  </si>
  <si>
    <t>201-107_PL14_CMX_CMX_T0_ds3_CC-004-775_032.lcd</t>
  </si>
  <si>
    <t>201-107_PL14_CMX_CMX_T72_ds1_CC-004-775_035.lcd</t>
  </si>
  <si>
    <t>201-107_PL14_CMX_CMX_T72_ds2_CC-004-775_036.lcd</t>
  </si>
  <si>
    <t>201-107_PL14_CMX_CMX_T72_ds3_CC-004-775_037.lcd</t>
  </si>
  <si>
    <t>201-107_PL14_CMX_CMX_T72_med1_CC-004-775_040.lcd</t>
  </si>
  <si>
    <t>201-107_PL14_CMX_CMX_T72_med1_CC-004-775_041.lcd</t>
  </si>
  <si>
    <t>201-107_PL14_CMX_CMX_T72_med1_CC-004-775_042.lcd</t>
  </si>
  <si>
    <t>201-107_PL14_CMX_CMX_T72_lys1_CC-004-777_031.lcd</t>
  </si>
  <si>
    <t>201-107_PL14_CMX_CMX_T72_lys2_CC-004-777_032.lcd</t>
  </si>
  <si>
    <t>201-107_PL14_CMX_CMX_T72_lys3_CC-004-777_033.lcd</t>
  </si>
  <si>
    <t>201-107_PL14_CDV_CMX_T72_lys1_CC-004-777_035.lcd</t>
  </si>
  <si>
    <t>201-107_PL14_CDV_CMX_T72_lys2_CC-004-777_036.lcd</t>
  </si>
  <si>
    <t>201-107_PL14_CDV_CMX_T72_lys3_CC-004-777_037.lcd</t>
  </si>
  <si>
    <t>663_T72_lys1</t>
  </si>
  <si>
    <t>663_T72_lys2</t>
  </si>
  <si>
    <t>663_T72_lys3</t>
  </si>
  <si>
    <t>663_T0_ds1</t>
  </si>
  <si>
    <t>663_T0_ds2</t>
  </si>
  <si>
    <t>663_T0_ds3</t>
  </si>
  <si>
    <t>663_T72_ds1</t>
  </si>
  <si>
    <t>663_T72_ds2</t>
  </si>
  <si>
    <t>663_T72_ds3</t>
  </si>
  <si>
    <t>663_T72_med1</t>
  </si>
  <si>
    <t>663_T72_med2</t>
  </si>
  <si>
    <t>663_T72_med3</t>
  </si>
  <si>
    <t>666_T0_ds1</t>
  </si>
  <si>
    <t>666_T0_ds2</t>
  </si>
  <si>
    <t>666_T0_ds3</t>
  </si>
  <si>
    <t>666_T72_ds1</t>
  </si>
  <si>
    <t>666_T72_ds2</t>
  </si>
  <si>
    <t>666_T72_ds3</t>
  </si>
  <si>
    <t>666_T72_med1</t>
  </si>
  <si>
    <t>666_T72_med2</t>
  </si>
  <si>
    <t>666_T72_med3</t>
  </si>
  <si>
    <t>666_T72_lys1</t>
  </si>
  <si>
    <t>666_T72_lys2</t>
  </si>
  <si>
    <t>666_T72_lys3</t>
  </si>
  <si>
    <t>669_T0_ds1</t>
  </si>
  <si>
    <t>669_T0_ds2</t>
  </si>
  <si>
    <t>669_T0_ds3</t>
  </si>
  <si>
    <t>669_T72_ds1</t>
  </si>
  <si>
    <t>669_T72_ds2</t>
  </si>
  <si>
    <t>669_T72_ds3</t>
  </si>
  <si>
    <t>669_T72_med1</t>
  </si>
  <si>
    <t>669_T72_med2</t>
  </si>
  <si>
    <t>669_T72_med3</t>
  </si>
  <si>
    <t>669_T72_lys1</t>
  </si>
  <si>
    <t>669_T72_lys2</t>
  </si>
  <si>
    <t>669_T72_lys3</t>
  </si>
  <si>
    <t>CDV_T0_ds1</t>
  </si>
  <si>
    <t>CDV_T0_ds2</t>
  </si>
  <si>
    <t>CDV_T0_ds3</t>
  </si>
  <si>
    <t>CDV_T72_ds1</t>
  </si>
  <si>
    <t>CDV_T72_ds2</t>
  </si>
  <si>
    <t>CDV_T72_ds3</t>
  </si>
  <si>
    <t>CDV_T72_med1</t>
  </si>
  <si>
    <t>CDV_T72_med2</t>
  </si>
  <si>
    <t>CDV_T72_med3</t>
  </si>
  <si>
    <t>CDV_T72_lys1</t>
  </si>
  <si>
    <t>CDV_T72_lys2</t>
  </si>
  <si>
    <t>CDV_T72_lys3</t>
  </si>
  <si>
    <t>505_T72_lys1</t>
  </si>
  <si>
    <t>505_T72_lys2</t>
  </si>
  <si>
    <t>505_T72_lys3</t>
  </si>
  <si>
    <t>505_T0_ds1</t>
  </si>
  <si>
    <t>505_T0_ds2</t>
  </si>
  <si>
    <t>505_T0_ds3</t>
  </si>
  <si>
    <t>505_T72_ds1</t>
  </si>
  <si>
    <t>505_T72_ds2</t>
  </si>
  <si>
    <t>505_T72_ds3</t>
  </si>
  <si>
    <t>505_T72_med1</t>
  </si>
  <si>
    <t>505_T72_med2</t>
  </si>
  <si>
    <t>505_T72_med3</t>
  </si>
  <si>
    <t>CMX_T72_lys1</t>
  </si>
  <si>
    <t>CMX_T72_lys2</t>
  </si>
  <si>
    <t>CMX_T72_lys3</t>
  </si>
  <si>
    <t>AnSampleName</t>
  </si>
  <si>
    <t>Conc. (nM)_RAW</t>
  </si>
  <si>
    <t>pmol_CDV/10^6cells</t>
  </si>
  <si>
    <t>Theoretical Conc. (nM)</t>
  </si>
  <si>
    <t>t72_stability_nmol</t>
  </si>
  <si>
    <t>% change</t>
  </si>
  <si>
    <t>72 hr Media Stability</t>
  </si>
  <si>
    <t>Total recovered</t>
  </si>
  <si>
    <t>nano to pico</t>
  </si>
  <si>
    <t>SD</t>
  </si>
  <si>
    <t>NPP-669</t>
  </si>
  <si>
    <t>Treatment</t>
  </si>
  <si>
    <t>NPP-666</t>
  </si>
  <si>
    <t>NPP-663</t>
  </si>
  <si>
    <t>USC-505</t>
  </si>
  <si>
    <t>CMX-001</t>
  </si>
  <si>
    <t>pmol_Prodrug/10^6cells</t>
  </si>
  <si>
    <t>nmol_CMX</t>
  </si>
  <si>
    <t>percellsCMX</t>
  </si>
  <si>
    <t>convert to nanomoles</t>
  </si>
  <si>
    <t>nmol_663</t>
  </si>
  <si>
    <t>percells663</t>
  </si>
  <si>
    <t>nmol_USC</t>
  </si>
  <si>
    <t>percellsUSC</t>
  </si>
  <si>
    <t>percellsCDV</t>
  </si>
  <si>
    <t>nmol_CDV</t>
  </si>
  <si>
    <t>percells669</t>
  </si>
  <si>
    <t>nmol_669</t>
  </si>
  <si>
    <t>percells666</t>
  </si>
  <si>
    <t>nmol_666</t>
  </si>
  <si>
    <t>Table Title</t>
  </si>
  <si>
    <t>Purpose</t>
  </si>
  <si>
    <t>npp_663</t>
  </si>
  <si>
    <t xml:space="preserve">aggregate mass spec data </t>
  </si>
  <si>
    <t>converty to picomoles per 10^6 cells</t>
  </si>
  <si>
    <t>npp_666</t>
  </si>
  <si>
    <t>USC</t>
  </si>
  <si>
    <t>npp_669</t>
  </si>
  <si>
    <t>Analyte</t>
  </si>
  <si>
    <t>----</t>
  </si>
  <si>
    <t>=questionable accuracy</t>
  </si>
  <si>
    <t>% converted to 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</si>
</sst>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00"/>
    <numFmt numFmtId="166" formatCode="0.0"/>
    <numFmt numFmtId="167" formatCode="0.0%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CCC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1">
    <xf numFmtId="0" fontId="0" fillId="0" borderId="0" xfId="0"/>
    <xf numFmtId="0" fontId="0" fillId="2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2" borderId="2" xfId="0" applyFill="1" applyBorder="1"/>
    <xf numFmtId="0" fontId="0" fillId="4" borderId="2" xfId="0" applyFill="1" applyBorder="1"/>
    <xf numFmtId="0" fontId="0" fillId="3" borderId="2" xfId="0" applyFill="1" applyBorder="1"/>
    <xf numFmtId="0" fontId="0" fillId="5" borderId="2" xfId="0" applyFill="1" applyBorder="1"/>
    <xf numFmtId="0" fontId="0" fillId="6" borderId="2" xfId="0" applyFill="1" applyBorder="1"/>
    <xf numFmtId="11" fontId="0" fillId="2" borderId="1" xfId="0" applyNumberFormat="1" applyFill="1" applyBorder="1"/>
    <xf numFmtId="0" fontId="0" fillId="2" borderId="1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5" borderId="4" xfId="0" applyFont="1" applyFill="1" applyBorder="1"/>
    <xf numFmtId="0" fontId="1" fillId="5" borderId="5" xfId="0" applyFont="1" applyFill="1" applyBorder="1"/>
    <xf numFmtId="0" fontId="1" fillId="5" borderId="6" xfId="0" applyFont="1" applyFill="1" applyBorder="1"/>
    <xf numFmtId="0" fontId="1" fillId="6" borderId="4" xfId="0" applyFont="1" applyFill="1" applyBorder="1"/>
    <xf numFmtId="0" fontId="1" fillId="6" borderId="5" xfId="0" applyFont="1" applyFill="1" applyBorder="1"/>
    <xf numFmtId="0" fontId="1" fillId="6" borderId="6" xfId="0" applyFont="1" applyFill="1" applyBorder="1"/>
    <xf numFmtId="0" fontId="1" fillId="2" borderId="4" xfId="0" applyFont="1" applyFill="1" applyBorder="1"/>
    <xf numFmtId="11" fontId="0" fillId="0" borderId="0" xfId="0" applyNumberFormat="1"/>
    <xf numFmtId="11" fontId="0" fillId="4" borderId="1" xfId="0" applyNumberFormat="1" applyFill="1" applyBorder="1"/>
    <xf numFmtId="11" fontId="0" fillId="3" borderId="1" xfId="0" applyNumberFormat="1" applyFill="1" applyBorder="1"/>
    <xf numFmtId="11" fontId="0" fillId="5" borderId="1" xfId="0" applyNumberFormat="1" applyFill="1" applyBorder="1"/>
    <xf numFmtId="11" fontId="0" fillId="6" borderId="1" xfId="0" applyNumberFormat="1" applyFill="1" applyBorder="1"/>
    <xf numFmtId="0" fontId="1" fillId="2" borderId="5" xfId="0" applyFont="1" applyFill="1" applyBorder="1" applyAlignment="1">
      <alignment horizontal="center"/>
    </xf>
    <xf numFmtId="0" fontId="0" fillId="4" borderId="1" xfId="0" applyFont="1" applyFill="1" applyBorder="1"/>
    <xf numFmtId="0" fontId="0" fillId="3" borderId="1" xfId="0" applyFont="1" applyFill="1" applyBorder="1"/>
    <xf numFmtId="0" fontId="0" fillId="5" borderId="1" xfId="0" applyFont="1" applyFill="1" applyBorder="1"/>
    <xf numFmtId="0" fontId="0" fillId="6" borderId="1" xfId="0" applyFont="1" applyFill="1" applyBorder="1"/>
    <xf numFmtId="0" fontId="0" fillId="2" borderId="2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4" fillId="2" borderId="6" xfId="0" applyFont="1" applyFill="1" applyBorder="1"/>
    <xf numFmtId="0" fontId="1" fillId="7" borderId="4" xfId="0" applyFont="1" applyFill="1" applyBorder="1"/>
    <xf numFmtId="0" fontId="1" fillId="7" borderId="5" xfId="0" applyFont="1" applyFill="1" applyBorder="1"/>
    <xf numFmtId="0" fontId="1" fillId="7" borderId="6" xfId="0" applyFont="1" applyFill="1" applyBorder="1"/>
    <xf numFmtId="0" fontId="0" fillId="7" borderId="2" xfId="0" applyFill="1" applyBorder="1"/>
    <xf numFmtId="0" fontId="0" fillId="7" borderId="1" xfId="0" applyFill="1" applyBorder="1"/>
    <xf numFmtId="11" fontId="0" fillId="7" borderId="1" xfId="0" applyNumberFormat="1" applyFill="1" applyBorder="1"/>
    <xf numFmtId="0" fontId="0" fillId="7" borderId="1" xfId="0" applyFont="1" applyFill="1" applyBorder="1"/>
    <xf numFmtId="0" fontId="1" fillId="7" borderId="5" xfId="0" applyFont="1" applyFill="1" applyBorder="1" applyAlignment="1">
      <alignment horizontal="center"/>
    </xf>
    <xf numFmtId="0" fontId="4" fillId="7" borderId="4" xfId="0" applyFont="1" applyFill="1" applyBorder="1"/>
    <xf numFmtId="0" fontId="4" fillId="7" borderId="5" xfId="0" applyFont="1" applyFill="1" applyBorder="1"/>
    <xf numFmtId="0" fontId="4" fillId="7" borderId="6" xfId="0" applyFont="1" applyFill="1" applyBorder="1"/>
    <xf numFmtId="0" fontId="0" fillId="7" borderId="2" xfId="0" applyFont="1" applyFill="1" applyBorder="1"/>
    <xf numFmtId="0" fontId="4" fillId="4" borderId="4" xfId="0" applyFont="1" applyFill="1" applyBorder="1"/>
    <xf numFmtId="0" fontId="4" fillId="4" borderId="5" xfId="0" applyFont="1" applyFill="1" applyBorder="1"/>
    <xf numFmtId="0" fontId="4" fillId="4" borderId="6" xfId="0" applyFont="1" applyFill="1" applyBorder="1"/>
    <xf numFmtId="0" fontId="0" fillId="4" borderId="2" xfId="0" applyFont="1" applyFill="1" applyBorder="1"/>
    <xf numFmtId="0" fontId="4" fillId="3" borderId="4" xfId="0" applyFont="1" applyFill="1" applyBorder="1"/>
    <xf numFmtId="0" fontId="4" fillId="3" borderId="5" xfId="0" applyFont="1" applyFill="1" applyBorder="1"/>
    <xf numFmtId="0" fontId="4" fillId="3" borderId="6" xfId="0" applyFont="1" applyFill="1" applyBorder="1"/>
    <xf numFmtId="0" fontId="0" fillId="3" borderId="2" xfId="0" applyFont="1" applyFill="1" applyBorder="1"/>
    <xf numFmtId="0" fontId="4" fillId="6" borderId="4" xfId="0" applyFont="1" applyFill="1" applyBorder="1"/>
    <xf numFmtId="0" fontId="4" fillId="6" borderId="5" xfId="0" applyFont="1" applyFill="1" applyBorder="1"/>
    <xf numFmtId="0" fontId="4" fillId="6" borderId="6" xfId="0" applyFont="1" applyFill="1" applyBorder="1"/>
    <xf numFmtId="0" fontId="0" fillId="6" borderId="2" xfId="0" applyFont="1" applyFill="1" applyBorder="1"/>
    <xf numFmtId="0" fontId="0" fillId="5" borderId="2" xfId="0" applyFont="1" applyFill="1" applyBorder="1"/>
    <xf numFmtId="0" fontId="4" fillId="5" borderId="4" xfId="0" applyFont="1" applyFill="1" applyBorder="1"/>
    <xf numFmtId="0" fontId="4" fillId="5" borderId="5" xfId="0" applyFont="1" applyFill="1" applyBorder="1"/>
    <xf numFmtId="0" fontId="4" fillId="5" borderId="6" xfId="0" applyFont="1" applyFill="1" applyBorder="1"/>
    <xf numFmtId="0" fontId="3" fillId="4" borderId="1" xfId="0" applyFont="1" applyFill="1" applyBorder="1"/>
    <xf numFmtId="0" fontId="3" fillId="3" borderId="1" xfId="0" applyFont="1" applyFill="1" applyBorder="1"/>
    <xf numFmtId="0" fontId="3" fillId="5" borderId="1" xfId="0" applyFont="1" applyFill="1" applyBorder="1"/>
    <xf numFmtId="0" fontId="3" fillId="6" borderId="1" xfId="0" applyFont="1" applyFill="1" applyBorder="1"/>
    <xf numFmtId="11" fontId="0" fillId="3" borderId="1" xfId="0" applyNumberFormat="1" applyFont="1" applyFill="1" applyBorder="1"/>
    <xf numFmtId="11" fontId="0" fillId="4" borderId="1" xfId="0" applyNumberFormat="1" applyFont="1" applyFill="1" applyBorder="1"/>
    <xf numFmtId="11" fontId="0" fillId="6" borderId="1" xfId="0" applyNumberFormat="1" applyFont="1" applyFill="1" applyBorder="1"/>
    <xf numFmtId="14" fontId="0" fillId="0" borderId="0" xfId="0" applyNumberFormat="1"/>
    <xf numFmtId="11" fontId="3" fillId="5" borderId="1" xfId="0" applyNumberFormat="1" applyFont="1" applyFill="1" applyBorder="1"/>
    <xf numFmtId="11" fontId="3" fillId="3" borderId="1" xfId="0" applyNumberFormat="1" applyFont="1" applyFill="1" applyBorder="1"/>
    <xf numFmtId="0" fontId="0" fillId="0" borderId="26" xfId="0" applyBorder="1"/>
    <xf numFmtId="0" fontId="0" fillId="0" borderId="27" xfId="0" applyBorder="1"/>
    <xf numFmtId="0" fontId="0" fillId="0" borderId="14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3" fillId="2" borderId="1" xfId="0" applyFont="1" applyFill="1" applyBorder="1"/>
    <xf numFmtId="11" fontId="3" fillId="2" borderId="1" xfId="0" applyNumberFormat="1" applyFont="1" applyFill="1" applyBorder="1"/>
    <xf numFmtId="0" fontId="0" fillId="0" borderId="33" xfId="0" applyBorder="1"/>
    <xf numFmtId="0" fontId="0" fillId="0" borderId="34" xfId="0" applyBorder="1"/>
    <xf numFmtId="0" fontId="3" fillId="7" borderId="1" xfId="0" applyFont="1" applyFill="1" applyBorder="1"/>
    <xf numFmtId="11" fontId="3" fillId="7" borderId="1" xfId="0" applyNumberFormat="1" applyFont="1" applyFill="1" applyBorder="1"/>
    <xf numFmtId="9" fontId="0" fillId="0" borderId="0" xfId="1" applyFont="1" applyBorder="1"/>
    <xf numFmtId="2" fontId="0" fillId="0" borderId="0" xfId="0" applyNumberFormat="1"/>
    <xf numFmtId="166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3" fillId="8" borderId="27" xfId="0" applyFont="1" applyFill="1" applyBorder="1"/>
    <xf numFmtId="11" fontId="0" fillId="5" borderId="1" xfId="0" applyNumberFormat="1" applyFont="1" applyFill="1" applyBorder="1"/>
    <xf numFmtId="11" fontId="0" fillId="7" borderId="1" xfId="0" applyNumberFormat="1" applyFont="1" applyFill="1" applyBorder="1"/>
    <xf numFmtId="11" fontId="0" fillId="2" borderId="1" xfId="0" applyNumberFormat="1" applyFont="1" applyFill="1" applyBorder="1"/>
    <xf numFmtId="11" fontId="0" fillId="4" borderId="3" xfId="0" applyNumberFormat="1" applyFill="1" applyBorder="1"/>
    <xf numFmtId="11" fontId="0" fillId="7" borderId="3" xfId="0" applyNumberFormat="1" applyFill="1" applyBorder="1"/>
    <xf numFmtId="11" fontId="0" fillId="7" borderId="1" xfId="1" applyNumberFormat="1" applyFont="1" applyFill="1" applyBorder="1"/>
    <xf numFmtId="11" fontId="0" fillId="2" borderId="3" xfId="0" applyNumberFormat="1" applyFill="1" applyBorder="1"/>
    <xf numFmtId="11" fontId="0" fillId="2" borderId="3" xfId="0" applyNumberFormat="1" applyFont="1" applyFill="1" applyBorder="1"/>
    <xf numFmtId="11" fontId="0" fillId="2" borderId="1" xfId="1" applyNumberFormat="1" applyFont="1" applyFill="1" applyBorder="1"/>
    <xf numFmtId="11" fontId="0" fillId="3" borderId="3" xfId="0" applyNumberFormat="1" applyFill="1" applyBorder="1"/>
    <xf numFmtId="11" fontId="1" fillId="3" borderId="5" xfId="0" applyNumberFormat="1" applyFont="1" applyFill="1" applyBorder="1"/>
    <xf numFmtId="11" fontId="1" fillId="3" borderId="5" xfId="0" applyNumberFormat="1" applyFont="1" applyFill="1" applyBorder="1" applyAlignment="1">
      <alignment horizontal="center"/>
    </xf>
    <xf numFmtId="11" fontId="0" fillId="3" borderId="1" xfId="1" applyNumberFormat="1" applyFont="1" applyFill="1" applyBorder="1"/>
    <xf numFmtId="11" fontId="0" fillId="5" borderId="3" xfId="0" applyNumberFormat="1" applyFill="1" applyBorder="1"/>
    <xf numFmtId="11" fontId="1" fillId="5" borderId="5" xfId="0" applyNumberFormat="1" applyFont="1" applyFill="1" applyBorder="1"/>
    <xf numFmtId="11" fontId="1" fillId="5" borderId="5" xfId="0" applyNumberFormat="1" applyFont="1" applyFill="1" applyBorder="1" applyAlignment="1">
      <alignment horizontal="center"/>
    </xf>
    <xf numFmtId="11" fontId="0" fillId="5" borderId="1" xfId="1" applyNumberFormat="1" applyFont="1" applyFill="1" applyBorder="1"/>
    <xf numFmtId="11" fontId="0" fillId="5" borderId="3" xfId="0" applyNumberFormat="1" applyFont="1" applyFill="1" applyBorder="1"/>
    <xf numFmtId="11" fontId="0" fillId="6" borderId="3" xfId="0" applyNumberFormat="1" applyFill="1" applyBorder="1"/>
    <xf numFmtId="11" fontId="1" fillId="6" borderId="5" xfId="0" applyNumberFormat="1" applyFont="1" applyFill="1" applyBorder="1"/>
    <xf numFmtId="11" fontId="1" fillId="6" borderId="5" xfId="0" applyNumberFormat="1" applyFont="1" applyFill="1" applyBorder="1" applyAlignment="1">
      <alignment horizontal="center"/>
    </xf>
    <xf numFmtId="11" fontId="0" fillId="6" borderId="1" xfId="1" applyNumberFormat="1" applyFont="1" applyFill="1" applyBorder="1"/>
    <xf numFmtId="11" fontId="0" fillId="6" borderId="3" xfId="0" applyNumberFormat="1" applyFont="1" applyFill="1" applyBorder="1"/>
    <xf numFmtId="0" fontId="0" fillId="0" borderId="1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167" fontId="0" fillId="0" borderId="36" xfId="1" applyNumberFormat="1" applyFon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7" fontId="0" fillId="0" borderId="16" xfId="1" applyNumberFormat="1" applyFont="1" applyBorder="1" applyAlignment="1">
      <alignment horizontal="center" vertical="center"/>
    </xf>
    <xf numFmtId="167" fontId="0" fillId="0" borderId="19" xfId="1" applyNumberFormat="1" applyFont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167" fontId="0" fillId="0" borderId="25" xfId="1" applyNumberFormat="1" applyFont="1" applyBorder="1" applyAlignment="1">
      <alignment horizontal="center" vertical="center"/>
    </xf>
    <xf numFmtId="2" fontId="0" fillId="0" borderId="31" xfId="1" applyNumberFormat="1" applyFont="1" applyBorder="1" applyAlignment="1">
      <alignment horizontal="center" vertical="center"/>
    </xf>
    <xf numFmtId="2" fontId="0" fillId="0" borderId="32" xfId="1" applyNumberFormat="1" applyFont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167" fontId="0" fillId="0" borderId="22" xfId="1" applyNumberFormat="1" applyFont="1" applyBorder="1" applyAlignment="1">
      <alignment horizontal="center" vertical="center"/>
    </xf>
    <xf numFmtId="2" fontId="0" fillId="0" borderId="37" xfId="0" applyNumberFormat="1" applyBorder="1" applyAlignment="1">
      <alignment horizontal="center" vertical="center"/>
    </xf>
    <xf numFmtId="167" fontId="0" fillId="0" borderId="13" xfId="1" applyNumberFormat="1" applyFont="1" applyBorder="1" applyAlignment="1">
      <alignment horizontal="center" vertical="center"/>
    </xf>
    <xf numFmtId="167" fontId="0" fillId="0" borderId="9" xfId="1" applyNumberFormat="1" applyFont="1" applyBorder="1" applyAlignment="1">
      <alignment horizontal="center" vertical="center"/>
    </xf>
    <xf numFmtId="2" fontId="0" fillId="0" borderId="37" xfId="1" applyNumberFormat="1" applyFont="1" applyBorder="1" applyAlignment="1">
      <alignment horizontal="center" vertical="center"/>
    </xf>
    <xf numFmtId="2" fontId="0" fillId="0" borderId="13" xfId="1" applyNumberFormat="1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0" fontId="0" fillId="0" borderId="6" xfId="1" applyNumberFormat="1" applyFont="1" applyBorder="1" applyAlignment="1">
      <alignment horizontal="center" vertical="center"/>
    </xf>
    <xf numFmtId="167" fontId="0" fillId="0" borderId="6" xfId="1" applyNumberFormat="1" applyFont="1" applyBorder="1" applyAlignment="1">
      <alignment horizontal="center" vertical="center"/>
    </xf>
    <xf numFmtId="2" fontId="0" fillId="0" borderId="25" xfId="1" applyNumberFormat="1" applyFon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1" applyNumberFormat="1" applyFont="1" applyBorder="1" applyAlignment="1">
      <alignment horizontal="center" vertical="center"/>
    </xf>
    <xf numFmtId="167" fontId="0" fillId="0" borderId="8" xfId="1" applyNumberFormat="1" applyFon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167" fontId="0" fillId="0" borderId="3" xfId="1" applyNumberFormat="1" applyFont="1" applyBorder="1" applyAlignment="1">
      <alignment horizontal="center" vertical="center"/>
    </xf>
    <xf numFmtId="2" fontId="3" fillId="8" borderId="24" xfId="0" applyNumberFormat="1" applyFont="1" applyFill="1" applyBorder="1" applyAlignment="1">
      <alignment horizontal="center" vertical="center"/>
    </xf>
    <xf numFmtId="167" fontId="3" fillId="8" borderId="22" xfId="1" applyNumberFormat="1" applyFont="1" applyFill="1" applyBorder="1" applyAlignment="1">
      <alignment horizontal="center" vertical="center"/>
    </xf>
    <xf numFmtId="167" fontId="3" fillId="8" borderId="9" xfId="1" applyNumberFormat="1" applyFont="1" applyFill="1" applyBorder="1" applyAlignment="1">
      <alignment horizontal="center" vertical="center"/>
    </xf>
    <xf numFmtId="167" fontId="0" fillId="0" borderId="18" xfId="1" quotePrefix="1" applyNumberFormat="1" applyFont="1" applyBorder="1" applyAlignment="1">
      <alignment horizontal="center" vertical="center"/>
    </xf>
    <xf numFmtId="167" fontId="0" fillId="0" borderId="32" xfId="1" quotePrefix="1" applyNumberFormat="1" applyFont="1" applyBorder="1" applyAlignment="1">
      <alignment horizontal="center" vertical="center"/>
    </xf>
    <xf numFmtId="0" fontId="0" fillId="0" borderId="43" xfId="0" applyBorder="1"/>
    <xf numFmtId="0" fontId="0" fillId="0" borderId="3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166" fontId="0" fillId="0" borderId="31" xfId="0" applyNumberFormat="1" applyBorder="1" applyAlignment="1">
      <alignment horizontal="center" vertical="center"/>
    </xf>
    <xf numFmtId="166" fontId="0" fillId="0" borderId="32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166" fontId="0" fillId="0" borderId="24" xfId="0" applyNumberFormat="1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166" fontId="0" fillId="0" borderId="39" xfId="0" applyNumberFormat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166" fontId="0" fillId="0" borderId="40" xfId="0" applyNumberFormat="1" applyBorder="1" applyAlignment="1">
      <alignment horizontal="center" vertical="center"/>
    </xf>
    <xf numFmtId="0" fontId="0" fillId="9" borderId="0" xfId="0" applyFill="1"/>
    <xf numFmtId="0" fontId="0" fillId="0" borderId="0" xfId="0" quotePrefix="1"/>
    <xf numFmtId="0" fontId="0" fillId="0" borderId="0" xfId="0" applyFill="1"/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9" fontId="0" fillId="0" borderId="0" xfId="1" applyFont="1"/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38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5" formatCode="0.00E+00"/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5" formatCode="0.00E+00"/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5" formatCode="0.00E+00"/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5" formatCode="0.00E+00"/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8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8" tint="0.79998168889431442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5" formatCode="0.00E+00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5" formatCode="0.00E+00"/>
      <fill>
        <patternFill patternType="solid">
          <fgColor indexed="64"/>
          <bgColor theme="8" tint="0.79998168889431442"/>
        </patternFill>
      </fill>
      <border outline="0">
        <right style="thin">
          <color indexed="64"/>
        </right>
      </border>
    </dxf>
    <dxf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5" formatCode="0.00E+00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5" formatCode="0.00E+00"/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5" formatCode="0.00E+00"/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5" formatCode="0.00E+00"/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5" formatCode="0.00E+00"/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5" formatCode="0.00E+00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8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ill>
        <patternFill patternType="solid">
          <fgColor indexed="64"/>
          <bgColor theme="8" tint="0.79998168889431442"/>
        </patternFill>
      </fill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5" formatCode="0.00E+00"/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5" formatCode="0.00E+00"/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5" formatCode="0.00E+00"/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5" formatCode="0.00E+00"/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5" formatCode="0.00E+00"/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5" formatCode="0.00E+00"/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5" formatCode="0.00E+00"/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5" formatCode="0.00E+00"/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8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ill>
        <patternFill patternType="solid">
          <fgColor indexed="64"/>
          <bgColor theme="8" tint="0.79998168889431442"/>
        </patternFill>
      </fill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5" formatCode="0.00E+00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5" formatCode="0.00E+00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5" formatCode="0.00E+00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5" formatCode="0.00E+00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5" formatCode="0.00E+00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5" formatCode="0.00E+00"/>
      <fill>
        <patternFill patternType="solid">
          <fgColor indexed="64"/>
          <bgColor theme="9" tint="0.79998168889431442"/>
        </patternFill>
      </fill>
      <border outline="0">
        <right style="thin">
          <color indexed="64"/>
        </right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5" formatCode="0.00E+00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5" formatCode="0.00E+00"/>
      <fill>
        <patternFill patternType="solid">
          <fgColor indexed="64"/>
          <bgColor theme="9" tint="0.79998168889431442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5" formatCode="0.00E+00"/>
      <fill>
        <patternFill patternType="solid">
          <fgColor indexed="64"/>
          <bgColor theme="9" tint="0.79998168889431442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5" formatCode="0.00E+00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5" formatCode="0.00E+00"/>
      <fill>
        <patternFill patternType="solid">
          <fgColor indexed="64"/>
          <bgColor theme="9" tint="0.79998168889431442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5" formatCode="0.00E+00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ill>
        <patternFill patternType="solid">
          <fgColor indexed="64"/>
          <bgColor theme="9" tint="0.79998168889431442"/>
        </patternFill>
      </fill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79998168889431442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5" formatCode="0.00E+00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5" formatCode="0.00E+00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5" formatCode="0.00E+00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5" formatCode="0.00E+00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5" formatCode="0.00E+00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5" formatCode="0.00E+00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5" formatCode="0.00E+00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5" formatCode="0.00E+00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ill>
        <patternFill patternType="solid">
          <fgColor indexed="64"/>
          <bgColor theme="9" tint="0.79998168889431442"/>
        </patternFill>
      </fill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5" formatCode="0.00E+00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5" formatCode="0.00E+00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5" formatCode="0.00E+00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5" formatCode="0.00E+00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5" formatCode="0.00E+00"/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5" formatCode="0.00E+00"/>
      <fill>
        <patternFill patternType="solid">
          <fgColor indexed="64"/>
          <bgColor theme="6" tint="0.79998168889431442"/>
        </patternFill>
      </fill>
      <border outline="0">
        <right style="thin">
          <color indexed="64"/>
        </right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5" formatCode="0.00E+00"/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5" formatCode="0.00E+00"/>
      <fill>
        <patternFill patternType="solid">
          <fgColor indexed="64"/>
          <bgColor theme="6" tint="0.79998168889431442"/>
        </patternFill>
      </fill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5" formatCode="0.00E+00"/>
      <fill>
        <patternFill patternType="solid">
          <fgColor indexed="64"/>
          <bgColor theme="6" tint="0.79998168889431442"/>
        </patternFill>
      </fill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5" formatCode="0.00E+00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5" formatCode="0.00E+00"/>
      <fill>
        <patternFill patternType="solid">
          <fgColor indexed="64"/>
          <bgColor theme="6" tint="0.79998168889431442"/>
        </patternFill>
      </fill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5" formatCode="0.00E+00"/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ill>
        <patternFill patternType="solid">
          <fgColor indexed="64"/>
          <bgColor theme="6" tint="0.79998168889431442"/>
        </patternFill>
      </fill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5" formatCode="0.00E+00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5" formatCode="0.00E+00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5" formatCode="0.00E+00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5" formatCode="0.00E+00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5" formatCode="0.00E+00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5" formatCode="0.00E+00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5" formatCode="0.00E+00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5" formatCode="0.00E+00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ill>
        <patternFill patternType="solid">
          <fgColor indexed="64"/>
          <bgColor theme="6" tint="0.79998168889431442"/>
        </patternFill>
      </fill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5" formatCode="0.00E+00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5" formatCode="0.00E+00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5" formatCode="0.00E+00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5" formatCode="0.00E+00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5" formatCode="0.00E+00"/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5" formatCode="0.00E+00"/>
      <fill>
        <patternFill patternType="solid">
          <fgColor indexed="64"/>
          <bgColor theme="5" tint="0.79998168889431442"/>
        </patternFill>
      </fill>
      <border outline="0">
        <right style="thin">
          <color indexed="64"/>
        </right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5" formatCode="0.00E+00"/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5" formatCode="0.00E+00"/>
      <fill>
        <patternFill patternType="solid">
          <fgColor indexed="64"/>
          <bgColor theme="5" tint="0.79998168889431442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5" formatCode="0.00E+00"/>
      <fill>
        <patternFill patternType="solid">
          <fgColor indexed="64"/>
          <bgColor theme="5" tint="0.79998168889431442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5" formatCode="0.00E+00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5" formatCode="0.00E+00"/>
      <fill>
        <patternFill patternType="solid">
          <fgColor indexed="64"/>
          <bgColor theme="5" tint="0.79998168889431442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5" formatCode="0.00E+00"/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79998168889431442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5" formatCode="0.00E+00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5" formatCode="0.00E+00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5" formatCode="0.00E+00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5" formatCode="0.00E+00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5" formatCode="0.00E+00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5" formatCode="0.00E+00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5" formatCode="0.00E+00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5" formatCode="0.00E+00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79998168889431442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5" formatCode="0.00E+00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5" formatCode="0.00E+00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5" formatCode="0.00E+00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5" formatCode="0.00E+00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5" formatCode="0.00E+00"/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5" formatCode="0.00E+00"/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5" formatCode="0.00E+00"/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5" formatCode="0.00E+00"/>
      <fill>
        <patternFill patternType="solid">
          <fgColor indexed="64"/>
          <bgColor theme="7" tint="0.59999389629810485"/>
        </patternFill>
      </fill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5" formatCode="0.00E+00"/>
      <fill>
        <patternFill patternType="solid">
          <fgColor indexed="64"/>
          <bgColor theme="7" tint="0.59999389629810485"/>
        </patternFill>
      </fill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5" formatCode="0.00E+00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5" formatCode="0.00E+00"/>
      <fill>
        <patternFill patternType="solid">
          <fgColor indexed="64"/>
          <bgColor theme="7" tint="0.59999389629810485"/>
        </patternFill>
      </fill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5" formatCode="0.00E+00"/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5999938962981048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7" tint="0.5999938962981048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ill>
        <patternFill patternType="solid">
          <fgColor indexed="64"/>
          <bgColor theme="7" tint="0.59999389629810485"/>
        </patternFill>
      </fill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59999389629810485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5" formatCode="0.00E+00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5" formatCode="0.00E+00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5" formatCode="0.00E+00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5" formatCode="0.00E+00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5" formatCode="0.00E+00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5" formatCode="0.00E+00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5" formatCode="0.00E+00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5" formatCode="0.00E+00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5999938962981048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7" tint="0.5999938962981048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ill>
        <patternFill patternType="solid">
          <fgColor indexed="64"/>
          <bgColor theme="7" tint="0.59999389629810485"/>
        </patternFill>
      </fill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59999389629810485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5" formatCode="0.00E+00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5" formatCode="0.00E+00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5" formatCode="0.00E+00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5" formatCode="0.00E+00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5" formatCode="0.00E+00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5" formatCode="0.00E+00"/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5" formatCode="0.00E+00"/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5" formatCode="0.00E+00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5" formatCode="0.00E+00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5" formatCode="0.00E+00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5" formatCode="0.00E+00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5" formatCode="0.00E+00"/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ill>
        <patternFill patternType="solid">
          <fgColor indexed="64"/>
          <bgColor theme="7" tint="0.79998168889431442"/>
        </patternFill>
      </fill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5" formatCode="0.00E+00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5" formatCode="0.00E+00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5" formatCode="0.00E+00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5" formatCode="0.00E+00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5" formatCode="0.00E+00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5" formatCode="0.00E+00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5" formatCode="0.00E+00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5" formatCode="0.00E+00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ill>
        <patternFill patternType="solid">
          <fgColor indexed="64"/>
          <bgColor theme="7" tint="0.79998168889431442"/>
        </patternFill>
      </fill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CC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pmolPerCellFigure!$B$20</c:f>
              <c:strCache>
                <c:ptCount val="1"/>
                <c:pt idx="0">
                  <c:v>Prodrug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pmolPerCellFigure!$C$21:$C$26</c:f>
                <c:numCache>
                  <c:formatCode>General</c:formatCode>
                  <c:ptCount val="6"/>
                  <c:pt idx="0">
                    <c:v>46.737246748310753</c:v>
                  </c:pt>
                  <c:pt idx="1">
                    <c:v>5.435812535398914</c:v>
                  </c:pt>
                  <c:pt idx="2">
                    <c:v>5.1015811219629406</c:v>
                  </c:pt>
                  <c:pt idx="3">
                    <c:v>0</c:v>
                  </c:pt>
                  <c:pt idx="4">
                    <c:v>12.236549531024846</c:v>
                  </c:pt>
                  <c:pt idx="5">
                    <c:v>3.3365992055539517</c:v>
                  </c:pt>
                </c:numCache>
              </c:numRef>
            </c:plus>
            <c:minus>
              <c:numRef>
                <c:f>pmolPerCellFigure!$C$21:$C$26</c:f>
                <c:numCache>
                  <c:formatCode>General</c:formatCode>
                  <c:ptCount val="6"/>
                  <c:pt idx="0">
                    <c:v>46.737246748310753</c:v>
                  </c:pt>
                  <c:pt idx="1">
                    <c:v>5.435812535398914</c:v>
                  </c:pt>
                  <c:pt idx="2">
                    <c:v>5.1015811219629406</c:v>
                  </c:pt>
                  <c:pt idx="3">
                    <c:v>0</c:v>
                  </c:pt>
                  <c:pt idx="4">
                    <c:v>12.236549531024846</c:v>
                  </c:pt>
                  <c:pt idx="5">
                    <c:v>3.3365992055539517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pmolPerCellFigure!$A$21:$A$26</c:f>
              <c:strCache>
                <c:ptCount val="6"/>
                <c:pt idx="0">
                  <c:v>NPP-669</c:v>
                </c:pt>
                <c:pt idx="1">
                  <c:v>NPP-666</c:v>
                </c:pt>
                <c:pt idx="2">
                  <c:v>NPP-663</c:v>
                </c:pt>
                <c:pt idx="3">
                  <c:v>CDV</c:v>
                </c:pt>
                <c:pt idx="4">
                  <c:v>USC-505</c:v>
                </c:pt>
                <c:pt idx="5">
                  <c:v>CMX-001</c:v>
                </c:pt>
              </c:strCache>
            </c:strRef>
          </c:cat>
          <c:val>
            <c:numRef>
              <c:f>pmolPerCellFigure!$B$21:$B$26</c:f>
              <c:numCache>
                <c:formatCode>0.0</c:formatCode>
                <c:ptCount val="6"/>
                <c:pt idx="0">
                  <c:v>314.08276595744684</c:v>
                </c:pt>
                <c:pt idx="1">
                  <c:v>132.41560000000001</c:v>
                </c:pt>
                <c:pt idx="2">
                  <c:v>47.882457831325297</c:v>
                </c:pt>
                <c:pt idx="3">
                  <c:v>0</c:v>
                </c:pt>
                <c:pt idx="4">
                  <c:v>113.25097674418605</c:v>
                </c:pt>
                <c:pt idx="5">
                  <c:v>336.12914285714288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1C-4824-BCA3-1C6E897A7807}"/>
            </c:ext>
          </c:extLst>
        </c:ser>
        <c:ser>
          <c:idx val="2"/>
          <c:order val="1"/>
          <c:tx>
            <c:strRef>
              <c:f>pmolPerCellFigure!$D$20</c:f>
              <c:strCache>
                <c:ptCount val="1"/>
                <c:pt idx="0">
                  <c:v>CDV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pmolPerCellFigure!$E$21:$E$26</c:f>
                <c:numCache>
                  <c:formatCode>General</c:formatCode>
                  <c:ptCount val="6"/>
                  <c:pt idx="0">
                    <c:v>29.292525568435668</c:v>
                  </c:pt>
                  <c:pt idx="1">
                    <c:v>18.239130474400895</c:v>
                  </c:pt>
                  <c:pt idx="2">
                    <c:v>4.7709189544173114</c:v>
                  </c:pt>
                  <c:pt idx="3">
                    <c:v>0.61373219023605552</c:v>
                  </c:pt>
                  <c:pt idx="4">
                    <c:v>13.731657726829367</c:v>
                  </c:pt>
                  <c:pt idx="5">
                    <c:v>14.667011298362842</c:v>
                  </c:pt>
                </c:numCache>
              </c:numRef>
            </c:plus>
            <c:minus>
              <c:numRef>
                <c:f>pmolPerCellFigure!$E$21:$E$26</c:f>
                <c:numCache>
                  <c:formatCode>General</c:formatCode>
                  <c:ptCount val="6"/>
                  <c:pt idx="0">
                    <c:v>29.292525568435668</c:v>
                  </c:pt>
                  <c:pt idx="1">
                    <c:v>18.239130474400895</c:v>
                  </c:pt>
                  <c:pt idx="2">
                    <c:v>4.7709189544173114</c:v>
                  </c:pt>
                  <c:pt idx="3">
                    <c:v>0.61373219023605552</c:v>
                  </c:pt>
                  <c:pt idx="4">
                    <c:v>13.731657726829367</c:v>
                  </c:pt>
                  <c:pt idx="5">
                    <c:v>14.667011298362842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pmolPerCellFigure!$A$21:$A$26</c:f>
              <c:strCache>
                <c:ptCount val="6"/>
                <c:pt idx="0">
                  <c:v>NPP-669</c:v>
                </c:pt>
                <c:pt idx="1">
                  <c:v>NPP-666</c:v>
                </c:pt>
                <c:pt idx="2">
                  <c:v>NPP-663</c:v>
                </c:pt>
                <c:pt idx="3">
                  <c:v>CDV</c:v>
                </c:pt>
                <c:pt idx="4">
                  <c:v>USC-505</c:v>
                </c:pt>
                <c:pt idx="5">
                  <c:v>CMX-001</c:v>
                </c:pt>
              </c:strCache>
            </c:strRef>
          </c:cat>
          <c:val>
            <c:numRef>
              <c:f>pmolPerCellFigure!$D$21:$D$26</c:f>
              <c:numCache>
                <c:formatCode>0.0</c:formatCode>
                <c:ptCount val="6"/>
                <c:pt idx="0">
                  <c:v>325.00800000000004</c:v>
                </c:pt>
                <c:pt idx="1">
                  <c:v>129.04613333333336</c:v>
                </c:pt>
                <c:pt idx="2">
                  <c:v>37.082024096385538</c:v>
                </c:pt>
                <c:pt idx="3">
                  <c:v>0.43397419354838712</c:v>
                </c:pt>
                <c:pt idx="4">
                  <c:v>69.276390697674415</c:v>
                </c:pt>
                <c:pt idx="5">
                  <c:v>69.545904761904765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1C-4824-BCA3-1C6E897A7807}"/>
            </c:ext>
          </c:extLst>
        </c:ser>
        <c:ser>
          <c:idx val="4"/>
          <c:order val="2"/>
          <c:tx>
            <c:strRef>
              <c:f>pmolPerCellFigure!$F$20</c:f>
              <c:strCache>
                <c:ptCount val="1"/>
                <c:pt idx="0">
                  <c:v>CDV-PP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pmolPerCellFigure!$G$21:$G$26</c:f>
                <c:numCache>
                  <c:formatCode>General</c:formatCode>
                  <c:ptCount val="6"/>
                  <c:pt idx="0">
                    <c:v>11.318106512389916</c:v>
                  </c:pt>
                  <c:pt idx="1">
                    <c:v>2.5535707252568667</c:v>
                  </c:pt>
                  <c:pt idx="2">
                    <c:v>2.7467685112097282</c:v>
                  </c:pt>
                  <c:pt idx="3">
                    <c:v>0</c:v>
                  </c:pt>
                  <c:pt idx="4">
                    <c:v>2.2455725355406093</c:v>
                  </c:pt>
                  <c:pt idx="5">
                    <c:v>1.6805874796165774</c:v>
                  </c:pt>
                </c:numCache>
              </c:numRef>
            </c:plus>
            <c:minus>
              <c:numRef>
                <c:f>pmolPerCellFigure!$G$21:$G$26</c:f>
                <c:numCache>
                  <c:formatCode>General</c:formatCode>
                  <c:ptCount val="6"/>
                  <c:pt idx="0">
                    <c:v>11.318106512389916</c:v>
                  </c:pt>
                  <c:pt idx="1">
                    <c:v>2.5535707252568667</c:v>
                  </c:pt>
                  <c:pt idx="2">
                    <c:v>2.7467685112097282</c:v>
                  </c:pt>
                  <c:pt idx="3">
                    <c:v>0</c:v>
                  </c:pt>
                  <c:pt idx="4">
                    <c:v>2.2455725355406093</c:v>
                  </c:pt>
                  <c:pt idx="5">
                    <c:v>1.6805874796165774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pmolPerCellFigure!$A$21:$A$26</c:f>
              <c:strCache>
                <c:ptCount val="6"/>
                <c:pt idx="0">
                  <c:v>NPP-669</c:v>
                </c:pt>
                <c:pt idx="1">
                  <c:v>NPP-666</c:v>
                </c:pt>
                <c:pt idx="2">
                  <c:v>NPP-663</c:v>
                </c:pt>
                <c:pt idx="3">
                  <c:v>CDV</c:v>
                </c:pt>
                <c:pt idx="4">
                  <c:v>USC-505</c:v>
                </c:pt>
                <c:pt idx="5">
                  <c:v>CMX-001</c:v>
                </c:pt>
              </c:strCache>
            </c:strRef>
          </c:cat>
          <c:val>
            <c:numRef>
              <c:f>pmolPerCellFigure!$F$21:$F$26</c:f>
              <c:numCache>
                <c:formatCode>0.0</c:formatCode>
                <c:ptCount val="6"/>
                <c:pt idx="0">
                  <c:v>287.81827659574469</c:v>
                </c:pt>
                <c:pt idx="1">
                  <c:v>203.06586666666669</c:v>
                </c:pt>
                <c:pt idx="2">
                  <c:v>65.407084337349389</c:v>
                </c:pt>
                <c:pt idx="3">
                  <c:v>0</c:v>
                </c:pt>
                <c:pt idx="4">
                  <c:v>80.929841860465118</c:v>
                </c:pt>
                <c:pt idx="5">
                  <c:v>61.384761904761909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F51C-4824-BCA3-1C6E897A7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545965144"/>
        <c:axId val="545965472"/>
      </c:barChart>
      <c:catAx>
        <c:axId val="545965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Treatment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965472"/>
        <c:crosses val="autoZero"/>
        <c:auto val="1"/>
        <c:lblAlgn val="ctr"/>
        <c:lblOffset val="100"/>
        <c:noMultiLvlLbl val="0"/>
      </c:catAx>
      <c:valAx>
        <c:axId val="5459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Picomoles/10^6 HFF cells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96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1</xdr:row>
      <xdr:rowOff>14287</xdr:rowOff>
    </xdr:from>
    <xdr:to>
      <xdr:col>5</xdr:col>
      <xdr:colOff>166687</xdr:colOff>
      <xdr:row>15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Current%20Projects\201%20Nucleoside%20Phosphonate%20Prodrugs\Studies\8.%20%20ADME\Intracellular%20Conversion\201-107%20NPP%20intracellular%20conversion\201-107_NPP_Raw%20Data_0823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PP-663 Media"/>
      <sheetName val="NPP-666 Media"/>
      <sheetName val="NPP-669 Media"/>
      <sheetName val="NPP-663 Lysate"/>
      <sheetName val="NPP-666 Lysate"/>
      <sheetName val="NPP-669 Lysate"/>
      <sheetName val="CDV Lysate"/>
      <sheetName val="CDV Media"/>
      <sheetName val="PL13 CDVPP Lysate"/>
      <sheetName val="PL14 CDV 505 CMX"/>
      <sheetName val="PL14 CMX Lysate"/>
      <sheetName val="PL14 CMX Media"/>
      <sheetName val="PL14 505 Lysate"/>
      <sheetName val="PL 14 CDV Media"/>
    </sheetNames>
    <sheetDataSet>
      <sheetData sheetId="0">
        <row r="32">
          <cell r="B32" t="str">
            <v>201-107_PL10_T0_ds1_CC-004-766_031.lcd</v>
          </cell>
          <cell r="C32" t="str">
            <v>Unknown</v>
          </cell>
          <cell r="D32">
            <v>0</v>
          </cell>
          <cell r="E32" t="str">
            <v>T0_ds1</v>
          </cell>
          <cell r="F32">
            <v>1</v>
          </cell>
          <cell r="G32">
            <v>4</v>
          </cell>
          <cell r="H32">
            <v>1.911</v>
          </cell>
          <cell r="I32">
            <v>613767</v>
          </cell>
          <cell r="J32" t="str">
            <v>-----</v>
          </cell>
          <cell r="K32">
            <v>1068.8</v>
          </cell>
          <cell r="L32" t="str">
            <v>-----</v>
          </cell>
          <cell r="M32" t="str">
            <v>-----</v>
          </cell>
          <cell r="N32" t="str">
            <v>-----</v>
          </cell>
          <cell r="O32" t="str">
            <v>-----</v>
          </cell>
          <cell r="Q32">
            <v>631.17999999999995</v>
          </cell>
          <cell r="R32">
            <v>87.06</v>
          </cell>
          <cell r="S32" t="str">
            <v>-----</v>
          </cell>
          <cell r="T32">
            <v>1</v>
          </cell>
          <cell r="U32">
            <v>155170</v>
          </cell>
          <cell r="V32" t="str">
            <v>-----</v>
          </cell>
          <cell r="W32" t="str">
            <v xml:space="preserve">   </v>
          </cell>
          <cell r="X32">
            <v>43326.855729166666</v>
          </cell>
        </row>
        <row r="33">
          <cell r="B33" t="str">
            <v>201-107_PL10_T0_ds2_CC-004-766_032.lcd</v>
          </cell>
          <cell r="C33" t="str">
            <v>Unknown</v>
          </cell>
          <cell r="D33">
            <v>0</v>
          </cell>
          <cell r="E33" t="str">
            <v>T0_ds2</v>
          </cell>
          <cell r="F33">
            <v>1</v>
          </cell>
          <cell r="G33">
            <v>16</v>
          </cell>
          <cell r="H33">
            <v>1.913</v>
          </cell>
          <cell r="I33">
            <v>712334</v>
          </cell>
          <cell r="J33" t="str">
            <v>-----</v>
          </cell>
          <cell r="K33">
            <v>1241.7</v>
          </cell>
          <cell r="L33" t="str">
            <v>-----</v>
          </cell>
          <cell r="M33" t="str">
            <v>-----</v>
          </cell>
          <cell r="N33" t="str">
            <v>-----</v>
          </cell>
          <cell r="O33" t="str">
            <v>-----</v>
          </cell>
          <cell r="Q33">
            <v>912.23</v>
          </cell>
          <cell r="R33">
            <v>85.79</v>
          </cell>
          <cell r="S33" t="str">
            <v>-----</v>
          </cell>
          <cell r="T33">
            <v>1</v>
          </cell>
          <cell r="U33">
            <v>184264</v>
          </cell>
          <cell r="V33" t="str">
            <v>-----</v>
          </cell>
          <cell r="W33" t="str">
            <v xml:space="preserve">   </v>
          </cell>
          <cell r="X33">
            <v>43326.859212962961</v>
          </cell>
        </row>
        <row r="34">
          <cell r="B34" t="str">
            <v>201-107_PL10_T0_ds3_CC-004-766_033.lcd</v>
          </cell>
          <cell r="C34" t="str">
            <v>Unknown</v>
          </cell>
          <cell r="D34">
            <v>0</v>
          </cell>
          <cell r="E34" t="str">
            <v>T0_ds3</v>
          </cell>
          <cell r="F34">
            <v>1</v>
          </cell>
          <cell r="G34">
            <v>28</v>
          </cell>
          <cell r="H34">
            <v>1.913</v>
          </cell>
          <cell r="I34">
            <v>659359</v>
          </cell>
          <cell r="J34" t="str">
            <v>-----</v>
          </cell>
          <cell r="K34">
            <v>1148.8</v>
          </cell>
          <cell r="L34" t="str">
            <v>-----</v>
          </cell>
          <cell r="M34" t="str">
            <v>-----</v>
          </cell>
          <cell r="N34" t="str">
            <v>-----</v>
          </cell>
          <cell r="O34" t="str">
            <v>-----</v>
          </cell>
          <cell r="Q34">
            <v>789.68</v>
          </cell>
          <cell r="R34">
            <v>86.71</v>
          </cell>
          <cell r="S34" t="str">
            <v>-----</v>
          </cell>
          <cell r="T34">
            <v>1</v>
          </cell>
          <cell r="U34">
            <v>171444</v>
          </cell>
          <cell r="V34" t="str">
            <v>-----</v>
          </cell>
          <cell r="W34" t="str">
            <v xml:space="preserve">   </v>
          </cell>
          <cell r="X34">
            <v>43326.862685185188</v>
          </cell>
        </row>
        <row r="36">
          <cell r="B36" t="str">
            <v>201-107_PL10_T72_ds1_CC-004-766_035.lcd</v>
          </cell>
          <cell r="C36" t="str">
            <v>Unknown</v>
          </cell>
          <cell r="D36">
            <v>0</v>
          </cell>
          <cell r="E36" t="str">
            <v>T72_ds1</v>
          </cell>
          <cell r="F36">
            <v>1</v>
          </cell>
          <cell r="G36">
            <v>5</v>
          </cell>
          <cell r="H36">
            <v>1.9119999999999999</v>
          </cell>
          <cell r="I36">
            <v>718264</v>
          </cell>
          <cell r="J36" t="str">
            <v>-----</v>
          </cell>
          <cell r="K36">
            <v>1252.0999999999999</v>
          </cell>
          <cell r="L36" t="str">
            <v>-----</v>
          </cell>
          <cell r="M36" t="str">
            <v>-----</v>
          </cell>
          <cell r="N36" t="str">
            <v>-----</v>
          </cell>
          <cell r="O36" t="str">
            <v>-----</v>
          </cell>
          <cell r="Q36">
            <v>1161.54</v>
          </cell>
          <cell r="R36">
            <v>85.28</v>
          </cell>
          <cell r="S36" t="str">
            <v>-----</v>
          </cell>
          <cell r="T36">
            <v>1</v>
          </cell>
          <cell r="U36">
            <v>178684</v>
          </cell>
          <cell r="V36" t="str">
            <v>-----</v>
          </cell>
          <cell r="W36" t="str">
            <v xml:space="preserve">   </v>
          </cell>
          <cell r="X36">
            <v>43326.869629629633</v>
          </cell>
        </row>
        <row r="37">
          <cell r="B37" t="str">
            <v>201-107_PL10_T72_ds2_CC-004-766_036.lcd</v>
          </cell>
          <cell r="C37" t="str">
            <v>Unknown</v>
          </cell>
          <cell r="D37">
            <v>0</v>
          </cell>
          <cell r="E37" t="str">
            <v>T72_ds2</v>
          </cell>
          <cell r="F37">
            <v>1</v>
          </cell>
          <cell r="G37">
            <v>17</v>
          </cell>
          <cell r="H37">
            <v>1.9119999999999999</v>
          </cell>
          <cell r="I37">
            <v>631647</v>
          </cell>
          <cell r="J37" t="str">
            <v>-----</v>
          </cell>
          <cell r="K37">
            <v>1100.2</v>
          </cell>
          <cell r="L37" t="str">
            <v>-----</v>
          </cell>
          <cell r="M37" t="str">
            <v>-----</v>
          </cell>
          <cell r="N37" t="str">
            <v>-----</v>
          </cell>
          <cell r="O37" t="str">
            <v>-----</v>
          </cell>
          <cell r="Q37">
            <v>736.06</v>
          </cell>
          <cell r="R37">
            <v>88.79</v>
          </cell>
          <cell r="S37" t="str">
            <v>-----</v>
          </cell>
          <cell r="T37">
            <v>1</v>
          </cell>
          <cell r="U37">
            <v>157425</v>
          </cell>
          <cell r="V37" t="str">
            <v>-----</v>
          </cell>
          <cell r="W37" t="str">
            <v xml:space="preserve">   </v>
          </cell>
          <cell r="X37">
            <v>43326.873113425929</v>
          </cell>
        </row>
        <row r="38">
          <cell r="B38" t="str">
            <v>201-107_PL10_T72_ds3_CC-004-766_037.lcd</v>
          </cell>
          <cell r="C38" t="str">
            <v>Unknown</v>
          </cell>
          <cell r="D38">
            <v>0</v>
          </cell>
          <cell r="E38" t="str">
            <v>T72_ds3</v>
          </cell>
          <cell r="F38">
            <v>1</v>
          </cell>
          <cell r="G38">
            <v>29</v>
          </cell>
          <cell r="H38">
            <v>1.9139999999999999</v>
          </cell>
          <cell r="I38">
            <v>665699</v>
          </cell>
          <cell r="J38" t="str">
            <v>-----</v>
          </cell>
          <cell r="K38">
            <v>1159.9000000000001</v>
          </cell>
          <cell r="L38" t="str">
            <v>-----</v>
          </cell>
          <cell r="M38" t="str">
            <v>-----</v>
          </cell>
          <cell r="N38" t="str">
            <v>-----</v>
          </cell>
          <cell r="O38" t="str">
            <v>-----</v>
          </cell>
          <cell r="Q38">
            <v>862.57</v>
          </cell>
          <cell r="R38">
            <v>88.59</v>
          </cell>
          <cell r="S38" t="str">
            <v>-----</v>
          </cell>
          <cell r="T38">
            <v>1</v>
          </cell>
          <cell r="U38">
            <v>170589</v>
          </cell>
          <cell r="V38" t="str">
            <v>-----</v>
          </cell>
          <cell r="W38" t="str">
            <v xml:space="preserve">   </v>
          </cell>
          <cell r="X38">
            <v>43326.876585648148</v>
          </cell>
        </row>
        <row r="40">
          <cell r="B40" t="str">
            <v>201-107_PL10_T72_med1_CC-004-766_039.lcd</v>
          </cell>
          <cell r="C40" t="str">
            <v>Unknown</v>
          </cell>
          <cell r="D40">
            <v>0</v>
          </cell>
          <cell r="E40" t="str">
            <v>T72_med1</v>
          </cell>
          <cell r="F40">
            <v>1</v>
          </cell>
          <cell r="G40">
            <v>6</v>
          </cell>
          <cell r="H40">
            <v>1.9139999999999999</v>
          </cell>
          <cell r="I40">
            <v>336443</v>
          </cell>
          <cell r="J40" t="str">
            <v>-----</v>
          </cell>
          <cell r="K40">
            <v>582.5</v>
          </cell>
          <cell r="L40" t="str">
            <v>-----</v>
          </cell>
          <cell r="M40" t="str">
            <v>-----</v>
          </cell>
          <cell r="N40" t="str">
            <v>-----</v>
          </cell>
          <cell r="O40" t="str">
            <v>-----</v>
          </cell>
          <cell r="Q40">
            <v>782.47</v>
          </cell>
          <cell r="R40">
            <v>86.01</v>
          </cell>
          <cell r="S40" t="str">
            <v>-----</v>
          </cell>
          <cell r="T40">
            <v>1</v>
          </cell>
          <cell r="U40">
            <v>86160</v>
          </cell>
          <cell r="V40" t="str">
            <v>-----</v>
          </cell>
          <cell r="W40" t="str">
            <v xml:space="preserve">   </v>
          </cell>
          <cell r="X40">
            <v>43326.883599537039</v>
          </cell>
        </row>
        <row r="41">
          <cell r="B41" t="str">
            <v>201-107_PL10_T72_med2_CC-004-766_040.lcd</v>
          </cell>
          <cell r="C41" t="str">
            <v>Unknown</v>
          </cell>
          <cell r="D41">
            <v>0</v>
          </cell>
          <cell r="E41" t="str">
            <v>T72_med2</v>
          </cell>
          <cell r="F41">
            <v>1</v>
          </cell>
          <cell r="G41">
            <v>18</v>
          </cell>
          <cell r="H41">
            <v>1.913</v>
          </cell>
          <cell r="I41">
            <v>352846</v>
          </cell>
          <cell r="J41" t="str">
            <v>-----</v>
          </cell>
          <cell r="K41">
            <v>611.29999999999995</v>
          </cell>
          <cell r="L41" t="str">
            <v>-----</v>
          </cell>
          <cell r="M41" t="str">
            <v>-----</v>
          </cell>
          <cell r="N41" t="str">
            <v>-----</v>
          </cell>
          <cell r="O41" t="str">
            <v>-----</v>
          </cell>
          <cell r="Q41">
            <v>970.2</v>
          </cell>
          <cell r="R41">
            <v>85.98</v>
          </cell>
          <cell r="S41" t="str">
            <v>-----</v>
          </cell>
          <cell r="T41">
            <v>1</v>
          </cell>
          <cell r="U41">
            <v>88125</v>
          </cell>
          <cell r="V41" t="str">
            <v>-----</v>
          </cell>
          <cell r="W41" t="str">
            <v xml:space="preserve">   </v>
          </cell>
          <cell r="X41">
            <v>43326.887048611112</v>
          </cell>
        </row>
        <row r="42">
          <cell r="B42" t="str">
            <v>201-107_PL10_T72_med3_CC-004-766_041.lcd</v>
          </cell>
          <cell r="C42" t="str">
            <v>Unknown</v>
          </cell>
          <cell r="D42">
            <v>0</v>
          </cell>
          <cell r="E42" t="str">
            <v>T72_med3</v>
          </cell>
          <cell r="F42">
            <v>1</v>
          </cell>
          <cell r="G42">
            <v>30</v>
          </cell>
          <cell r="H42">
            <v>1.913</v>
          </cell>
          <cell r="I42">
            <v>323322</v>
          </cell>
          <cell r="J42" t="str">
            <v>-----</v>
          </cell>
          <cell r="K42">
            <v>559.5</v>
          </cell>
          <cell r="L42" t="str">
            <v>-----</v>
          </cell>
          <cell r="M42" t="str">
            <v>-----</v>
          </cell>
          <cell r="N42" t="str">
            <v>-----</v>
          </cell>
          <cell r="O42" t="str">
            <v>-----</v>
          </cell>
          <cell r="Q42">
            <v>600.48</v>
          </cell>
          <cell r="R42">
            <v>87.1</v>
          </cell>
          <cell r="S42" t="str">
            <v>-----</v>
          </cell>
          <cell r="T42">
            <v>1</v>
          </cell>
          <cell r="U42">
            <v>80463</v>
          </cell>
          <cell r="V42" t="str">
            <v>-----</v>
          </cell>
          <cell r="W42" t="str">
            <v xml:space="preserve">   </v>
          </cell>
          <cell r="X42">
            <v>43326.890532407408</v>
          </cell>
        </row>
      </sheetData>
      <sheetData sheetId="1">
        <row r="32">
          <cell r="B32" t="str">
            <v>201-107_PL10_T0_ds1_CC-004-767_031.lcd</v>
          </cell>
          <cell r="C32" t="str">
            <v>Unknown</v>
          </cell>
          <cell r="D32">
            <v>0</v>
          </cell>
          <cell r="E32" t="str">
            <v>T0_ds1</v>
          </cell>
          <cell r="F32">
            <v>2</v>
          </cell>
          <cell r="G32">
            <v>10</v>
          </cell>
          <cell r="H32">
            <v>2.1419999999999999</v>
          </cell>
          <cell r="I32">
            <v>705900</v>
          </cell>
          <cell r="J32" t="str">
            <v>-----</v>
          </cell>
          <cell r="K32">
            <v>1268.4000000000001</v>
          </cell>
          <cell r="L32" t="str">
            <v>-----</v>
          </cell>
          <cell r="M32" t="str">
            <v>-----</v>
          </cell>
          <cell r="N32" t="str">
            <v>-----</v>
          </cell>
          <cell r="O32" t="str">
            <v>-----</v>
          </cell>
          <cell r="Q32">
            <v>1026.1300000000001</v>
          </cell>
          <cell r="R32">
            <v>108.52</v>
          </cell>
          <cell r="S32" t="str">
            <v>-----</v>
          </cell>
          <cell r="T32">
            <v>1</v>
          </cell>
          <cell r="U32">
            <v>177537</v>
          </cell>
          <cell r="V32">
            <v>150637</v>
          </cell>
          <cell r="W32" t="str">
            <v xml:space="preserve">   </v>
          </cell>
          <cell r="X32">
            <v>43327.062997685185</v>
          </cell>
        </row>
        <row r="33">
          <cell r="B33" t="str">
            <v>201-107_PL10_T0_ds2_CC-004-767_032.lcd</v>
          </cell>
          <cell r="C33" t="str">
            <v>Unknown</v>
          </cell>
          <cell r="D33">
            <v>0</v>
          </cell>
          <cell r="E33" t="str">
            <v>T0_ds2</v>
          </cell>
          <cell r="F33">
            <v>2</v>
          </cell>
          <cell r="G33">
            <v>22</v>
          </cell>
          <cell r="H33">
            <v>2.141</v>
          </cell>
          <cell r="I33">
            <v>720149</v>
          </cell>
          <cell r="J33" t="str">
            <v>-----</v>
          </cell>
          <cell r="K33">
            <v>1294</v>
          </cell>
          <cell r="L33" t="str">
            <v>-----</v>
          </cell>
          <cell r="M33" t="str">
            <v>-----</v>
          </cell>
          <cell r="N33" t="str">
            <v>-----</v>
          </cell>
          <cell r="O33" t="str">
            <v>-----</v>
          </cell>
          <cell r="Q33">
            <v>1113.08</v>
          </cell>
          <cell r="R33">
            <v>109.81</v>
          </cell>
          <cell r="S33" t="str">
            <v>-----</v>
          </cell>
          <cell r="T33">
            <v>1</v>
          </cell>
          <cell r="U33">
            <v>182113</v>
          </cell>
          <cell r="V33">
            <v>155907</v>
          </cell>
          <cell r="W33" t="str">
            <v xml:space="preserve">   </v>
          </cell>
          <cell r="X33">
            <v>43327.066481481481</v>
          </cell>
        </row>
        <row r="34">
          <cell r="B34" t="str">
            <v>201-107_PL10_T0_ds3_CC-004-767_033.lcd</v>
          </cell>
          <cell r="C34" t="str">
            <v>Unknown</v>
          </cell>
          <cell r="D34">
            <v>0</v>
          </cell>
          <cell r="E34" t="str">
            <v>T0_ds3</v>
          </cell>
          <cell r="F34">
            <v>2</v>
          </cell>
          <cell r="G34">
            <v>34</v>
          </cell>
          <cell r="H34">
            <v>2.141</v>
          </cell>
          <cell r="I34">
            <v>678761</v>
          </cell>
          <cell r="J34" t="str">
            <v>-----</v>
          </cell>
          <cell r="K34">
            <v>1219.7</v>
          </cell>
          <cell r="L34" t="str">
            <v>-----</v>
          </cell>
          <cell r="M34" t="str">
            <v>-----</v>
          </cell>
          <cell r="N34" t="str">
            <v>-----</v>
          </cell>
          <cell r="O34" t="str">
            <v>-----</v>
          </cell>
          <cell r="Q34">
            <v>974.98</v>
          </cell>
          <cell r="R34">
            <v>109.45</v>
          </cell>
          <cell r="S34" t="str">
            <v>-----</v>
          </cell>
          <cell r="T34">
            <v>1</v>
          </cell>
          <cell r="U34">
            <v>169240</v>
          </cell>
          <cell r="V34">
            <v>145433</v>
          </cell>
          <cell r="W34" t="str">
            <v xml:space="preserve">   </v>
          </cell>
          <cell r="X34">
            <v>43327.069965277777</v>
          </cell>
        </row>
        <row r="36">
          <cell r="B36" t="str">
            <v>201-107_PL10_T72_ds1_CC-004-767_035.lcd</v>
          </cell>
          <cell r="C36" t="str">
            <v>Unknown</v>
          </cell>
          <cell r="D36">
            <v>0</v>
          </cell>
          <cell r="E36" t="str">
            <v>T72_ds1</v>
          </cell>
          <cell r="F36">
            <v>2</v>
          </cell>
          <cell r="G36">
            <v>11</v>
          </cell>
          <cell r="H36">
            <v>2.141</v>
          </cell>
          <cell r="I36">
            <v>735698</v>
          </cell>
          <cell r="J36" t="str">
            <v>-----</v>
          </cell>
          <cell r="K36">
            <v>1321.9</v>
          </cell>
          <cell r="L36" t="str">
            <v>-----</v>
          </cell>
          <cell r="M36" t="str">
            <v>-----</v>
          </cell>
          <cell r="N36" t="str">
            <v>-----</v>
          </cell>
          <cell r="O36" t="str">
            <v>-----</v>
          </cell>
          <cell r="Q36">
            <v>1112.83</v>
          </cell>
          <cell r="R36">
            <v>110.96</v>
          </cell>
          <cell r="S36" t="str">
            <v>-----</v>
          </cell>
          <cell r="T36">
            <v>1</v>
          </cell>
          <cell r="U36">
            <v>184907</v>
          </cell>
          <cell r="V36">
            <v>161342</v>
          </cell>
          <cell r="W36" t="str">
            <v xml:space="preserve">   </v>
          </cell>
          <cell r="X36">
            <v>43327.076909722222</v>
          </cell>
        </row>
        <row r="37">
          <cell r="B37" t="str">
            <v>201-107_PL10_T72_ds2_CC-004-767_036.lcd</v>
          </cell>
          <cell r="C37" t="str">
            <v>Unknown</v>
          </cell>
          <cell r="D37">
            <v>0</v>
          </cell>
          <cell r="E37" t="str">
            <v>T72_ds2</v>
          </cell>
          <cell r="F37">
            <v>2</v>
          </cell>
          <cell r="G37">
            <v>23</v>
          </cell>
          <cell r="H37">
            <v>2.141</v>
          </cell>
          <cell r="I37">
            <v>724983</v>
          </cell>
          <cell r="J37" t="str">
            <v>-----</v>
          </cell>
          <cell r="K37">
            <v>1302.7</v>
          </cell>
          <cell r="L37" t="str">
            <v>-----</v>
          </cell>
          <cell r="M37" t="str">
            <v>-----</v>
          </cell>
          <cell r="N37" t="str">
            <v>-----</v>
          </cell>
          <cell r="O37" t="str">
            <v>-----</v>
          </cell>
          <cell r="Q37">
            <v>943.06</v>
          </cell>
          <cell r="R37">
            <v>108.59</v>
          </cell>
          <cell r="S37" t="str">
            <v>-----</v>
          </cell>
          <cell r="T37">
            <v>1</v>
          </cell>
          <cell r="U37">
            <v>180289</v>
          </cell>
          <cell r="V37">
            <v>156919</v>
          </cell>
          <cell r="W37" t="str">
            <v xml:space="preserve">   </v>
          </cell>
          <cell r="X37">
            <v>43327.080405092594</v>
          </cell>
        </row>
        <row r="38">
          <cell r="B38" t="str">
            <v>201-107_PL10_T72_ds3_CC-004-767_037.lcd</v>
          </cell>
          <cell r="C38" t="str">
            <v>Unknown</v>
          </cell>
          <cell r="D38">
            <v>0</v>
          </cell>
          <cell r="E38" t="str">
            <v>T72_ds3</v>
          </cell>
          <cell r="F38">
            <v>2</v>
          </cell>
          <cell r="G38">
            <v>35</v>
          </cell>
          <cell r="H38">
            <v>2.141</v>
          </cell>
          <cell r="I38">
            <v>749257</v>
          </cell>
          <cell r="J38" t="str">
            <v>-----</v>
          </cell>
          <cell r="K38">
            <v>1346.3</v>
          </cell>
          <cell r="L38" t="str">
            <v>-----</v>
          </cell>
          <cell r="M38" t="str">
            <v>-----</v>
          </cell>
          <cell r="N38" t="str">
            <v>-----</v>
          </cell>
          <cell r="O38" t="str">
            <v>-----</v>
          </cell>
          <cell r="Q38">
            <v>1123.49</v>
          </cell>
          <cell r="R38">
            <v>108.04</v>
          </cell>
          <cell r="S38" t="str">
            <v>-----</v>
          </cell>
          <cell r="T38">
            <v>1</v>
          </cell>
          <cell r="U38">
            <v>193045</v>
          </cell>
          <cell r="V38">
            <v>163451</v>
          </cell>
          <cell r="W38" t="str">
            <v xml:space="preserve">   </v>
          </cell>
          <cell r="X38">
            <v>43327.08388888889</v>
          </cell>
        </row>
        <row r="40">
          <cell r="B40" t="str">
            <v>201-107_PL10_T72_med1_CC-004-767_039.lcd</v>
          </cell>
          <cell r="C40" t="str">
            <v>Unknown</v>
          </cell>
          <cell r="D40">
            <v>0</v>
          </cell>
          <cell r="E40" t="str">
            <v>T72_med1</v>
          </cell>
          <cell r="F40">
            <v>2</v>
          </cell>
          <cell r="G40">
            <v>46</v>
          </cell>
          <cell r="H40">
            <v>2.141</v>
          </cell>
          <cell r="I40">
            <v>132839</v>
          </cell>
          <cell r="J40" t="str">
            <v>-----</v>
          </cell>
          <cell r="K40">
            <v>239.4</v>
          </cell>
          <cell r="L40" t="str">
            <v>-----</v>
          </cell>
          <cell r="M40" t="str">
            <v>-----</v>
          </cell>
          <cell r="N40" t="str">
            <v>-----</v>
          </cell>
          <cell r="O40" t="str">
            <v>-----</v>
          </cell>
          <cell r="Q40">
            <v>700.03</v>
          </cell>
          <cell r="R40">
            <v>116.38</v>
          </cell>
          <cell r="S40" t="str">
            <v>-----</v>
          </cell>
          <cell r="T40">
            <v>1</v>
          </cell>
          <cell r="U40">
            <v>32492</v>
          </cell>
          <cell r="V40">
            <v>28095</v>
          </cell>
          <cell r="W40" t="str">
            <v xml:space="preserve">   </v>
          </cell>
          <cell r="X40">
            <v>43327.090879629628</v>
          </cell>
        </row>
        <row r="41">
          <cell r="B41" t="str">
            <v>201-107_PL10_T72_med2_CC-004-767_040.lcd</v>
          </cell>
          <cell r="C41" t="str">
            <v>Unknown</v>
          </cell>
          <cell r="D41">
            <v>0</v>
          </cell>
          <cell r="E41" t="str">
            <v>T72_med2</v>
          </cell>
          <cell r="F41">
            <v>2</v>
          </cell>
          <cell r="G41">
            <v>47</v>
          </cell>
          <cell r="H41">
            <v>2.141</v>
          </cell>
          <cell r="I41">
            <v>160514</v>
          </cell>
          <cell r="J41" t="str">
            <v>-----</v>
          </cell>
          <cell r="K41">
            <v>289.10000000000002</v>
          </cell>
          <cell r="L41" t="str">
            <v>-----</v>
          </cell>
          <cell r="M41" t="str">
            <v>-----</v>
          </cell>
          <cell r="N41" t="str">
            <v>-----</v>
          </cell>
          <cell r="O41" t="str">
            <v>-----</v>
          </cell>
          <cell r="Q41">
            <v>753.8</v>
          </cell>
          <cell r="R41">
            <v>106.36</v>
          </cell>
          <cell r="S41" t="str">
            <v>-----</v>
          </cell>
          <cell r="T41">
            <v>1</v>
          </cell>
          <cell r="U41">
            <v>40426</v>
          </cell>
          <cell r="V41">
            <v>34790</v>
          </cell>
          <cell r="W41" t="str">
            <v xml:space="preserve">   </v>
          </cell>
          <cell r="X41">
            <v>43327.094351851854</v>
          </cell>
        </row>
        <row r="42">
          <cell r="B42" t="str">
            <v>201-107_PL10_T72_med3_CC-004-767_041.lcd</v>
          </cell>
          <cell r="C42" t="str">
            <v>Unknown</v>
          </cell>
          <cell r="D42">
            <v>0</v>
          </cell>
          <cell r="E42" t="str">
            <v>T72_med3</v>
          </cell>
          <cell r="F42">
            <v>2</v>
          </cell>
          <cell r="G42">
            <v>48</v>
          </cell>
          <cell r="H42">
            <v>2.141</v>
          </cell>
          <cell r="I42">
            <v>150147</v>
          </cell>
          <cell r="J42" t="str">
            <v>-----</v>
          </cell>
          <cell r="K42">
            <v>270.39999999999998</v>
          </cell>
          <cell r="L42" t="str">
            <v>-----</v>
          </cell>
          <cell r="M42" t="str">
            <v>-----</v>
          </cell>
          <cell r="N42" t="str">
            <v>-----</v>
          </cell>
          <cell r="O42" t="str">
            <v>-----</v>
          </cell>
          <cell r="Q42">
            <v>816.13</v>
          </cell>
          <cell r="R42">
            <v>113.13</v>
          </cell>
          <cell r="S42" t="str">
            <v>-----</v>
          </cell>
          <cell r="T42">
            <v>1</v>
          </cell>
          <cell r="U42">
            <v>37884</v>
          </cell>
          <cell r="V42">
            <v>32731</v>
          </cell>
          <cell r="W42" t="str">
            <v xml:space="preserve">   </v>
          </cell>
          <cell r="X42">
            <v>43327.097824074073</v>
          </cell>
        </row>
      </sheetData>
      <sheetData sheetId="2">
        <row r="32">
          <cell r="B32" t="str">
            <v>201-107_PL10_T0_ds1_CC-004-768_031.lcd</v>
          </cell>
          <cell r="C32" t="str">
            <v>Unknown</v>
          </cell>
          <cell r="D32">
            <v>0</v>
          </cell>
          <cell r="E32" t="str">
            <v>T0_ds1</v>
          </cell>
          <cell r="F32">
            <v>2</v>
          </cell>
          <cell r="G32">
            <v>4</v>
          </cell>
          <cell r="H32">
            <v>2.2400000000000002</v>
          </cell>
          <cell r="I32">
            <v>623243</v>
          </cell>
          <cell r="J32" t="str">
            <v>-----</v>
          </cell>
          <cell r="K32">
            <v>963.4</v>
          </cell>
          <cell r="L32" t="str">
            <v>-----</v>
          </cell>
          <cell r="M32" t="str">
            <v>-----</v>
          </cell>
          <cell r="N32" t="str">
            <v>-----</v>
          </cell>
          <cell r="O32" t="str">
            <v>-----</v>
          </cell>
          <cell r="Q32">
            <v>1145.47</v>
          </cell>
          <cell r="R32">
            <v>94.47</v>
          </cell>
          <cell r="S32" t="str">
            <v>-----</v>
          </cell>
          <cell r="T32">
            <v>1</v>
          </cell>
          <cell r="U32">
            <v>154156</v>
          </cell>
          <cell r="V32">
            <v>143281</v>
          </cell>
          <cell r="W32" t="str">
            <v xml:space="preserve">   </v>
          </cell>
          <cell r="X32">
            <v>43327.271168981482</v>
          </cell>
        </row>
        <row r="33">
          <cell r="B33" t="str">
            <v>201-107_PL10_T0_ds2_CC-004-768_032.lcd</v>
          </cell>
          <cell r="C33" t="str">
            <v>Unknown</v>
          </cell>
          <cell r="D33">
            <v>0</v>
          </cell>
          <cell r="E33" t="str">
            <v>T0_ds2</v>
          </cell>
          <cell r="F33">
            <v>2</v>
          </cell>
          <cell r="G33">
            <v>16</v>
          </cell>
          <cell r="H33">
            <v>2.2389999999999999</v>
          </cell>
          <cell r="I33">
            <v>634129</v>
          </cell>
          <cell r="J33" t="str">
            <v>-----</v>
          </cell>
          <cell r="K33">
            <v>980.2</v>
          </cell>
          <cell r="L33" t="str">
            <v>-----</v>
          </cell>
          <cell r="M33" t="str">
            <v>-----</v>
          </cell>
          <cell r="N33" t="str">
            <v>-----</v>
          </cell>
          <cell r="O33" t="str">
            <v>-----</v>
          </cell>
          <cell r="Q33">
            <v>904.56</v>
          </cell>
          <cell r="R33">
            <v>97.7</v>
          </cell>
          <cell r="S33" t="str">
            <v>-----</v>
          </cell>
          <cell r="T33">
            <v>1</v>
          </cell>
          <cell r="U33">
            <v>159380</v>
          </cell>
          <cell r="V33">
            <v>147802</v>
          </cell>
          <cell r="W33" t="str">
            <v xml:space="preserve">   </v>
          </cell>
          <cell r="X33">
            <v>43327.274652777778</v>
          </cell>
        </row>
        <row r="34">
          <cell r="B34" t="str">
            <v>201-107_PL10_T0_ds3_CC-004-768_033.lcd</v>
          </cell>
          <cell r="C34" t="str">
            <v>Unknown</v>
          </cell>
          <cell r="D34">
            <v>0</v>
          </cell>
          <cell r="E34" t="str">
            <v>T0_ds3</v>
          </cell>
          <cell r="F34">
            <v>2</v>
          </cell>
          <cell r="G34">
            <v>28</v>
          </cell>
          <cell r="H34">
            <v>2.2389999999999999</v>
          </cell>
          <cell r="I34">
            <v>663639</v>
          </cell>
          <cell r="J34" t="str">
            <v>-----</v>
          </cell>
          <cell r="K34">
            <v>1025.8</v>
          </cell>
          <cell r="L34" t="str">
            <v>-----</v>
          </cell>
          <cell r="M34" t="str">
            <v>-----</v>
          </cell>
          <cell r="N34" t="str">
            <v>-----</v>
          </cell>
          <cell r="O34" t="str">
            <v>-----</v>
          </cell>
          <cell r="Q34">
            <v>1030.02</v>
          </cell>
          <cell r="R34">
            <v>97.41</v>
          </cell>
          <cell r="S34" t="str">
            <v>-----</v>
          </cell>
          <cell r="T34">
            <v>1</v>
          </cell>
          <cell r="U34">
            <v>165731</v>
          </cell>
          <cell r="V34">
            <v>153660</v>
          </cell>
          <cell r="W34" t="str">
            <v xml:space="preserve">   </v>
          </cell>
          <cell r="X34">
            <v>43327.278148148151</v>
          </cell>
        </row>
        <row r="36">
          <cell r="B36" t="str">
            <v>201-107_PL10_T72_ds1_CC-004-768_035.lcd</v>
          </cell>
          <cell r="C36" t="str">
            <v>Unknown</v>
          </cell>
          <cell r="D36">
            <v>0</v>
          </cell>
          <cell r="E36" t="str">
            <v>T72_ds1</v>
          </cell>
          <cell r="F36">
            <v>2</v>
          </cell>
          <cell r="G36">
            <v>5</v>
          </cell>
          <cell r="H36">
            <v>2.2370000000000001</v>
          </cell>
          <cell r="I36">
            <v>701517</v>
          </cell>
          <cell r="J36" t="str">
            <v>-----</v>
          </cell>
          <cell r="K36">
            <v>1084.3</v>
          </cell>
          <cell r="L36" t="str">
            <v>-----</v>
          </cell>
          <cell r="M36" t="str">
            <v>-----</v>
          </cell>
          <cell r="N36" t="str">
            <v>-----</v>
          </cell>
          <cell r="O36" t="str">
            <v>-----</v>
          </cell>
          <cell r="Q36">
            <v>1078.4100000000001</v>
          </cell>
          <cell r="R36">
            <v>96.83</v>
          </cell>
          <cell r="S36" t="str">
            <v>-----</v>
          </cell>
          <cell r="T36">
            <v>1</v>
          </cell>
          <cell r="U36">
            <v>180936</v>
          </cell>
          <cell r="V36">
            <v>166969</v>
          </cell>
          <cell r="W36" t="str">
            <v xml:space="preserve">   </v>
          </cell>
          <cell r="X36">
            <v>43327.285115740742</v>
          </cell>
        </row>
        <row r="37">
          <cell r="B37" t="str">
            <v>201-107_PL10_T72_ds2_CC-004-768_036.lcd</v>
          </cell>
          <cell r="C37" t="str">
            <v>Unknown</v>
          </cell>
          <cell r="D37">
            <v>0</v>
          </cell>
          <cell r="E37" t="str">
            <v>T72_ds2</v>
          </cell>
          <cell r="F37">
            <v>2</v>
          </cell>
          <cell r="G37">
            <v>17</v>
          </cell>
          <cell r="H37">
            <v>2.2389999999999999</v>
          </cell>
          <cell r="I37">
            <v>670443</v>
          </cell>
          <cell r="J37" t="str">
            <v>-----</v>
          </cell>
          <cell r="K37">
            <v>1036.3</v>
          </cell>
          <cell r="L37" t="str">
            <v>-----</v>
          </cell>
          <cell r="M37" t="str">
            <v>-----</v>
          </cell>
          <cell r="N37" t="str">
            <v>-----</v>
          </cell>
          <cell r="O37" t="str">
            <v>-----</v>
          </cell>
          <cell r="Q37">
            <v>961.96</v>
          </cell>
          <cell r="R37">
            <v>95.02</v>
          </cell>
          <cell r="S37" t="str">
            <v>-----</v>
          </cell>
          <cell r="T37">
            <v>1</v>
          </cell>
          <cell r="U37">
            <v>165101</v>
          </cell>
          <cell r="V37">
            <v>153469</v>
          </cell>
          <cell r="W37" t="str">
            <v xml:space="preserve">   </v>
          </cell>
          <cell r="X37">
            <v>43327.288599537038</v>
          </cell>
        </row>
        <row r="38">
          <cell r="B38" t="str">
            <v>201-107_PL10_T72_ds3_CC-004-768_037.lcd</v>
          </cell>
          <cell r="C38" t="str">
            <v>Unknown</v>
          </cell>
          <cell r="D38">
            <v>0</v>
          </cell>
          <cell r="E38" t="str">
            <v>T72_ds3</v>
          </cell>
          <cell r="F38">
            <v>2</v>
          </cell>
          <cell r="G38">
            <v>29</v>
          </cell>
          <cell r="H38">
            <v>2.2400000000000002</v>
          </cell>
          <cell r="I38">
            <v>686658</v>
          </cell>
          <cell r="J38" t="str">
            <v>-----</v>
          </cell>
          <cell r="K38">
            <v>1061.3</v>
          </cell>
          <cell r="L38" t="str">
            <v>-----</v>
          </cell>
          <cell r="M38" t="str">
            <v>-----</v>
          </cell>
          <cell r="N38" t="str">
            <v>-----</v>
          </cell>
          <cell r="O38" t="str">
            <v>-----</v>
          </cell>
          <cell r="Q38">
            <v>1028.0899999999999</v>
          </cell>
          <cell r="R38">
            <v>93.8</v>
          </cell>
          <cell r="S38" t="str">
            <v>-----</v>
          </cell>
          <cell r="T38">
            <v>1</v>
          </cell>
          <cell r="U38">
            <v>169177</v>
          </cell>
          <cell r="V38">
            <v>157271</v>
          </cell>
          <cell r="W38" t="str">
            <v xml:space="preserve">   </v>
          </cell>
          <cell r="X38">
            <v>43327.292094907411</v>
          </cell>
        </row>
        <row r="40">
          <cell r="B40" t="str">
            <v>201-107_PL10_T72_med1_CC-004-768_039.lcd</v>
          </cell>
          <cell r="C40" t="str">
            <v>Unknown</v>
          </cell>
          <cell r="D40">
            <v>0</v>
          </cell>
          <cell r="E40" t="str">
            <v>T72_med1</v>
          </cell>
          <cell r="F40">
            <v>2</v>
          </cell>
          <cell r="G40">
            <v>6</v>
          </cell>
          <cell r="H40">
            <v>2.2370000000000001</v>
          </cell>
          <cell r="I40">
            <v>173004</v>
          </cell>
          <cell r="J40" t="str">
            <v>-----</v>
          </cell>
          <cell r="K40">
            <v>268.10000000000002</v>
          </cell>
          <cell r="L40" t="str">
            <v>-----</v>
          </cell>
          <cell r="M40" t="str">
            <v>-----</v>
          </cell>
          <cell r="N40" t="str">
            <v>-----</v>
          </cell>
          <cell r="O40" t="str">
            <v>-----</v>
          </cell>
          <cell r="Q40">
            <v>996.28</v>
          </cell>
          <cell r="R40">
            <v>96.47</v>
          </cell>
          <cell r="S40" t="str">
            <v>-----</v>
          </cell>
          <cell r="T40">
            <v>1</v>
          </cell>
          <cell r="U40">
            <v>44298</v>
          </cell>
          <cell r="V40">
            <v>40887</v>
          </cell>
          <cell r="W40" t="str">
            <v xml:space="preserve">   </v>
          </cell>
          <cell r="X40">
            <v>43327.300104166665</v>
          </cell>
        </row>
        <row r="41">
          <cell r="B41" t="str">
            <v>201-107_PL10_T72_med2_CC-004-768_040.lcd</v>
          </cell>
          <cell r="C41" t="str">
            <v>Unknown</v>
          </cell>
          <cell r="D41">
            <v>0</v>
          </cell>
          <cell r="E41" t="str">
            <v>T72_med2</v>
          </cell>
          <cell r="F41">
            <v>2</v>
          </cell>
          <cell r="G41">
            <v>18</v>
          </cell>
          <cell r="H41">
            <v>2.238</v>
          </cell>
          <cell r="I41">
            <v>178952</v>
          </cell>
          <cell r="J41" t="str">
            <v>-----</v>
          </cell>
          <cell r="K41">
            <v>277.3</v>
          </cell>
          <cell r="L41" t="str">
            <v>-----</v>
          </cell>
          <cell r="M41" t="str">
            <v>-----</v>
          </cell>
          <cell r="N41" t="str">
            <v>-----</v>
          </cell>
          <cell r="O41" t="str">
            <v>-----</v>
          </cell>
          <cell r="Q41">
            <v>789.88</v>
          </cell>
          <cell r="R41">
            <v>94.73</v>
          </cell>
          <cell r="S41" t="str">
            <v>-----</v>
          </cell>
          <cell r="T41">
            <v>1</v>
          </cell>
          <cell r="U41">
            <v>44884</v>
          </cell>
          <cell r="V41">
            <v>41538</v>
          </cell>
          <cell r="W41" t="str">
            <v xml:space="preserve">   </v>
          </cell>
          <cell r="X41">
            <v>43327.303587962961</v>
          </cell>
        </row>
        <row r="42">
          <cell r="B42" t="str">
            <v>201-107_PL10_T72_med3_CC-004-768_041.lcd</v>
          </cell>
          <cell r="C42" t="str">
            <v>Unknown</v>
          </cell>
          <cell r="D42">
            <v>0</v>
          </cell>
          <cell r="E42" t="str">
            <v>T72_med3</v>
          </cell>
          <cell r="F42">
            <v>2</v>
          </cell>
          <cell r="G42">
            <v>30</v>
          </cell>
          <cell r="H42">
            <v>2.2370000000000001</v>
          </cell>
          <cell r="I42">
            <v>233089</v>
          </cell>
          <cell r="J42" t="str">
            <v>-----</v>
          </cell>
          <cell r="K42">
            <v>360.9</v>
          </cell>
          <cell r="L42" t="str">
            <v>-----</v>
          </cell>
          <cell r="M42" t="str">
            <v>-----</v>
          </cell>
          <cell r="N42" t="str">
            <v>-----</v>
          </cell>
          <cell r="O42" t="str">
            <v>-----</v>
          </cell>
          <cell r="Q42">
            <v>945.09</v>
          </cell>
          <cell r="R42">
            <v>91.7</v>
          </cell>
          <cell r="S42" t="str">
            <v>-----</v>
          </cell>
          <cell r="T42">
            <v>1</v>
          </cell>
          <cell r="U42">
            <v>60156</v>
          </cell>
          <cell r="V42">
            <v>55482</v>
          </cell>
          <cell r="W42" t="str">
            <v xml:space="preserve">   </v>
          </cell>
          <cell r="X42">
            <v>43327.30709490741</v>
          </cell>
        </row>
      </sheetData>
      <sheetData sheetId="3">
        <row r="32">
          <cell r="B32" t="str">
            <v>201-107_PL11_T72_lys1_CC-004-769_031.lcd</v>
          </cell>
          <cell r="C32" t="str">
            <v>Unknown</v>
          </cell>
          <cell r="D32">
            <v>0</v>
          </cell>
          <cell r="E32" t="str">
            <v>T72_lys1</v>
          </cell>
          <cell r="F32">
            <v>1</v>
          </cell>
          <cell r="G32">
            <v>4</v>
          </cell>
          <cell r="H32">
            <v>1.974</v>
          </cell>
          <cell r="I32">
            <v>840892</v>
          </cell>
          <cell r="J32" t="str">
            <v>-----</v>
          </cell>
          <cell r="K32">
            <v>268.5</v>
          </cell>
          <cell r="L32" t="str">
            <v>-----</v>
          </cell>
          <cell r="M32" t="str">
            <v>-----</v>
          </cell>
          <cell r="N32" t="str">
            <v>-----</v>
          </cell>
          <cell r="O32" t="str">
            <v>-----</v>
          </cell>
          <cell r="Q32">
            <v>394.99</v>
          </cell>
          <cell r="R32">
            <v>92.25</v>
          </cell>
          <cell r="S32" t="str">
            <v>-----</v>
          </cell>
          <cell r="T32">
            <v>1</v>
          </cell>
          <cell r="U32">
            <v>237258</v>
          </cell>
          <cell r="V32" t="str">
            <v>-----</v>
          </cell>
          <cell r="W32" t="str">
            <v xml:space="preserve">   </v>
          </cell>
          <cell r="X32">
            <v>43327.753125000003</v>
          </cell>
        </row>
        <row r="33">
          <cell r="B33" t="str">
            <v>201-107_PL11_T72_lys2_CC-004-769_032.lcd</v>
          </cell>
          <cell r="C33" t="str">
            <v>Unknown</v>
          </cell>
          <cell r="D33">
            <v>0</v>
          </cell>
          <cell r="E33" t="str">
            <v>T72_lys2</v>
          </cell>
          <cell r="F33">
            <v>1</v>
          </cell>
          <cell r="G33">
            <v>5</v>
          </cell>
          <cell r="H33">
            <v>1.9750000000000001</v>
          </cell>
          <cell r="I33">
            <v>889939</v>
          </cell>
          <cell r="J33" t="str">
            <v>-----</v>
          </cell>
          <cell r="K33">
            <v>284.2</v>
          </cell>
          <cell r="L33" t="str">
            <v>-----</v>
          </cell>
          <cell r="M33" t="str">
            <v>-----</v>
          </cell>
          <cell r="N33" t="str">
            <v>-----</v>
          </cell>
          <cell r="O33" t="str">
            <v>-----</v>
          </cell>
          <cell r="Q33">
            <v>464.95</v>
          </cell>
          <cell r="R33">
            <v>91.89</v>
          </cell>
          <cell r="S33" t="str">
            <v>-----</v>
          </cell>
          <cell r="T33">
            <v>1</v>
          </cell>
          <cell r="U33">
            <v>258693</v>
          </cell>
          <cell r="V33" t="str">
            <v>-----</v>
          </cell>
          <cell r="W33" t="str">
            <v xml:space="preserve">   </v>
          </cell>
          <cell r="X33">
            <v>43327.756597222222</v>
          </cell>
        </row>
        <row r="34">
          <cell r="B34" t="str">
            <v>201-107_PL11_T72_lys3_CC-004-769_033.lcd</v>
          </cell>
          <cell r="C34" t="str">
            <v>Unknown</v>
          </cell>
          <cell r="D34">
            <v>0</v>
          </cell>
          <cell r="E34" t="str">
            <v>T72_lys3</v>
          </cell>
          <cell r="F34">
            <v>1</v>
          </cell>
          <cell r="G34">
            <v>6</v>
          </cell>
          <cell r="H34">
            <v>1.9730000000000001</v>
          </cell>
          <cell r="I34">
            <v>1071346</v>
          </cell>
          <cell r="J34" t="str">
            <v>-----</v>
          </cell>
          <cell r="K34">
            <v>342.4</v>
          </cell>
          <cell r="L34" t="str">
            <v>-----</v>
          </cell>
          <cell r="M34" t="str">
            <v>-----</v>
          </cell>
          <cell r="N34" t="str">
            <v>-----</v>
          </cell>
          <cell r="O34" t="str">
            <v>-----</v>
          </cell>
          <cell r="Q34">
            <v>394.54</v>
          </cell>
          <cell r="R34">
            <v>93.21</v>
          </cell>
          <cell r="S34" t="str">
            <v>-----</v>
          </cell>
          <cell r="T34">
            <v>1</v>
          </cell>
          <cell r="U34">
            <v>306529</v>
          </cell>
          <cell r="V34" t="str">
            <v>-----</v>
          </cell>
          <cell r="W34" t="str">
            <v xml:space="preserve">   </v>
          </cell>
          <cell r="X34">
            <v>43327.760069444441</v>
          </cell>
        </row>
      </sheetData>
      <sheetData sheetId="4">
        <row r="32">
          <cell r="B32" t="str">
            <v>201-107_PL11_T72_lys1_CC-004-770_031.lcd</v>
          </cell>
          <cell r="C32" t="str">
            <v>Unknown</v>
          </cell>
          <cell r="D32">
            <v>0</v>
          </cell>
          <cell r="E32" t="str">
            <v>T72_lys1</v>
          </cell>
          <cell r="F32">
            <v>2</v>
          </cell>
          <cell r="G32">
            <v>10</v>
          </cell>
          <cell r="H32">
            <v>2.2050000000000001</v>
          </cell>
          <cell r="I32">
            <v>2424580</v>
          </cell>
          <cell r="J32" t="str">
            <v>-----</v>
          </cell>
          <cell r="K32">
            <v>946</v>
          </cell>
          <cell r="L32" t="str">
            <v>-----</v>
          </cell>
          <cell r="M32" t="str">
            <v>-----</v>
          </cell>
          <cell r="N32" t="str">
            <v>-----</v>
          </cell>
          <cell r="O32" t="str">
            <v>-----</v>
          </cell>
          <cell r="Q32">
            <v>1121.1400000000001</v>
          </cell>
          <cell r="R32">
            <v>112.45</v>
          </cell>
          <cell r="S32" t="str">
            <v>-----</v>
          </cell>
          <cell r="T32">
            <v>1</v>
          </cell>
          <cell r="U32">
            <v>697596</v>
          </cell>
          <cell r="V32">
            <v>644500</v>
          </cell>
          <cell r="W32" t="str">
            <v xml:space="preserve">   </v>
          </cell>
          <cell r="X32">
            <v>43327.931423611109</v>
          </cell>
        </row>
        <row r="33">
          <cell r="B33" t="str">
            <v>201-107_PL11_T72_lys2_CC-004-770_032.lcd</v>
          </cell>
          <cell r="C33" t="str">
            <v>Unknown</v>
          </cell>
          <cell r="D33">
            <v>0</v>
          </cell>
          <cell r="E33" t="str">
            <v>T72_lys2</v>
          </cell>
          <cell r="F33">
            <v>2</v>
          </cell>
          <cell r="G33">
            <v>11</v>
          </cell>
          <cell r="H33">
            <v>2.2050000000000001</v>
          </cell>
          <cell r="I33">
            <v>2209232</v>
          </cell>
          <cell r="J33" t="str">
            <v>-----</v>
          </cell>
          <cell r="K33">
            <v>862</v>
          </cell>
          <cell r="L33" t="str">
            <v>-----</v>
          </cell>
          <cell r="M33" t="str">
            <v>-----</v>
          </cell>
          <cell r="N33" t="str">
            <v>-----</v>
          </cell>
          <cell r="O33" t="str">
            <v>-----</v>
          </cell>
          <cell r="Q33">
            <v>1039.4100000000001</v>
          </cell>
          <cell r="R33">
            <v>111.78</v>
          </cell>
          <cell r="S33" t="str">
            <v>-----</v>
          </cell>
          <cell r="T33">
            <v>1</v>
          </cell>
          <cell r="U33">
            <v>636510</v>
          </cell>
          <cell r="V33">
            <v>587969</v>
          </cell>
          <cell r="W33" t="str">
            <v xml:space="preserve">   </v>
          </cell>
          <cell r="X33">
            <v>43327.934884259259</v>
          </cell>
        </row>
        <row r="34">
          <cell r="B34" t="str">
            <v>201-107_PL11_T72_lys3_CC-004-770_033.lcd</v>
          </cell>
          <cell r="C34" t="str">
            <v>Unknown</v>
          </cell>
          <cell r="D34">
            <v>0</v>
          </cell>
          <cell r="E34" t="str">
            <v>T72_lys3</v>
          </cell>
          <cell r="F34">
            <v>2</v>
          </cell>
          <cell r="G34">
            <v>12</v>
          </cell>
          <cell r="H34">
            <v>2.206</v>
          </cell>
          <cell r="I34">
            <v>2245378</v>
          </cell>
          <cell r="J34" t="str">
            <v>-----</v>
          </cell>
          <cell r="K34">
            <v>876.1</v>
          </cell>
          <cell r="L34" t="str">
            <v>-----</v>
          </cell>
          <cell r="M34" t="str">
            <v>-----</v>
          </cell>
          <cell r="N34" t="str">
            <v>-----</v>
          </cell>
          <cell r="O34" t="str">
            <v>-----</v>
          </cell>
          <cell r="Q34">
            <v>1093.94</v>
          </cell>
          <cell r="R34">
            <v>111.84</v>
          </cell>
          <cell r="S34" t="str">
            <v>-----</v>
          </cell>
          <cell r="T34">
            <v>1</v>
          </cell>
          <cell r="U34">
            <v>647517</v>
          </cell>
          <cell r="V34">
            <v>598949</v>
          </cell>
          <cell r="W34" t="str">
            <v xml:space="preserve">   </v>
          </cell>
          <cell r="X34">
            <v>43327.938391203701</v>
          </cell>
        </row>
      </sheetData>
      <sheetData sheetId="5">
        <row r="32">
          <cell r="B32" t="str">
            <v>201-107_PL11_T72_lys1_CC-004-771_031.lcd</v>
          </cell>
          <cell r="C32" t="str">
            <v>Unknown</v>
          </cell>
          <cell r="D32">
            <v>0</v>
          </cell>
          <cell r="E32" t="str">
            <v>T72_lys1</v>
          </cell>
          <cell r="F32">
            <v>2</v>
          </cell>
          <cell r="G32">
            <v>4</v>
          </cell>
          <cell r="H32">
            <v>2.3029999999999999</v>
          </cell>
          <cell r="I32">
            <v>3839117</v>
          </cell>
          <cell r="J32" t="str">
            <v>-----</v>
          </cell>
          <cell r="K32">
            <v>1280.5</v>
          </cell>
          <cell r="L32" t="str">
            <v>-----</v>
          </cell>
          <cell r="M32" t="str">
            <v>-----</v>
          </cell>
          <cell r="N32" t="str">
            <v>-----</v>
          </cell>
          <cell r="O32" t="str">
            <v>-----</v>
          </cell>
          <cell r="Q32">
            <v>1171.32</v>
          </cell>
          <cell r="R32">
            <v>90.84</v>
          </cell>
          <cell r="S32" t="str">
            <v>-----</v>
          </cell>
          <cell r="T32">
            <v>1</v>
          </cell>
          <cell r="U32">
            <v>1069546</v>
          </cell>
          <cell r="V32">
            <v>987635</v>
          </cell>
          <cell r="W32" t="str">
            <v xml:space="preserve">   </v>
          </cell>
          <cell r="X32">
            <v>43328.109548611108</v>
          </cell>
        </row>
        <row r="33">
          <cell r="B33" t="str">
            <v>201-107_PL11_T72_lys2_CC-004-771_032.lcd</v>
          </cell>
          <cell r="C33" t="str">
            <v>Unknown</v>
          </cell>
          <cell r="D33">
            <v>0</v>
          </cell>
          <cell r="E33" t="str">
            <v>T72_lys2</v>
          </cell>
          <cell r="F33">
            <v>2</v>
          </cell>
          <cell r="G33">
            <v>5</v>
          </cell>
          <cell r="H33">
            <v>2.3029999999999999</v>
          </cell>
          <cell r="I33">
            <v>4101605</v>
          </cell>
          <cell r="J33" t="str">
            <v>-----</v>
          </cell>
          <cell r="K33">
            <v>1368</v>
          </cell>
          <cell r="L33" t="str">
            <v>-----</v>
          </cell>
          <cell r="M33" t="str">
            <v>-----</v>
          </cell>
          <cell r="N33" t="str">
            <v>-----</v>
          </cell>
          <cell r="O33" t="str">
            <v>-----</v>
          </cell>
          <cell r="Q33">
            <v>1202.55</v>
          </cell>
          <cell r="R33">
            <v>93.05</v>
          </cell>
          <cell r="S33" t="str">
            <v>-----</v>
          </cell>
          <cell r="T33">
            <v>1</v>
          </cell>
          <cell r="U33">
            <v>1131636</v>
          </cell>
          <cell r="V33">
            <v>1055793</v>
          </cell>
          <cell r="W33" t="str">
            <v xml:space="preserve">   </v>
          </cell>
          <cell r="X33">
            <v>43328.113032407404</v>
          </cell>
        </row>
        <row r="34">
          <cell r="B34" t="str">
            <v>201-107_PL11_T72_lys3_CC-004-771_033.lcd</v>
          </cell>
          <cell r="C34" t="str">
            <v>Unknown</v>
          </cell>
          <cell r="D34">
            <v>0</v>
          </cell>
          <cell r="E34" t="str">
            <v>T72_lys3</v>
          </cell>
          <cell r="F34">
            <v>2</v>
          </cell>
          <cell r="G34">
            <v>6</v>
          </cell>
          <cell r="H34">
            <v>2.3039999999999998</v>
          </cell>
          <cell r="I34">
            <v>5350619</v>
          </cell>
          <cell r="J34" t="str">
            <v>-----</v>
          </cell>
          <cell r="K34">
            <v>1784.5</v>
          </cell>
          <cell r="L34" t="str">
            <v>-----</v>
          </cell>
          <cell r="M34" t="str">
            <v>-----</v>
          </cell>
          <cell r="N34" t="str">
            <v>-----</v>
          </cell>
          <cell r="O34" t="str">
            <v>-----</v>
          </cell>
          <cell r="Q34">
            <v>1252.51</v>
          </cell>
          <cell r="R34">
            <v>89.74</v>
          </cell>
          <cell r="S34" t="str">
            <v>-----</v>
          </cell>
          <cell r="T34">
            <v>1</v>
          </cell>
          <cell r="U34">
            <v>1509684</v>
          </cell>
          <cell r="V34">
            <v>1382036</v>
          </cell>
          <cell r="W34" t="str">
            <v xml:space="preserve">   </v>
          </cell>
          <cell r="X34">
            <v>43328.11650462963</v>
          </cell>
        </row>
      </sheetData>
      <sheetData sheetId="6">
        <row r="32">
          <cell r="B32" t="str">
            <v>201-107_PL12_CDV_Lysate_081718_663_T72_lys1_CC-004-773_031.lcd</v>
          </cell>
          <cell r="C32" t="str">
            <v>Unknown</v>
          </cell>
          <cell r="D32">
            <v>0</v>
          </cell>
          <cell r="E32" t="str">
            <v>663_T72_lys1</v>
          </cell>
          <cell r="F32">
            <v>1</v>
          </cell>
          <cell r="G32">
            <v>4</v>
          </cell>
          <cell r="H32">
            <v>1.264</v>
          </cell>
          <cell r="I32">
            <v>28496</v>
          </cell>
          <cell r="J32" t="str">
            <v>-----</v>
          </cell>
          <cell r="K32">
            <v>190</v>
          </cell>
          <cell r="L32" t="str">
            <v>-----</v>
          </cell>
          <cell r="M32" t="str">
            <v>-----</v>
          </cell>
          <cell r="N32" t="str">
            <v>-----</v>
          </cell>
          <cell r="O32" t="str">
            <v>-----</v>
          </cell>
          <cell r="Q32">
            <v>5.12</v>
          </cell>
          <cell r="R32">
            <v>40.909999999999997</v>
          </cell>
          <cell r="S32" t="str">
            <v>-----</v>
          </cell>
          <cell r="T32">
            <v>1</v>
          </cell>
          <cell r="U32">
            <v>13339</v>
          </cell>
          <cell r="V32">
            <v>13660</v>
          </cell>
          <cell r="W32" t="str">
            <v xml:space="preserve">   </v>
          </cell>
          <cell r="X32">
            <v>43329.668055555558</v>
          </cell>
        </row>
        <row r="33">
          <cell r="B33" t="str">
            <v>201-107_PL12_CDV_Lysate_081718_663_T72_lys2_CC-004-773_032.lcd</v>
          </cell>
          <cell r="C33" t="str">
            <v>Unknown</v>
          </cell>
          <cell r="D33">
            <v>0</v>
          </cell>
          <cell r="E33" t="str">
            <v>663_T72_lys2</v>
          </cell>
          <cell r="F33">
            <v>1</v>
          </cell>
          <cell r="G33">
            <v>5</v>
          </cell>
          <cell r="H33">
            <v>1.264</v>
          </cell>
          <cell r="I33">
            <v>36739</v>
          </cell>
          <cell r="J33" t="str">
            <v>-----</v>
          </cell>
          <cell r="K33">
            <v>243.8</v>
          </cell>
          <cell r="L33" t="str">
            <v>-----</v>
          </cell>
          <cell r="M33" t="str">
            <v>-----</v>
          </cell>
          <cell r="N33" t="str">
            <v>-----</v>
          </cell>
          <cell r="O33" t="str">
            <v>-----</v>
          </cell>
          <cell r="Q33">
            <v>12.96</v>
          </cell>
          <cell r="R33">
            <v>38.549999999999997</v>
          </cell>
          <cell r="S33" t="str">
            <v>-----</v>
          </cell>
          <cell r="T33">
            <v>1</v>
          </cell>
          <cell r="U33">
            <v>18273</v>
          </cell>
          <cell r="V33">
            <v>18715</v>
          </cell>
          <cell r="W33" t="str">
            <v xml:space="preserve">   </v>
          </cell>
          <cell r="X33">
            <v>43329.670486111114</v>
          </cell>
        </row>
        <row r="34">
          <cell r="B34" t="str">
            <v>201-107_PL12_CDV_Lysate_081718_663_T72_lys3_CC-004-773_033.lcd</v>
          </cell>
          <cell r="C34" t="str">
            <v>Unknown</v>
          </cell>
          <cell r="D34">
            <v>0</v>
          </cell>
          <cell r="E34" t="str">
            <v>663_T72_lys3</v>
          </cell>
          <cell r="F34">
            <v>1</v>
          </cell>
          <cell r="G34">
            <v>6</v>
          </cell>
          <cell r="H34">
            <v>1.2609999999999999</v>
          </cell>
          <cell r="I34">
            <v>39128</v>
          </cell>
          <cell r="J34" t="str">
            <v>-----</v>
          </cell>
          <cell r="K34">
            <v>259.39999999999998</v>
          </cell>
          <cell r="L34" t="str">
            <v>-----</v>
          </cell>
          <cell r="M34" t="str">
            <v>-----</v>
          </cell>
          <cell r="N34" t="str">
            <v>-----</v>
          </cell>
          <cell r="O34" t="str">
            <v>-----</v>
          </cell>
          <cell r="Q34">
            <v>14.05</v>
          </cell>
          <cell r="R34">
            <v>40.47</v>
          </cell>
          <cell r="S34" t="str">
            <v>-----</v>
          </cell>
          <cell r="T34">
            <v>1</v>
          </cell>
          <cell r="U34">
            <v>18515</v>
          </cell>
          <cell r="V34">
            <v>19014</v>
          </cell>
          <cell r="W34" t="str">
            <v xml:space="preserve">   </v>
          </cell>
          <cell r="X34">
            <v>43329.67292824074</v>
          </cell>
        </row>
        <row r="36">
          <cell r="B36" t="str">
            <v>201-107_PL12_CDV_Lysate_081718_666_T72_lys1_CC-004-773_035.lcd</v>
          </cell>
          <cell r="C36" t="str">
            <v>Unknown</v>
          </cell>
          <cell r="D36">
            <v>0</v>
          </cell>
          <cell r="E36" t="str">
            <v>666_T72_lys1</v>
          </cell>
          <cell r="F36">
            <v>1</v>
          </cell>
          <cell r="G36">
            <v>16</v>
          </cell>
          <cell r="H36">
            <v>1.262</v>
          </cell>
          <cell r="I36">
            <v>158110</v>
          </cell>
          <cell r="J36" t="str">
            <v>-----</v>
          </cell>
          <cell r="K36">
            <v>1035.8</v>
          </cell>
          <cell r="L36" t="str">
            <v>-----</v>
          </cell>
          <cell r="M36" t="str">
            <v>-----</v>
          </cell>
          <cell r="N36" t="str">
            <v>-----</v>
          </cell>
          <cell r="O36" t="str">
            <v>-----</v>
          </cell>
          <cell r="Q36">
            <v>15.55</v>
          </cell>
          <cell r="R36">
            <v>38.840000000000003</v>
          </cell>
          <cell r="S36" t="str">
            <v>-----</v>
          </cell>
          <cell r="T36">
            <v>1</v>
          </cell>
          <cell r="U36">
            <v>77928</v>
          </cell>
          <cell r="V36">
            <v>79392</v>
          </cell>
          <cell r="W36" t="str">
            <v xml:space="preserve">   </v>
          </cell>
          <cell r="X36">
            <v>43329.677766203706</v>
          </cell>
        </row>
        <row r="37">
          <cell r="B37" t="str">
            <v>201-107_PL12_CDV_Lysate_081718_666_T72_lys2_CC-004-773_036.lcd</v>
          </cell>
          <cell r="C37" t="str">
            <v>Unknown</v>
          </cell>
          <cell r="D37">
            <v>0</v>
          </cell>
          <cell r="E37" t="str">
            <v>666_T72_lys2</v>
          </cell>
          <cell r="F37">
            <v>1</v>
          </cell>
          <cell r="G37">
            <v>17</v>
          </cell>
          <cell r="H37">
            <v>1.2609999999999999</v>
          </cell>
          <cell r="I37">
            <v>112575</v>
          </cell>
          <cell r="J37" t="str">
            <v>-----</v>
          </cell>
          <cell r="K37">
            <v>738.6</v>
          </cell>
          <cell r="L37" t="str">
            <v>-----</v>
          </cell>
          <cell r="M37" t="str">
            <v>-----</v>
          </cell>
          <cell r="N37" t="str">
            <v>-----</v>
          </cell>
          <cell r="O37" t="str">
            <v>-----</v>
          </cell>
          <cell r="Q37">
            <v>15.94</v>
          </cell>
          <cell r="R37">
            <v>38.32</v>
          </cell>
          <cell r="S37" t="str">
            <v>-----</v>
          </cell>
          <cell r="T37">
            <v>1</v>
          </cell>
          <cell r="U37">
            <v>61054</v>
          </cell>
          <cell r="V37">
            <v>63462</v>
          </cell>
          <cell r="W37" t="str">
            <v xml:space="preserve">   </v>
          </cell>
          <cell r="X37">
            <v>43329.680196759262</v>
          </cell>
        </row>
        <row r="38">
          <cell r="B38" t="str">
            <v>201-107_PL12_CDV_Lysate_081718_666_T72_lys3_CC-004-773_037.lcd</v>
          </cell>
          <cell r="C38" t="str">
            <v>Unknown</v>
          </cell>
          <cell r="D38">
            <v>0</v>
          </cell>
          <cell r="E38" t="str">
            <v>666_T72_lys3</v>
          </cell>
          <cell r="F38">
            <v>1</v>
          </cell>
          <cell r="G38">
            <v>18</v>
          </cell>
          <cell r="H38">
            <v>1.2609999999999999</v>
          </cell>
          <cell r="I38">
            <v>128320</v>
          </cell>
          <cell r="J38" t="str">
            <v>-----</v>
          </cell>
          <cell r="K38">
            <v>841.4</v>
          </cell>
          <cell r="L38" t="str">
            <v>-----</v>
          </cell>
          <cell r="M38" t="str">
            <v>-----</v>
          </cell>
          <cell r="N38" t="str">
            <v>-----</v>
          </cell>
          <cell r="O38" t="str">
            <v>-----</v>
          </cell>
          <cell r="Q38">
            <v>19.11</v>
          </cell>
          <cell r="R38">
            <v>40.58</v>
          </cell>
          <cell r="S38" t="str">
            <v>-----</v>
          </cell>
          <cell r="T38">
            <v>1</v>
          </cell>
          <cell r="U38">
            <v>65396</v>
          </cell>
          <cell r="V38">
            <v>67569</v>
          </cell>
          <cell r="W38" t="str">
            <v xml:space="preserve">   </v>
          </cell>
          <cell r="X38">
            <v>43329.682638888888</v>
          </cell>
        </row>
        <row r="40">
          <cell r="B40" t="str">
            <v>201-107_PL12_CDV_Lysate_081718_669_T72_lys1_CC-004-773_039.lcd</v>
          </cell>
          <cell r="C40" t="str">
            <v>Unknown</v>
          </cell>
          <cell r="D40">
            <v>0</v>
          </cell>
          <cell r="E40" t="str">
            <v>669_T72_lys1</v>
          </cell>
          <cell r="F40">
            <v>1</v>
          </cell>
          <cell r="G40">
            <v>28</v>
          </cell>
          <cell r="H40">
            <v>1.2549999999999999</v>
          </cell>
          <cell r="I40">
            <v>209455</v>
          </cell>
          <cell r="J40" t="str">
            <v>-----</v>
          </cell>
          <cell r="K40">
            <v>1370.8</v>
          </cell>
          <cell r="L40" t="str">
            <v>-----</v>
          </cell>
          <cell r="M40" t="str">
            <v>-----</v>
          </cell>
          <cell r="N40" t="str">
            <v>-----</v>
          </cell>
          <cell r="O40" t="str">
            <v>-----</v>
          </cell>
          <cell r="Q40">
            <v>22.22</v>
          </cell>
          <cell r="R40">
            <v>39.72</v>
          </cell>
          <cell r="S40" t="str">
            <v>-----</v>
          </cell>
          <cell r="T40">
            <v>1</v>
          </cell>
          <cell r="U40">
            <v>95312</v>
          </cell>
          <cell r="V40">
            <v>96710</v>
          </cell>
          <cell r="W40" t="str">
            <v xml:space="preserve">   </v>
          </cell>
          <cell r="X40">
            <v>43329.687488425923</v>
          </cell>
        </row>
        <row r="41">
          <cell r="B41" t="str">
            <v>201-107_PL12_CDV_Lysate_081718_669_T72_lys2_CC-004-773_040.lcd</v>
          </cell>
          <cell r="C41" t="str">
            <v>Unknown</v>
          </cell>
          <cell r="D41">
            <v>0</v>
          </cell>
          <cell r="E41" t="str">
            <v>669_T72_lys2</v>
          </cell>
          <cell r="F41">
            <v>1</v>
          </cell>
          <cell r="G41">
            <v>29</v>
          </cell>
          <cell r="H41">
            <v>1.2549999999999999</v>
          </cell>
          <cell r="I41">
            <v>230749</v>
          </cell>
          <cell r="J41" t="str">
            <v>-----</v>
          </cell>
          <cell r="K41">
            <v>1509.7</v>
          </cell>
          <cell r="L41" t="str">
            <v>-----</v>
          </cell>
          <cell r="M41" t="str">
            <v>-----</v>
          </cell>
          <cell r="N41" t="str">
            <v>-----</v>
          </cell>
          <cell r="O41" t="str">
            <v>-----</v>
          </cell>
          <cell r="Q41">
            <v>24.24</v>
          </cell>
          <cell r="R41">
            <v>39.08</v>
          </cell>
          <cell r="S41" t="str">
            <v>-----</v>
          </cell>
          <cell r="T41">
            <v>1</v>
          </cell>
          <cell r="U41">
            <v>106150</v>
          </cell>
          <cell r="V41">
            <v>108075</v>
          </cell>
          <cell r="W41" t="str">
            <v xml:space="preserve">   </v>
          </cell>
          <cell r="X41">
            <v>43329.689930555556</v>
          </cell>
        </row>
        <row r="42">
          <cell r="B42" t="str">
            <v>201-107_PL12_CDV_Lysate_081718_669_T72_lys3_CC-004-773_041.lcd</v>
          </cell>
          <cell r="C42" t="str">
            <v>Unknown</v>
          </cell>
          <cell r="D42">
            <v>0</v>
          </cell>
          <cell r="E42" t="str">
            <v>669_T72_lys3</v>
          </cell>
          <cell r="F42">
            <v>1</v>
          </cell>
          <cell r="G42">
            <v>30</v>
          </cell>
          <cell r="H42">
            <v>1.254</v>
          </cell>
          <cell r="I42">
            <v>260937</v>
          </cell>
          <cell r="J42" t="str">
            <v>-----</v>
          </cell>
          <cell r="K42">
            <v>1706.7</v>
          </cell>
          <cell r="L42" t="str">
            <v>-----</v>
          </cell>
          <cell r="M42" t="str">
            <v>-----</v>
          </cell>
          <cell r="N42" t="str">
            <v>-----</v>
          </cell>
          <cell r="O42" t="str">
            <v>-----</v>
          </cell>
          <cell r="Q42">
            <v>26.37</v>
          </cell>
          <cell r="R42">
            <v>38.4</v>
          </cell>
          <cell r="S42" t="str">
            <v>-----</v>
          </cell>
          <cell r="T42">
            <v>1</v>
          </cell>
          <cell r="U42">
            <v>118189</v>
          </cell>
          <cell r="V42">
            <v>121397</v>
          </cell>
          <cell r="W42" t="str">
            <v xml:space="preserve">   </v>
          </cell>
          <cell r="X42">
            <v>43329.692337962966</v>
          </cell>
        </row>
        <row r="44">
          <cell r="B44" t="str">
            <v>201-107_PL12_CDV_Lysate_081718_CDV_T72_lys1_CC-004-773_043.lcd</v>
          </cell>
          <cell r="C44" t="str">
            <v>Unknown</v>
          </cell>
          <cell r="D44">
            <v>0</v>
          </cell>
          <cell r="E44" t="str">
            <v>CDV_T72_lys1</v>
          </cell>
          <cell r="F44">
            <v>1</v>
          </cell>
          <cell r="G44">
            <v>40</v>
          </cell>
          <cell r="H44">
            <v>1.264</v>
          </cell>
          <cell r="I44">
            <v>640</v>
          </cell>
          <cell r="J44" t="str">
            <v>-----</v>
          </cell>
          <cell r="K44">
            <v>8.1999999999999993</v>
          </cell>
          <cell r="L44" t="str">
            <v>-----</v>
          </cell>
          <cell r="M44" t="str">
            <v>-----</v>
          </cell>
          <cell r="N44" t="str">
            <v>-----</v>
          </cell>
          <cell r="O44" t="str">
            <v>-----</v>
          </cell>
          <cell r="P44" t="str">
            <v>Quant.Range(Low)</v>
          </cell>
          <cell r="Q44">
            <v>0.95</v>
          </cell>
          <cell r="R44">
            <v>36.229999999999997</v>
          </cell>
          <cell r="S44" t="str">
            <v>-----</v>
          </cell>
          <cell r="T44">
            <v>1</v>
          </cell>
          <cell r="U44">
            <v>385</v>
          </cell>
          <cell r="V44">
            <v>403</v>
          </cell>
          <cell r="W44" t="str">
            <v xml:space="preserve">   </v>
          </cell>
          <cell r="X44">
            <v>43329.697222222225</v>
          </cell>
        </row>
        <row r="45">
          <cell r="B45" t="str">
            <v>201-107_PL12_CDV_Lysate_081718_CDV_T72_lys2_CC-004-773_044.lcd</v>
          </cell>
          <cell r="C45" t="str">
            <v>Unknown</v>
          </cell>
          <cell r="D45">
            <v>0</v>
          </cell>
          <cell r="E45" t="str">
            <v>CDV_T72_lys2</v>
          </cell>
          <cell r="F45">
            <v>1</v>
          </cell>
          <cell r="G45">
            <v>41</v>
          </cell>
          <cell r="H45">
            <v>1.2689999999999999</v>
          </cell>
          <cell r="I45">
            <v>922</v>
          </cell>
          <cell r="J45" t="str">
            <v>-----</v>
          </cell>
          <cell r="K45">
            <v>10.1</v>
          </cell>
          <cell r="L45" t="str">
            <v>-----</v>
          </cell>
          <cell r="M45" t="str">
            <v>-----</v>
          </cell>
          <cell r="N45" t="str">
            <v>-----</v>
          </cell>
          <cell r="O45" t="str">
            <v>-----</v>
          </cell>
          <cell r="Q45">
            <v>0.98</v>
          </cell>
          <cell r="R45">
            <v>42.71</v>
          </cell>
          <cell r="S45" t="str">
            <v>-----</v>
          </cell>
          <cell r="T45">
            <v>1</v>
          </cell>
          <cell r="U45">
            <v>363</v>
          </cell>
          <cell r="V45">
            <v>377</v>
          </cell>
          <cell r="W45" t="str">
            <v xml:space="preserve">   </v>
          </cell>
          <cell r="X45">
            <v>43329.699675925927</v>
          </cell>
        </row>
        <row r="46">
          <cell r="B46" t="str">
            <v>201-107_PL12_CDV_Lysate_081718_CDV_T72_lys3_CC-004-773_045.lcd</v>
          </cell>
          <cell r="C46" t="str">
            <v>Unknown</v>
          </cell>
          <cell r="D46">
            <v>0</v>
          </cell>
          <cell r="E46" t="str">
            <v>CDV_T72_lys3</v>
          </cell>
          <cell r="F46">
            <v>1</v>
          </cell>
          <cell r="G46">
            <v>42</v>
          </cell>
          <cell r="H46">
            <v>1.2589999999999999</v>
          </cell>
          <cell r="I46">
            <v>628</v>
          </cell>
          <cell r="J46" t="str">
            <v>-----</v>
          </cell>
          <cell r="K46">
            <v>8.1</v>
          </cell>
          <cell r="L46" t="str">
            <v>-----</v>
          </cell>
          <cell r="M46" t="str">
            <v>-----</v>
          </cell>
          <cell r="N46" t="str">
            <v>-----</v>
          </cell>
          <cell r="O46" t="str">
            <v>-----</v>
          </cell>
          <cell r="P46" t="str">
            <v>Quant.Range(Low)</v>
          </cell>
          <cell r="Q46">
            <v>0.27</v>
          </cell>
          <cell r="R46">
            <v>45.21</v>
          </cell>
          <cell r="S46" t="str">
            <v>-----</v>
          </cell>
          <cell r="T46">
            <v>1</v>
          </cell>
          <cell r="U46">
            <v>320</v>
          </cell>
          <cell r="V46">
            <v>334</v>
          </cell>
          <cell r="W46" t="str">
            <v xml:space="preserve">   </v>
          </cell>
          <cell r="X46">
            <v>43329.702118055553</v>
          </cell>
        </row>
      </sheetData>
      <sheetData sheetId="7"/>
      <sheetData sheetId="8">
        <row r="32">
          <cell r="B32" t="str">
            <v>201-107_PL13_CDVPP_Lysate_663_T72_lys1_CC-004-773_031.lcd</v>
          </cell>
          <cell r="C32" t="str">
            <v>Unknown</v>
          </cell>
          <cell r="D32">
            <v>0</v>
          </cell>
          <cell r="E32" t="str">
            <v>663_T72_lys1</v>
          </cell>
          <cell r="F32">
            <v>2</v>
          </cell>
          <cell r="G32">
            <v>4</v>
          </cell>
          <cell r="H32">
            <v>2.27</v>
          </cell>
          <cell r="I32">
            <v>346596</v>
          </cell>
          <cell r="J32" t="str">
            <v>-----</v>
          </cell>
          <cell r="K32">
            <v>405.7</v>
          </cell>
          <cell r="L32" t="str">
            <v>-----</v>
          </cell>
          <cell r="M32" t="str">
            <v>-----</v>
          </cell>
          <cell r="N32" t="str">
            <v>-----</v>
          </cell>
          <cell r="O32" t="str">
            <v>-----</v>
          </cell>
          <cell r="Q32">
            <v>1255.3399999999999</v>
          </cell>
          <cell r="R32">
            <v>26.68</v>
          </cell>
          <cell r="S32" t="str">
            <v>-----</v>
          </cell>
          <cell r="T32">
            <v>1</v>
          </cell>
          <cell r="U32">
            <v>191718</v>
          </cell>
          <cell r="V32">
            <v>178153</v>
          </cell>
          <cell r="W32" t="str">
            <v xml:space="preserve">   </v>
          </cell>
          <cell r="X32">
            <v>43333.733020833337</v>
          </cell>
        </row>
        <row r="33">
          <cell r="B33" t="str">
            <v>201-107_PL13_CDVPP_Lysate_663_T72_lys2_CC-004-773_032.lcd</v>
          </cell>
          <cell r="C33" t="str">
            <v>Unknown</v>
          </cell>
          <cell r="D33">
            <v>0</v>
          </cell>
          <cell r="E33" t="str">
            <v>663_T72_lys2</v>
          </cell>
          <cell r="F33">
            <v>2</v>
          </cell>
          <cell r="G33">
            <v>5</v>
          </cell>
          <cell r="H33">
            <v>2.27</v>
          </cell>
          <cell r="I33">
            <v>366810</v>
          </cell>
          <cell r="J33" t="str">
            <v>-----</v>
          </cell>
          <cell r="K33">
            <v>429.4</v>
          </cell>
          <cell r="L33" t="str">
            <v>-----</v>
          </cell>
          <cell r="M33" t="str">
            <v>-----</v>
          </cell>
          <cell r="N33" t="str">
            <v>-----</v>
          </cell>
          <cell r="O33" t="str">
            <v>-----</v>
          </cell>
          <cell r="Q33">
            <v>1156.51</v>
          </cell>
          <cell r="R33">
            <v>26.74</v>
          </cell>
          <cell r="S33" t="str">
            <v>-----</v>
          </cell>
          <cell r="T33">
            <v>1</v>
          </cell>
          <cell r="U33">
            <v>203426</v>
          </cell>
          <cell r="V33">
            <v>187491</v>
          </cell>
          <cell r="W33" t="str">
            <v xml:space="preserve">   </v>
          </cell>
          <cell r="X33">
            <v>43333.736597222225</v>
          </cell>
        </row>
        <row r="34">
          <cell r="B34" t="str">
            <v>201-107_PL13_CDVPP_Lysate_663_T72_lys3_CC-004-773_033.lcd</v>
          </cell>
          <cell r="C34" t="str">
            <v>Unknown</v>
          </cell>
          <cell r="D34">
            <v>0</v>
          </cell>
          <cell r="E34" t="str">
            <v>663_T72_lys3</v>
          </cell>
          <cell r="F34">
            <v>2</v>
          </cell>
          <cell r="G34">
            <v>6</v>
          </cell>
          <cell r="H34">
            <v>2.2719999999999998</v>
          </cell>
          <cell r="I34">
            <v>331084</v>
          </cell>
          <cell r="J34" t="str">
            <v>-----</v>
          </cell>
          <cell r="K34">
            <v>387.6</v>
          </cell>
          <cell r="L34" t="str">
            <v>-----</v>
          </cell>
          <cell r="M34" t="str">
            <v>-----</v>
          </cell>
          <cell r="N34" t="str">
            <v>-----</v>
          </cell>
          <cell r="O34" t="str">
            <v>-----</v>
          </cell>
          <cell r="Q34">
            <v>1531.27</v>
          </cell>
          <cell r="R34">
            <v>26.77</v>
          </cell>
          <cell r="S34" t="str">
            <v>-----</v>
          </cell>
          <cell r="T34">
            <v>1</v>
          </cell>
          <cell r="U34">
            <v>178505</v>
          </cell>
          <cell r="V34">
            <v>175615</v>
          </cell>
          <cell r="W34" t="str">
            <v xml:space="preserve">   </v>
          </cell>
          <cell r="X34">
            <v>43333.740162037036</v>
          </cell>
        </row>
        <row r="36">
          <cell r="B36" t="str">
            <v>201-107_PL13_CDVPP_Lysate_666_T72_lys1_CC-004-773_035.lcd</v>
          </cell>
          <cell r="C36" t="str">
            <v>Unknown</v>
          </cell>
          <cell r="D36">
            <v>0</v>
          </cell>
          <cell r="E36" t="str">
            <v>666_T72_lys1</v>
          </cell>
          <cell r="F36">
            <v>2</v>
          </cell>
          <cell r="G36">
            <v>16</v>
          </cell>
          <cell r="H36">
            <v>2.274</v>
          </cell>
          <cell r="I36">
            <v>1174291</v>
          </cell>
          <cell r="J36" t="str">
            <v>-----</v>
          </cell>
          <cell r="K36">
            <v>1373.4</v>
          </cell>
          <cell r="L36" t="str">
            <v>-----</v>
          </cell>
          <cell r="M36" t="str">
            <v>-----</v>
          </cell>
          <cell r="N36" t="str">
            <v>-----</v>
          </cell>
          <cell r="O36" t="str">
            <v>-----</v>
          </cell>
          <cell r="Q36">
            <v>1185.1500000000001</v>
          </cell>
          <cell r="R36">
            <v>25.47</v>
          </cell>
          <cell r="S36" t="str">
            <v>-----</v>
          </cell>
          <cell r="T36">
            <v>1</v>
          </cell>
          <cell r="U36">
            <v>631097</v>
          </cell>
          <cell r="V36">
            <v>616462</v>
          </cell>
          <cell r="W36" t="str">
            <v xml:space="preserve">   </v>
          </cell>
          <cell r="X36">
            <v>43333.74732638889</v>
          </cell>
        </row>
        <row r="37">
          <cell r="B37" t="str">
            <v>201-107_PL13_CDVPP_Lysate_666_T72_lys2_CC-004-773_036.lcd</v>
          </cell>
          <cell r="C37" t="str">
            <v>Unknown</v>
          </cell>
          <cell r="D37">
            <v>0</v>
          </cell>
          <cell r="E37" t="str">
            <v>666_T72_lys2</v>
          </cell>
          <cell r="F37">
            <v>2</v>
          </cell>
          <cell r="G37">
            <v>17</v>
          </cell>
          <cell r="H37">
            <v>2.2759999999999998</v>
          </cell>
          <cell r="I37">
            <v>1190612</v>
          </cell>
          <cell r="J37" t="str">
            <v>-----</v>
          </cell>
          <cell r="K37">
            <v>1392.5</v>
          </cell>
          <cell r="L37" t="str">
            <v>-----</v>
          </cell>
          <cell r="M37" t="str">
            <v>-----</v>
          </cell>
          <cell r="N37" t="str">
            <v>-----</v>
          </cell>
          <cell r="O37" t="str">
            <v>-----</v>
          </cell>
          <cell r="Q37">
            <v>1380.31</v>
          </cell>
          <cell r="R37">
            <v>26.55</v>
          </cell>
          <cell r="S37" t="str">
            <v>-----</v>
          </cell>
          <cell r="T37">
            <v>1</v>
          </cell>
          <cell r="U37">
            <v>647616</v>
          </cell>
          <cell r="V37">
            <v>594244</v>
          </cell>
          <cell r="W37" t="str">
            <v xml:space="preserve">   </v>
          </cell>
          <cell r="X37">
            <v>43333.750914351855</v>
          </cell>
        </row>
        <row r="38">
          <cell r="B38" t="str">
            <v>201-107_PL13_CDVPP_Lysate_666_T72_lys3_CC-004-773_037.lcd</v>
          </cell>
          <cell r="C38" t="str">
            <v>Unknown</v>
          </cell>
          <cell r="D38">
            <v>0</v>
          </cell>
          <cell r="E38" t="str">
            <v>666_T72_lys3</v>
          </cell>
          <cell r="F38">
            <v>2</v>
          </cell>
          <cell r="G38">
            <v>18</v>
          </cell>
          <cell r="H38">
            <v>2.2759999999999998</v>
          </cell>
          <cell r="I38">
            <v>1154512</v>
          </cell>
          <cell r="J38" t="str">
            <v>-----</v>
          </cell>
          <cell r="K38">
            <v>1350.3</v>
          </cell>
          <cell r="L38" t="str">
            <v>-----</v>
          </cell>
          <cell r="M38" t="str">
            <v>-----</v>
          </cell>
          <cell r="N38" t="str">
            <v>-----</v>
          </cell>
          <cell r="O38" t="str">
            <v>-----</v>
          </cell>
          <cell r="Q38">
            <v>1219.71</v>
          </cell>
          <cell r="R38">
            <v>27</v>
          </cell>
          <cell r="S38" t="str">
            <v>-----</v>
          </cell>
          <cell r="T38">
            <v>1</v>
          </cell>
          <cell r="U38">
            <v>621709</v>
          </cell>
          <cell r="V38">
            <v>611728</v>
          </cell>
          <cell r="W38" t="str">
            <v xml:space="preserve">   </v>
          </cell>
          <cell r="X38">
            <v>43333.754525462966</v>
          </cell>
        </row>
        <row r="40">
          <cell r="B40" t="str">
            <v>201-107_PL13_CDVPP_Lysate_669_T72_lys1_CC-004-773_039.lcd</v>
          </cell>
          <cell r="C40" t="str">
            <v>Unknown</v>
          </cell>
          <cell r="D40">
            <v>0</v>
          </cell>
          <cell r="E40" t="str">
            <v>669_T72_lys1</v>
          </cell>
          <cell r="F40">
            <v>2</v>
          </cell>
          <cell r="G40">
            <v>28</v>
          </cell>
          <cell r="H40">
            <v>2.2789999999999999</v>
          </cell>
          <cell r="I40">
            <v>1105431</v>
          </cell>
          <cell r="J40" t="str">
            <v>-----</v>
          </cell>
          <cell r="K40">
            <v>1292.9000000000001</v>
          </cell>
          <cell r="L40" t="str">
            <v>-----</v>
          </cell>
          <cell r="M40" t="str">
            <v>-----</v>
          </cell>
          <cell r="N40" t="str">
            <v>-----</v>
          </cell>
          <cell r="O40" t="str">
            <v>-----</v>
          </cell>
          <cell r="Q40">
            <v>1334.51</v>
          </cell>
          <cell r="R40">
            <v>25.18</v>
          </cell>
          <cell r="S40" t="str">
            <v>-----</v>
          </cell>
          <cell r="T40">
            <v>1</v>
          </cell>
          <cell r="U40">
            <v>591324</v>
          </cell>
          <cell r="V40">
            <v>571953</v>
          </cell>
          <cell r="W40" t="str">
            <v xml:space="preserve">   </v>
          </cell>
          <cell r="X40">
            <v>43333.761701388888</v>
          </cell>
        </row>
        <row r="41">
          <cell r="B41" t="str">
            <v>201-107_PL13_CDVPP_Lysate_669_T72_lys2_CC-004-773_040.lcd</v>
          </cell>
          <cell r="C41" t="str">
            <v>Unknown</v>
          </cell>
          <cell r="D41">
            <v>0</v>
          </cell>
          <cell r="E41" t="str">
            <v>669_T72_lys2</v>
          </cell>
          <cell r="F41">
            <v>2</v>
          </cell>
          <cell r="G41">
            <v>29</v>
          </cell>
          <cell r="H41">
            <v>2.2759999999999998</v>
          </cell>
          <cell r="I41">
            <v>1151393</v>
          </cell>
          <cell r="J41" t="str">
            <v>-----</v>
          </cell>
          <cell r="K41">
            <v>1346.7</v>
          </cell>
          <cell r="L41" t="str">
            <v>-----</v>
          </cell>
          <cell r="M41" t="str">
            <v>-----</v>
          </cell>
          <cell r="N41" t="str">
            <v>-----</v>
          </cell>
          <cell r="O41" t="str">
            <v>-----</v>
          </cell>
          <cell r="Q41">
            <v>1174.0899999999999</v>
          </cell>
          <cell r="R41">
            <v>25.19</v>
          </cell>
          <cell r="S41" t="str">
            <v>-----</v>
          </cell>
          <cell r="T41">
            <v>1</v>
          </cell>
          <cell r="U41">
            <v>626328</v>
          </cell>
          <cell r="V41">
            <v>615853</v>
          </cell>
          <cell r="W41" t="str">
            <v xml:space="preserve">   </v>
          </cell>
          <cell r="X41">
            <v>43333.765277777777</v>
          </cell>
        </row>
        <row r="42">
          <cell r="B42" t="str">
            <v>201-107_PL13_CDVPP_Lysate_669_T72_lys3_CC-004-773_041.lcd</v>
          </cell>
          <cell r="C42" t="str">
            <v>Unknown</v>
          </cell>
          <cell r="D42">
            <v>0</v>
          </cell>
          <cell r="E42" t="str">
            <v>669_T72_lys3</v>
          </cell>
          <cell r="F42">
            <v>2</v>
          </cell>
          <cell r="G42">
            <v>30</v>
          </cell>
          <cell r="H42">
            <v>2.2789999999999999</v>
          </cell>
          <cell r="I42">
            <v>1216406</v>
          </cell>
          <cell r="J42" t="str">
            <v>-----</v>
          </cell>
          <cell r="K42">
            <v>1422.7</v>
          </cell>
          <cell r="L42" t="str">
            <v>-----</v>
          </cell>
          <cell r="M42" t="str">
            <v>-----</v>
          </cell>
          <cell r="N42" t="str">
            <v>-----</v>
          </cell>
          <cell r="O42" t="str">
            <v>-----</v>
          </cell>
          <cell r="Q42">
            <v>1301.18</v>
          </cell>
          <cell r="R42">
            <v>25.19</v>
          </cell>
          <cell r="S42" t="str">
            <v>-----</v>
          </cell>
          <cell r="T42">
            <v>1</v>
          </cell>
          <cell r="U42">
            <v>645191</v>
          </cell>
          <cell r="V42">
            <v>629904</v>
          </cell>
          <cell r="W42" t="str">
            <v xml:space="preserve">   </v>
          </cell>
          <cell r="X42">
            <v>43333.768865740742</v>
          </cell>
        </row>
        <row r="44">
          <cell r="B44" t="str">
            <v>201-107_PL13_CDVPP_Lysate_CDV_T72_lys1_CC-004-773_043.lcd</v>
          </cell>
          <cell r="C44" t="str">
            <v>Unknown</v>
          </cell>
          <cell r="D44">
            <v>0</v>
          </cell>
          <cell r="E44" t="str">
            <v>CDV_T72_lys1</v>
          </cell>
          <cell r="F44">
            <v>2</v>
          </cell>
          <cell r="G44">
            <v>40</v>
          </cell>
          <cell r="H44">
            <v>2.2810000000000001</v>
          </cell>
          <cell r="I44">
            <v>1213</v>
          </cell>
          <cell r="J44" t="str">
            <v>-----</v>
          </cell>
          <cell r="K44">
            <v>1.9</v>
          </cell>
          <cell r="L44" t="str">
            <v>-----</v>
          </cell>
          <cell r="M44" t="str">
            <v>-----</v>
          </cell>
          <cell r="N44" t="str">
            <v>-----</v>
          </cell>
          <cell r="O44" t="str">
            <v>-----</v>
          </cell>
          <cell r="P44" t="str">
            <v>Quant.Range(Low)</v>
          </cell>
          <cell r="Q44">
            <v>14.36</v>
          </cell>
          <cell r="R44">
            <v>27.65</v>
          </cell>
          <cell r="S44" t="str">
            <v>-----</v>
          </cell>
          <cell r="T44">
            <v>1</v>
          </cell>
          <cell r="U44">
            <v>751</v>
          </cell>
          <cell r="V44">
            <v>745</v>
          </cell>
          <cell r="W44" t="str">
            <v xml:space="preserve">   </v>
          </cell>
          <cell r="X44">
            <v>43333.776006944441</v>
          </cell>
        </row>
        <row r="45">
          <cell r="B45" t="str">
            <v>201-107_PL13_CDVPP_Lysate_CDV_T72_lys2_CC-004-773_044.lcd</v>
          </cell>
          <cell r="C45" t="str">
            <v>Unknown</v>
          </cell>
          <cell r="D45">
            <v>0</v>
          </cell>
          <cell r="E45" t="str">
            <v>CDV_T72_lys2</v>
          </cell>
          <cell r="F45">
            <v>2</v>
          </cell>
          <cell r="G45">
            <v>41</v>
          </cell>
          <cell r="H45">
            <v>2.2799999999999998</v>
          </cell>
          <cell r="I45">
            <v>1185</v>
          </cell>
          <cell r="J45" t="str">
            <v>-----</v>
          </cell>
          <cell r="K45">
            <v>1.9</v>
          </cell>
          <cell r="L45" t="str">
            <v>-----</v>
          </cell>
          <cell r="M45" t="str">
            <v>-----</v>
          </cell>
          <cell r="N45" t="str">
            <v>-----</v>
          </cell>
          <cell r="O45" t="str">
            <v>-----</v>
          </cell>
          <cell r="P45" t="str">
            <v>Quant.Range(Low)</v>
          </cell>
          <cell r="Q45">
            <v>17.18</v>
          </cell>
          <cell r="R45">
            <v>19.55</v>
          </cell>
          <cell r="S45" t="str">
            <v>-----</v>
          </cell>
          <cell r="T45">
            <v>1</v>
          </cell>
          <cell r="U45">
            <v>684</v>
          </cell>
          <cell r="V45">
            <v>660</v>
          </cell>
          <cell r="W45" t="str">
            <v xml:space="preserve">   </v>
          </cell>
          <cell r="X45">
            <v>43333.779594907406</v>
          </cell>
        </row>
        <row r="46">
          <cell r="B46" t="str">
            <v>201-107_PL13_CDVPP_Lysate_CDV_T72_lys3_CC-004-773_045.lcd</v>
          </cell>
          <cell r="C46" t="str">
            <v>Unknown</v>
          </cell>
          <cell r="D46">
            <v>0</v>
          </cell>
          <cell r="E46" t="str">
            <v>CDV_T72_lys3</v>
          </cell>
          <cell r="F46">
            <v>2</v>
          </cell>
          <cell r="G46">
            <v>42</v>
          </cell>
          <cell r="H46">
            <v>2.2810000000000001</v>
          </cell>
          <cell r="I46">
            <v>1208</v>
          </cell>
          <cell r="J46" t="str">
            <v>-----</v>
          </cell>
          <cell r="K46">
            <v>1.9</v>
          </cell>
          <cell r="L46" t="str">
            <v>-----</v>
          </cell>
          <cell r="M46" t="str">
            <v>-----</v>
          </cell>
          <cell r="N46" t="str">
            <v>-----</v>
          </cell>
          <cell r="O46" t="str">
            <v>-----</v>
          </cell>
          <cell r="P46" t="str">
            <v>Quant.Range(Low)</v>
          </cell>
          <cell r="Q46">
            <v>15.55</v>
          </cell>
          <cell r="R46">
            <v>30.37</v>
          </cell>
          <cell r="S46" t="str">
            <v>-----</v>
          </cell>
          <cell r="T46">
            <v>1</v>
          </cell>
          <cell r="U46">
            <v>682</v>
          </cell>
          <cell r="V46">
            <v>642</v>
          </cell>
          <cell r="W46" t="str">
            <v xml:space="preserve">   </v>
          </cell>
          <cell r="X46">
            <v>43333.783171296294</v>
          </cell>
        </row>
        <row r="48">
          <cell r="B48" t="str">
            <v>201-107_PL13_CDVPP_Lysate_505_T72_lys1_CC-004-773_047.lcd</v>
          </cell>
          <cell r="C48" t="str">
            <v>Unknown</v>
          </cell>
          <cell r="D48">
            <v>0</v>
          </cell>
          <cell r="E48" t="str">
            <v>505_T72_lys1</v>
          </cell>
          <cell r="F48">
            <v>2</v>
          </cell>
          <cell r="G48">
            <v>76</v>
          </cell>
          <cell r="H48">
            <v>2.2909999999999999</v>
          </cell>
          <cell r="I48">
            <v>384010</v>
          </cell>
          <cell r="J48" t="str">
            <v>-----</v>
          </cell>
          <cell r="K48">
            <v>449.5</v>
          </cell>
          <cell r="L48" t="str">
            <v>-----</v>
          </cell>
          <cell r="M48" t="str">
            <v>-----</v>
          </cell>
          <cell r="N48" t="str">
            <v>-----</v>
          </cell>
          <cell r="O48" t="str">
            <v>-----</v>
          </cell>
          <cell r="Q48">
            <v>1162.1300000000001</v>
          </cell>
          <cell r="R48">
            <v>26.2</v>
          </cell>
          <cell r="S48" t="str">
            <v>-----</v>
          </cell>
          <cell r="T48">
            <v>1</v>
          </cell>
          <cell r="U48">
            <v>209415</v>
          </cell>
          <cell r="V48">
            <v>195732</v>
          </cell>
          <cell r="W48" t="str">
            <v xml:space="preserve">   </v>
          </cell>
          <cell r="X48">
            <v>43333.790324074071</v>
          </cell>
        </row>
        <row r="49">
          <cell r="B49" t="str">
            <v>201-107_PL13_CDVPP_Lysate_505_T72_lys2_CC-004-773_048.lcd</v>
          </cell>
          <cell r="C49" t="str">
            <v>Unknown</v>
          </cell>
          <cell r="D49">
            <v>0</v>
          </cell>
          <cell r="E49" t="str">
            <v>505_T72_lys2</v>
          </cell>
          <cell r="F49">
            <v>2</v>
          </cell>
          <cell r="G49">
            <v>77</v>
          </cell>
          <cell r="H49">
            <v>2.2879999999999998</v>
          </cell>
          <cell r="I49">
            <v>373220</v>
          </cell>
          <cell r="J49" t="str">
            <v>-----</v>
          </cell>
          <cell r="K49">
            <v>436.8</v>
          </cell>
          <cell r="L49" t="str">
            <v>-----</v>
          </cell>
          <cell r="M49" t="str">
            <v>-----</v>
          </cell>
          <cell r="N49" t="str">
            <v>-----</v>
          </cell>
          <cell r="O49" t="str">
            <v>-----</v>
          </cell>
          <cell r="Q49">
            <v>1128.18</v>
          </cell>
          <cell r="R49">
            <v>26.94</v>
          </cell>
          <cell r="S49" t="str">
            <v>-----</v>
          </cell>
          <cell r="T49">
            <v>1</v>
          </cell>
          <cell r="U49">
            <v>201922</v>
          </cell>
          <cell r="V49">
            <v>198615</v>
          </cell>
          <cell r="W49" t="str">
            <v xml:space="preserve">   </v>
          </cell>
          <cell r="X49">
            <v>43333.793888888889</v>
          </cell>
        </row>
        <row r="50">
          <cell r="B50" t="str">
            <v>201-107_PL13_CDVPP_Lysate_505_T72_lys3_CC-004-773_049.lcd</v>
          </cell>
          <cell r="C50" t="str">
            <v>Unknown</v>
          </cell>
          <cell r="D50">
            <v>0</v>
          </cell>
          <cell r="E50" t="str">
            <v>505_T72_lys3</v>
          </cell>
          <cell r="F50">
            <v>2</v>
          </cell>
          <cell r="G50">
            <v>78</v>
          </cell>
          <cell r="H50">
            <v>2.2919999999999998</v>
          </cell>
          <cell r="I50">
            <v>358787</v>
          </cell>
          <cell r="J50" t="str">
            <v>-----</v>
          </cell>
          <cell r="K50">
            <v>420</v>
          </cell>
          <cell r="L50" t="str">
            <v>-----</v>
          </cell>
          <cell r="M50" t="str">
            <v>-----</v>
          </cell>
          <cell r="N50" t="str">
            <v>-----</v>
          </cell>
          <cell r="O50" t="str">
            <v>-----</v>
          </cell>
          <cell r="Q50">
            <v>1347.02</v>
          </cell>
          <cell r="R50">
            <v>26.01</v>
          </cell>
          <cell r="S50" t="str">
            <v>-----</v>
          </cell>
          <cell r="T50">
            <v>1</v>
          </cell>
          <cell r="U50">
            <v>189618</v>
          </cell>
          <cell r="V50">
            <v>186756</v>
          </cell>
          <cell r="W50" t="str">
            <v xml:space="preserve">   </v>
          </cell>
          <cell r="X50">
            <v>43333.797465277778</v>
          </cell>
        </row>
        <row r="52">
          <cell r="B52" t="str">
            <v>201-107_PL13_CDVPP_Lysate_CMX_T72_lys1_CC-004-773_051.lcd</v>
          </cell>
          <cell r="C52" t="str">
            <v>Unknown</v>
          </cell>
          <cell r="D52">
            <v>0</v>
          </cell>
          <cell r="E52" t="str">
            <v>CMX_T72_lys1</v>
          </cell>
          <cell r="F52">
            <v>2</v>
          </cell>
          <cell r="G52">
            <v>88</v>
          </cell>
          <cell r="H52">
            <v>2.2930000000000001</v>
          </cell>
          <cell r="I52">
            <v>238904</v>
          </cell>
          <cell r="J52" t="str">
            <v>-----</v>
          </cell>
          <cell r="K52">
            <v>279.8</v>
          </cell>
          <cell r="L52" t="str">
            <v>-----</v>
          </cell>
          <cell r="M52" t="str">
            <v>-----</v>
          </cell>
          <cell r="N52" t="str">
            <v>-----</v>
          </cell>
          <cell r="O52" t="str">
            <v>-----</v>
          </cell>
          <cell r="Q52">
            <v>1662.83</v>
          </cell>
          <cell r="R52">
            <v>26.44</v>
          </cell>
          <cell r="S52" t="str">
            <v>-----</v>
          </cell>
          <cell r="T52">
            <v>1</v>
          </cell>
          <cell r="U52">
            <v>129339</v>
          </cell>
          <cell r="V52">
            <v>127234</v>
          </cell>
          <cell r="W52" t="str">
            <v xml:space="preserve">   </v>
          </cell>
          <cell r="X52">
            <v>43333.804606481484</v>
          </cell>
        </row>
        <row r="53">
          <cell r="B53" t="str">
            <v>201-107_PL13_CDVPP_Lysate_CMX_T72_lys2_CC-004-773_052.lcd</v>
          </cell>
          <cell r="C53" t="str">
            <v>Unknown</v>
          </cell>
          <cell r="D53">
            <v>0</v>
          </cell>
          <cell r="E53" t="str">
            <v>CMX_T72_lys2</v>
          </cell>
          <cell r="F53">
            <v>2</v>
          </cell>
          <cell r="G53">
            <v>89</v>
          </cell>
          <cell r="H53">
            <v>2.294</v>
          </cell>
          <cell r="I53">
            <v>255284</v>
          </cell>
          <cell r="J53" t="str">
            <v>-----</v>
          </cell>
          <cell r="K53">
            <v>299</v>
          </cell>
          <cell r="L53" t="str">
            <v>-----</v>
          </cell>
          <cell r="M53" t="str">
            <v>-----</v>
          </cell>
          <cell r="N53" t="str">
            <v>-----</v>
          </cell>
          <cell r="O53" t="str">
            <v>-----</v>
          </cell>
          <cell r="Q53">
            <v>1356.34</v>
          </cell>
          <cell r="R53">
            <v>25.22</v>
          </cell>
          <cell r="S53" t="str">
            <v>-----</v>
          </cell>
          <cell r="T53">
            <v>1</v>
          </cell>
          <cell r="U53">
            <v>133694</v>
          </cell>
          <cell r="V53">
            <v>131601</v>
          </cell>
          <cell r="W53" t="str">
            <v xml:space="preserve">   </v>
          </cell>
          <cell r="X53">
            <v>43333.808171296296</v>
          </cell>
        </row>
        <row r="54">
          <cell r="B54" t="str">
            <v>201-107_PL13_CDVPP_Lysate_CMX_T72_lys3_CC-004-773_053.lcd</v>
          </cell>
          <cell r="C54" t="str">
            <v>Unknown</v>
          </cell>
          <cell r="D54">
            <v>0</v>
          </cell>
          <cell r="E54" t="str">
            <v>CMX_T72_lys3</v>
          </cell>
          <cell r="F54">
            <v>2</v>
          </cell>
          <cell r="G54">
            <v>90</v>
          </cell>
          <cell r="H54">
            <v>2.298</v>
          </cell>
          <cell r="I54">
            <v>249487</v>
          </cell>
          <cell r="J54" t="str">
            <v>-----</v>
          </cell>
          <cell r="K54">
            <v>292.2</v>
          </cell>
          <cell r="L54" t="str">
            <v>-----</v>
          </cell>
          <cell r="M54" t="str">
            <v>-----</v>
          </cell>
          <cell r="N54" t="str">
            <v>-----</v>
          </cell>
          <cell r="O54" t="str">
            <v>-----</v>
          </cell>
          <cell r="Q54">
            <v>1086.53</v>
          </cell>
          <cell r="R54">
            <v>27.16</v>
          </cell>
          <cell r="S54" t="str">
            <v>-----</v>
          </cell>
          <cell r="T54">
            <v>1</v>
          </cell>
          <cell r="U54">
            <v>132401</v>
          </cell>
          <cell r="V54">
            <v>130365</v>
          </cell>
          <cell r="W54" t="str">
            <v xml:space="preserve">   </v>
          </cell>
          <cell r="X54">
            <v>43333.811747685184</v>
          </cell>
        </row>
      </sheetData>
      <sheetData sheetId="9">
        <row r="32">
          <cell r="B32" t="str">
            <v>201-107_PL14_CDV_505_T72_lys1_CC-004-776_031.lcd</v>
          </cell>
          <cell r="C32" t="str">
            <v>Unknown</v>
          </cell>
          <cell r="D32">
            <v>0</v>
          </cell>
          <cell r="E32" t="str">
            <v>505_T72_lys1</v>
          </cell>
          <cell r="F32">
            <v>2</v>
          </cell>
          <cell r="G32">
            <v>25</v>
          </cell>
          <cell r="H32">
            <v>1.262</v>
          </cell>
          <cell r="I32">
            <v>32635</v>
          </cell>
          <cell r="J32" t="str">
            <v>-----</v>
          </cell>
          <cell r="K32">
            <v>456.4</v>
          </cell>
          <cell r="L32" t="str">
            <v>-----</v>
          </cell>
          <cell r="M32" t="str">
            <v>-----</v>
          </cell>
          <cell r="N32" t="str">
            <v>-----</v>
          </cell>
          <cell r="O32" t="str">
            <v>-----</v>
          </cell>
          <cell r="Q32">
            <v>14.48</v>
          </cell>
          <cell r="R32">
            <v>35.65</v>
          </cell>
          <cell r="S32" t="str">
            <v>-----</v>
          </cell>
          <cell r="T32">
            <v>1</v>
          </cell>
          <cell r="U32">
            <v>14061</v>
          </cell>
          <cell r="V32">
            <v>14372</v>
          </cell>
          <cell r="W32" t="str">
            <v xml:space="preserve">   </v>
          </cell>
          <cell r="X32">
            <v>43335.255578703705</v>
          </cell>
        </row>
        <row r="33">
          <cell r="B33" t="str">
            <v>201-107_PL14_CDV_505_T72_lys2_CC-004-776_032.lcd</v>
          </cell>
          <cell r="C33" t="str">
            <v>Unknown</v>
          </cell>
          <cell r="D33">
            <v>0</v>
          </cell>
          <cell r="E33" t="str">
            <v>505_T72_lys2</v>
          </cell>
          <cell r="F33">
            <v>2</v>
          </cell>
          <cell r="G33">
            <v>26</v>
          </cell>
          <cell r="H33">
            <v>1.248</v>
          </cell>
          <cell r="I33">
            <v>27547</v>
          </cell>
          <cell r="J33" t="str">
            <v>-----</v>
          </cell>
          <cell r="K33">
            <v>385.1</v>
          </cell>
          <cell r="L33" t="str">
            <v>-----</v>
          </cell>
          <cell r="M33" t="str">
            <v>-----</v>
          </cell>
          <cell r="N33" t="str">
            <v>-----</v>
          </cell>
          <cell r="O33" t="str">
            <v>-----</v>
          </cell>
          <cell r="Q33">
            <v>35.53</v>
          </cell>
          <cell r="R33">
            <v>31</v>
          </cell>
          <cell r="S33" t="str">
            <v>-----</v>
          </cell>
          <cell r="T33">
            <v>1</v>
          </cell>
          <cell r="U33">
            <v>13757</v>
          </cell>
          <cell r="V33">
            <v>13866</v>
          </cell>
          <cell r="W33" t="str">
            <v xml:space="preserve">   </v>
          </cell>
          <cell r="X33">
            <v>43335.258020833331</v>
          </cell>
        </row>
        <row r="34">
          <cell r="B34" t="str">
            <v>201-107_PL14_CDV_505_T72_lys3_CC-004-776_033.lcd</v>
          </cell>
          <cell r="C34" t="str">
            <v>Unknown</v>
          </cell>
          <cell r="D34">
            <v>0</v>
          </cell>
          <cell r="E34" t="str">
            <v>505_T72_lys3</v>
          </cell>
          <cell r="F34">
            <v>2</v>
          </cell>
          <cell r="G34">
            <v>27</v>
          </cell>
          <cell r="H34">
            <v>1.2450000000000001</v>
          </cell>
          <cell r="I34">
            <v>19812</v>
          </cell>
          <cell r="J34" t="str">
            <v>-----</v>
          </cell>
          <cell r="K34">
            <v>276.7</v>
          </cell>
          <cell r="L34" t="str">
            <v>-----</v>
          </cell>
          <cell r="M34" t="str">
            <v>-----</v>
          </cell>
          <cell r="N34" t="str">
            <v>-----</v>
          </cell>
          <cell r="O34" t="str">
            <v>-----</v>
          </cell>
          <cell r="Q34">
            <v>26.48</v>
          </cell>
          <cell r="R34">
            <v>34.89</v>
          </cell>
          <cell r="S34" t="str">
            <v>-----</v>
          </cell>
          <cell r="T34">
            <v>1</v>
          </cell>
          <cell r="U34">
            <v>9749</v>
          </cell>
          <cell r="V34">
            <v>9716</v>
          </cell>
          <cell r="W34" t="str">
            <v xml:space="preserve">   </v>
          </cell>
          <cell r="X34">
            <v>43335.260474537034</v>
          </cell>
        </row>
        <row r="36">
          <cell r="B36" t="str">
            <v>201-107_PL14_CDV_CMX_T72_lys1_CC-004-777_035.lcd</v>
          </cell>
          <cell r="C36" t="str">
            <v>Unknown</v>
          </cell>
          <cell r="D36">
            <v>0</v>
          </cell>
          <cell r="E36" t="str">
            <v>CMX_T72_lys1</v>
          </cell>
          <cell r="F36">
            <v>2</v>
          </cell>
          <cell r="G36">
            <v>73</v>
          </cell>
          <cell r="H36">
            <v>1.246</v>
          </cell>
          <cell r="I36">
            <v>29661</v>
          </cell>
          <cell r="J36" t="str">
            <v>-----</v>
          </cell>
          <cell r="K36">
            <v>414.7</v>
          </cell>
          <cell r="L36" t="str">
            <v>-----</v>
          </cell>
          <cell r="M36" t="str">
            <v>-----</v>
          </cell>
          <cell r="N36" t="str">
            <v>-----</v>
          </cell>
          <cell r="O36" t="str">
            <v>-----</v>
          </cell>
          <cell r="Q36">
            <v>29.39</v>
          </cell>
          <cell r="R36">
            <v>37.58</v>
          </cell>
          <cell r="S36" t="str">
            <v>-----</v>
          </cell>
          <cell r="T36">
            <v>1</v>
          </cell>
          <cell r="U36">
            <v>14968</v>
          </cell>
          <cell r="V36">
            <v>15412</v>
          </cell>
          <cell r="W36" t="str">
            <v xml:space="preserve">   </v>
          </cell>
          <cell r="X36">
            <v>43335.265335648146</v>
          </cell>
        </row>
        <row r="37">
          <cell r="B37" t="str">
            <v>201-107_PL14_CDV_CMX_T72_lys2_CC-004-777_036.lcd</v>
          </cell>
          <cell r="C37" t="str">
            <v>Unknown</v>
          </cell>
          <cell r="D37">
            <v>0</v>
          </cell>
          <cell r="E37" t="str">
            <v>CMX_T72_lys2</v>
          </cell>
          <cell r="F37">
            <v>2</v>
          </cell>
          <cell r="G37">
            <v>74</v>
          </cell>
          <cell r="H37">
            <v>1.2410000000000001</v>
          </cell>
          <cell r="I37">
            <v>17534</v>
          </cell>
          <cell r="J37" t="str">
            <v>-----</v>
          </cell>
          <cell r="K37">
            <v>244.8</v>
          </cell>
          <cell r="L37" t="str">
            <v>-----</v>
          </cell>
          <cell r="M37" t="str">
            <v>-----</v>
          </cell>
          <cell r="N37" t="str">
            <v>-----</v>
          </cell>
          <cell r="O37" t="str">
            <v>-----</v>
          </cell>
          <cell r="Q37">
            <v>26.04</v>
          </cell>
          <cell r="R37">
            <v>36.65</v>
          </cell>
          <cell r="S37" t="str">
            <v>-----</v>
          </cell>
          <cell r="T37">
            <v>1</v>
          </cell>
          <cell r="U37">
            <v>9586</v>
          </cell>
          <cell r="V37">
            <v>9704</v>
          </cell>
          <cell r="W37" t="str">
            <v xml:space="preserve">   </v>
          </cell>
          <cell r="X37">
            <v>43335.267789351848</v>
          </cell>
        </row>
        <row r="38">
          <cell r="B38" t="str">
            <v>201-107_PL14_CDV_CMX_T72_lys3_CC-004-777_037.lcd</v>
          </cell>
          <cell r="C38" t="str">
            <v>Unknown</v>
          </cell>
          <cell r="D38">
            <v>0</v>
          </cell>
          <cell r="E38" t="str">
            <v>CMX_T72_lys3</v>
          </cell>
          <cell r="F38">
            <v>2</v>
          </cell>
          <cell r="G38">
            <v>75</v>
          </cell>
          <cell r="H38">
            <v>1.2450000000000001</v>
          </cell>
          <cell r="I38">
            <v>23422</v>
          </cell>
          <cell r="J38" t="str">
            <v>-----</v>
          </cell>
          <cell r="K38">
            <v>327.3</v>
          </cell>
          <cell r="L38" t="str">
            <v>-----</v>
          </cell>
          <cell r="M38" t="str">
            <v>-----</v>
          </cell>
          <cell r="N38" t="str">
            <v>-----</v>
          </cell>
          <cell r="O38" t="str">
            <v>-----</v>
          </cell>
          <cell r="Q38">
            <v>34.299999999999997</v>
          </cell>
          <cell r="R38">
            <v>43.47</v>
          </cell>
          <cell r="S38" t="str">
            <v>-----</v>
          </cell>
          <cell r="T38">
            <v>1</v>
          </cell>
          <cell r="U38">
            <v>11785</v>
          </cell>
          <cell r="V38">
            <v>11709</v>
          </cell>
          <cell r="W38" t="str">
            <v xml:space="preserve">   </v>
          </cell>
          <cell r="X38">
            <v>43335.270219907405</v>
          </cell>
        </row>
      </sheetData>
      <sheetData sheetId="10">
        <row r="32">
          <cell r="B32" t="str">
            <v>201-107_PL14_CMX_CMX_T72_lys1_CC-004-777_031.lcd</v>
          </cell>
          <cell r="C32" t="str">
            <v>Unknown</v>
          </cell>
          <cell r="D32">
            <v>0</v>
          </cell>
          <cell r="E32" t="str">
            <v>CMX_T72_lys1</v>
          </cell>
          <cell r="F32">
            <v>2</v>
          </cell>
          <cell r="G32">
            <v>73</v>
          </cell>
          <cell r="H32">
            <v>1.075</v>
          </cell>
          <cell r="I32">
            <v>27616578</v>
          </cell>
          <cell r="J32" t="str">
            <v>-----</v>
          </cell>
          <cell r="K32">
            <v>1588.6</v>
          </cell>
          <cell r="L32" t="str">
            <v>-----</v>
          </cell>
          <cell r="M32" t="str">
            <v>-----</v>
          </cell>
          <cell r="N32" t="str">
            <v>-----</v>
          </cell>
          <cell r="O32" t="str">
            <v>-----</v>
          </cell>
          <cell r="Q32">
            <v>398.04</v>
          </cell>
          <cell r="R32">
            <v>60.67</v>
          </cell>
          <cell r="S32">
            <v>59.78</v>
          </cell>
          <cell r="T32">
            <v>1</v>
          </cell>
          <cell r="U32">
            <v>11770662</v>
          </cell>
          <cell r="V32">
            <v>11538061</v>
          </cell>
          <cell r="W32" t="str">
            <v xml:space="preserve">   </v>
          </cell>
          <cell r="X32">
            <v>43335.127280092594</v>
          </cell>
        </row>
        <row r="33">
          <cell r="B33" t="str">
            <v>201-107_PL14_CMX_CMX_T72_lys2_CC-004-777_032.lcd</v>
          </cell>
          <cell r="C33" t="str">
            <v>Unknown</v>
          </cell>
          <cell r="D33">
            <v>0</v>
          </cell>
          <cell r="E33" t="str">
            <v>CMX_T72_lys2</v>
          </cell>
          <cell r="F33">
            <v>2</v>
          </cell>
          <cell r="G33">
            <v>74</v>
          </cell>
          <cell r="H33">
            <v>1.075</v>
          </cell>
          <cell r="I33">
            <v>27983000</v>
          </cell>
          <cell r="J33" t="str">
            <v>-----</v>
          </cell>
          <cell r="K33">
            <v>1609.7</v>
          </cell>
          <cell r="L33" t="str">
            <v>-----</v>
          </cell>
          <cell r="M33" t="str">
            <v>-----</v>
          </cell>
          <cell r="N33" t="str">
            <v>-----</v>
          </cell>
          <cell r="O33" t="str">
            <v>-----</v>
          </cell>
          <cell r="Q33">
            <v>451.39</v>
          </cell>
          <cell r="R33">
            <v>59.46</v>
          </cell>
          <cell r="S33">
            <v>58.31</v>
          </cell>
          <cell r="T33">
            <v>1</v>
          </cell>
          <cell r="U33">
            <v>11893454</v>
          </cell>
          <cell r="V33">
            <v>11657413</v>
          </cell>
          <cell r="W33" t="str">
            <v xml:space="preserve">   </v>
          </cell>
          <cell r="X33">
            <v>43335.12972222222</v>
          </cell>
        </row>
        <row r="34">
          <cell r="B34" t="str">
            <v>201-107_PL14_CMX_CMX_T72_lys3_CC-004-777_033.lcd</v>
          </cell>
          <cell r="C34" t="str">
            <v>Unknown</v>
          </cell>
          <cell r="D34">
            <v>0</v>
          </cell>
          <cell r="E34" t="str">
            <v>CMX_T72_lys3</v>
          </cell>
          <cell r="F34">
            <v>2</v>
          </cell>
          <cell r="G34">
            <v>75</v>
          </cell>
          <cell r="H34">
            <v>1.075</v>
          </cell>
          <cell r="I34">
            <v>27311754</v>
          </cell>
          <cell r="J34" t="str">
            <v>-----</v>
          </cell>
          <cell r="K34">
            <v>1571.1</v>
          </cell>
          <cell r="L34" t="str">
            <v>-----</v>
          </cell>
          <cell r="M34" t="str">
            <v>-----</v>
          </cell>
          <cell r="N34" t="str">
            <v>-----</v>
          </cell>
          <cell r="O34" t="str">
            <v>-----</v>
          </cell>
          <cell r="Q34">
            <v>443.65</v>
          </cell>
          <cell r="R34">
            <v>59.7</v>
          </cell>
          <cell r="S34">
            <v>57.52</v>
          </cell>
          <cell r="T34">
            <v>1</v>
          </cell>
          <cell r="U34">
            <v>11502591</v>
          </cell>
          <cell r="V34">
            <v>11281571</v>
          </cell>
          <cell r="W34" t="str">
            <v xml:space="preserve">   </v>
          </cell>
          <cell r="X34">
            <v>43335.132141203707</v>
          </cell>
        </row>
      </sheetData>
      <sheetData sheetId="11">
        <row r="31">
          <cell r="B31" t="str">
            <v>201-107_PL14_CMX_CMX_T0_ds1_CC-004-775_030.lcd</v>
          </cell>
          <cell r="C31" t="str">
            <v>Unknown</v>
          </cell>
          <cell r="D31">
            <v>0</v>
          </cell>
          <cell r="E31" t="str">
            <v>CMX_T0_ds1</v>
          </cell>
          <cell r="F31">
            <v>1</v>
          </cell>
          <cell r="G31">
            <v>73</v>
          </cell>
          <cell r="H31">
            <v>1.07</v>
          </cell>
          <cell r="I31">
            <v>4166485</v>
          </cell>
          <cell r="J31" t="str">
            <v>-----</v>
          </cell>
          <cell r="K31">
            <v>957</v>
          </cell>
          <cell r="L31" t="str">
            <v>-----</v>
          </cell>
          <cell r="M31" t="str">
            <v>-----</v>
          </cell>
          <cell r="N31" t="str">
            <v>-----</v>
          </cell>
          <cell r="O31" t="str">
            <v>-----</v>
          </cell>
          <cell r="Q31">
            <v>198.74</v>
          </cell>
          <cell r="R31">
            <v>61.09</v>
          </cell>
          <cell r="S31">
            <v>60.06</v>
          </cell>
          <cell r="T31">
            <v>1</v>
          </cell>
          <cell r="U31">
            <v>1531186</v>
          </cell>
          <cell r="V31">
            <v>1507909</v>
          </cell>
          <cell r="W31" t="str">
            <v xml:space="preserve">   </v>
          </cell>
          <cell r="X31">
            <v>43334.976273148146</v>
          </cell>
        </row>
        <row r="32">
          <cell r="B32" t="str">
            <v>201-107_PL14_CMX_CMX_T0_ds2_CC-004-775_031.lcd</v>
          </cell>
          <cell r="C32" t="str">
            <v>Unknown</v>
          </cell>
          <cell r="D32">
            <v>0</v>
          </cell>
          <cell r="E32" t="str">
            <v>CMX_T0_ds2</v>
          </cell>
          <cell r="F32">
            <v>1</v>
          </cell>
          <cell r="G32">
            <v>74</v>
          </cell>
          <cell r="H32">
            <v>1.0680000000000001</v>
          </cell>
          <cell r="I32">
            <v>4408826</v>
          </cell>
          <cell r="J32" t="str">
            <v>-----</v>
          </cell>
          <cell r="K32">
            <v>1012.7</v>
          </cell>
          <cell r="L32" t="str">
            <v>-----</v>
          </cell>
          <cell r="M32" t="str">
            <v>-----</v>
          </cell>
          <cell r="N32" t="str">
            <v>-----</v>
          </cell>
          <cell r="O32" t="str">
            <v>-----</v>
          </cell>
          <cell r="Q32">
            <v>204.88</v>
          </cell>
          <cell r="R32">
            <v>60.02</v>
          </cell>
          <cell r="S32">
            <v>58.58</v>
          </cell>
          <cell r="T32">
            <v>1</v>
          </cell>
          <cell r="U32">
            <v>1626111</v>
          </cell>
          <cell r="V32">
            <v>1602053</v>
          </cell>
          <cell r="W32" t="str">
            <v xml:space="preserve">   </v>
          </cell>
          <cell r="X32">
            <v>43334.978715277779</v>
          </cell>
        </row>
        <row r="33">
          <cell r="B33" t="str">
            <v>201-107_PL14_CMX_CMX_T0_ds3_CC-004-775_032.lcd</v>
          </cell>
          <cell r="C33" t="str">
            <v>Unknown</v>
          </cell>
          <cell r="D33">
            <v>0</v>
          </cell>
          <cell r="E33" t="str">
            <v>CMX_T0_ds3</v>
          </cell>
          <cell r="F33">
            <v>1</v>
          </cell>
          <cell r="G33">
            <v>75</v>
          </cell>
          <cell r="H33">
            <v>1.069</v>
          </cell>
          <cell r="I33">
            <v>4221445</v>
          </cell>
          <cell r="J33" t="str">
            <v>-----</v>
          </cell>
          <cell r="K33">
            <v>969.7</v>
          </cell>
          <cell r="L33" t="str">
            <v>-----</v>
          </cell>
          <cell r="M33" t="str">
            <v>-----</v>
          </cell>
          <cell r="N33" t="str">
            <v>-----</v>
          </cell>
          <cell r="O33" t="str">
            <v>-----</v>
          </cell>
          <cell r="Q33">
            <v>196.3</v>
          </cell>
          <cell r="R33">
            <v>60.03</v>
          </cell>
          <cell r="S33">
            <v>59.1</v>
          </cell>
          <cell r="T33">
            <v>1</v>
          </cell>
          <cell r="U33">
            <v>1532577</v>
          </cell>
          <cell r="V33">
            <v>1511139</v>
          </cell>
          <cell r="W33" t="str">
            <v xml:space="preserve">   </v>
          </cell>
          <cell r="X33">
            <v>43334.981157407405</v>
          </cell>
        </row>
        <row r="36">
          <cell r="B36" t="str">
            <v>201-107_PL14_CMX_CMX_T72_ds1_CC-004-775_035.lcd</v>
          </cell>
          <cell r="C36" t="str">
            <v>Unknown</v>
          </cell>
          <cell r="D36">
            <v>0</v>
          </cell>
          <cell r="E36" t="str">
            <v>CMX_T72_ds1</v>
          </cell>
          <cell r="F36">
            <v>1</v>
          </cell>
          <cell r="G36">
            <v>76</v>
          </cell>
          <cell r="H36">
            <v>1.069</v>
          </cell>
          <cell r="I36">
            <v>3863279</v>
          </cell>
          <cell r="J36" t="str">
            <v>-----</v>
          </cell>
          <cell r="K36">
            <v>887.3</v>
          </cell>
          <cell r="L36" t="str">
            <v>-----</v>
          </cell>
          <cell r="M36" t="str">
            <v>-----</v>
          </cell>
          <cell r="N36" t="str">
            <v>-----</v>
          </cell>
          <cell r="O36" t="str">
            <v>-----</v>
          </cell>
          <cell r="Q36">
            <v>241.34</v>
          </cell>
          <cell r="R36">
            <v>60.09</v>
          </cell>
          <cell r="S36">
            <v>57.66</v>
          </cell>
          <cell r="T36">
            <v>1</v>
          </cell>
          <cell r="U36">
            <v>1398064</v>
          </cell>
          <cell r="V36">
            <v>1377543</v>
          </cell>
          <cell r="W36" t="str">
            <v xml:space="preserve">   </v>
          </cell>
          <cell r="X36">
            <v>43334.98847222222</v>
          </cell>
        </row>
        <row r="37">
          <cell r="B37" t="str">
            <v>201-107_PL14_CMX_CMX_T72_ds2_CC-004-775_036.lcd</v>
          </cell>
          <cell r="C37" t="str">
            <v>Unknown</v>
          </cell>
          <cell r="D37">
            <v>0</v>
          </cell>
          <cell r="E37" t="str">
            <v>CMX_T72_ds2</v>
          </cell>
          <cell r="F37">
            <v>1</v>
          </cell>
          <cell r="G37">
            <v>77</v>
          </cell>
          <cell r="H37">
            <v>1.0680000000000001</v>
          </cell>
          <cell r="I37">
            <v>3778715</v>
          </cell>
          <cell r="J37" t="str">
            <v>-----</v>
          </cell>
          <cell r="K37">
            <v>867.9</v>
          </cell>
          <cell r="L37" t="str">
            <v>-----</v>
          </cell>
          <cell r="M37" t="str">
            <v>-----</v>
          </cell>
          <cell r="N37" t="str">
            <v>-----</v>
          </cell>
          <cell r="O37" t="str">
            <v>-----</v>
          </cell>
          <cell r="Q37">
            <v>230.36</v>
          </cell>
          <cell r="R37">
            <v>60.11</v>
          </cell>
          <cell r="S37">
            <v>57.38</v>
          </cell>
          <cell r="T37">
            <v>1</v>
          </cell>
          <cell r="U37">
            <v>1327885</v>
          </cell>
          <cell r="V37">
            <v>1310375</v>
          </cell>
          <cell r="W37" t="str">
            <v xml:space="preserve">   </v>
          </cell>
          <cell r="X37">
            <v>43334.990914351853</v>
          </cell>
        </row>
        <row r="38">
          <cell r="B38" t="str">
            <v>201-107_PL14_CMX_CMX_T72_ds3_CC-004-775_037.lcd</v>
          </cell>
          <cell r="C38" t="str">
            <v>Unknown</v>
          </cell>
          <cell r="D38">
            <v>0</v>
          </cell>
          <cell r="E38" t="str">
            <v>CMX_T72_ds3</v>
          </cell>
          <cell r="F38">
            <v>1</v>
          </cell>
          <cell r="G38">
            <v>78</v>
          </cell>
          <cell r="H38">
            <v>1.0669999999999999</v>
          </cell>
          <cell r="I38">
            <v>3689541</v>
          </cell>
          <cell r="J38" t="str">
            <v>-----</v>
          </cell>
          <cell r="K38">
            <v>847.4</v>
          </cell>
          <cell r="L38" t="str">
            <v>-----</v>
          </cell>
          <cell r="M38" t="str">
            <v>-----</v>
          </cell>
          <cell r="N38" t="str">
            <v>-----</v>
          </cell>
          <cell r="O38" t="str">
            <v>-----</v>
          </cell>
          <cell r="Q38">
            <v>231.77</v>
          </cell>
          <cell r="R38">
            <v>60.39</v>
          </cell>
          <cell r="S38">
            <v>59.54</v>
          </cell>
          <cell r="T38">
            <v>1</v>
          </cell>
          <cell r="U38">
            <v>1274426</v>
          </cell>
          <cell r="V38">
            <v>1256414</v>
          </cell>
          <cell r="W38" t="str">
            <v xml:space="preserve">   </v>
          </cell>
          <cell r="X38">
            <v>43334.993344907409</v>
          </cell>
        </row>
        <row r="41">
          <cell r="B41" t="str">
            <v>201-107_PL14_CMX_CMX_T72_med1_CC-004-775_040.lcd</v>
          </cell>
          <cell r="C41" t="str">
            <v>Unknown</v>
          </cell>
          <cell r="D41">
            <v>0</v>
          </cell>
          <cell r="E41" t="str">
            <v>CMX_T72_med1</v>
          </cell>
          <cell r="F41">
            <v>1</v>
          </cell>
          <cell r="G41">
            <v>79</v>
          </cell>
          <cell r="H41">
            <v>1.0660000000000001</v>
          </cell>
          <cell r="I41">
            <v>2273091</v>
          </cell>
          <cell r="J41" t="str">
            <v>-----</v>
          </cell>
          <cell r="K41">
            <v>521.79999999999995</v>
          </cell>
          <cell r="L41" t="str">
            <v>-----</v>
          </cell>
          <cell r="M41" t="str">
            <v>-----</v>
          </cell>
          <cell r="N41" t="str">
            <v>-----</v>
          </cell>
          <cell r="O41" t="str">
            <v>-----</v>
          </cell>
          <cell r="Q41">
            <v>203.89</v>
          </cell>
          <cell r="R41">
            <v>61.48</v>
          </cell>
          <cell r="S41">
            <v>61.42</v>
          </cell>
          <cell r="T41">
            <v>1</v>
          </cell>
          <cell r="U41">
            <v>781536</v>
          </cell>
          <cell r="V41">
            <v>771294</v>
          </cell>
          <cell r="W41" t="str">
            <v xml:space="preserve">   </v>
          </cell>
          <cell r="X41">
            <v>43335.000752314816</v>
          </cell>
        </row>
        <row r="42">
          <cell r="B42" t="str">
            <v>201-107_PL14_CMX_CMX_T72_med1_CC-004-775_041.lcd</v>
          </cell>
          <cell r="C42" t="str">
            <v>Unknown</v>
          </cell>
          <cell r="D42">
            <v>0</v>
          </cell>
          <cell r="E42" t="str">
            <v>CMX_T72_med1</v>
          </cell>
          <cell r="F42">
            <v>1</v>
          </cell>
          <cell r="G42">
            <v>80</v>
          </cell>
          <cell r="H42">
            <v>1.0680000000000001</v>
          </cell>
          <cell r="I42">
            <v>2527098</v>
          </cell>
          <cell r="J42" t="str">
            <v>-----</v>
          </cell>
          <cell r="K42">
            <v>580.20000000000005</v>
          </cell>
          <cell r="L42" t="str">
            <v>-----</v>
          </cell>
          <cell r="M42" t="str">
            <v>-----</v>
          </cell>
          <cell r="N42" t="str">
            <v>-----</v>
          </cell>
          <cell r="O42" t="str">
            <v>-----</v>
          </cell>
          <cell r="Q42">
            <v>227.75</v>
          </cell>
          <cell r="R42">
            <v>59.94</v>
          </cell>
          <cell r="S42">
            <v>58.01</v>
          </cell>
          <cell r="T42">
            <v>1</v>
          </cell>
          <cell r="U42">
            <v>896535</v>
          </cell>
          <cell r="V42">
            <v>884093</v>
          </cell>
          <cell r="W42" t="str">
            <v xml:space="preserve">   </v>
          </cell>
          <cell r="X42">
            <v>43335.003194444442</v>
          </cell>
        </row>
        <row r="43">
          <cell r="B43" t="str">
            <v>201-107_PL14_CMX_CMX_T72_med1_CC-004-775_042.lcd</v>
          </cell>
          <cell r="C43" t="str">
            <v>Unknown</v>
          </cell>
          <cell r="D43">
            <v>0</v>
          </cell>
          <cell r="E43" t="str">
            <v>CMX_T72_med1</v>
          </cell>
          <cell r="F43">
            <v>1</v>
          </cell>
          <cell r="G43">
            <v>81</v>
          </cell>
          <cell r="H43">
            <v>1.0680000000000001</v>
          </cell>
          <cell r="I43">
            <v>2118157</v>
          </cell>
          <cell r="J43" t="str">
            <v>-----</v>
          </cell>
          <cell r="K43">
            <v>486.1</v>
          </cell>
          <cell r="L43" t="str">
            <v>-----</v>
          </cell>
          <cell r="M43" t="str">
            <v>-----</v>
          </cell>
          <cell r="N43" t="str">
            <v>-----</v>
          </cell>
          <cell r="O43" t="str">
            <v>-----</v>
          </cell>
          <cell r="Q43">
            <v>223.66</v>
          </cell>
          <cell r="R43">
            <v>59.4</v>
          </cell>
          <cell r="S43">
            <v>58.2</v>
          </cell>
          <cell r="T43">
            <v>1</v>
          </cell>
          <cell r="U43">
            <v>762033</v>
          </cell>
          <cell r="V43">
            <v>751952</v>
          </cell>
          <cell r="W43" t="str">
            <v xml:space="preserve">   </v>
          </cell>
          <cell r="X43">
            <v>43335.005648148152</v>
          </cell>
        </row>
      </sheetData>
      <sheetData sheetId="12">
        <row r="32">
          <cell r="B32" t="str">
            <v>201-107_PL14_505_505_T72_lys1_CC-004-776_031.lcd</v>
          </cell>
          <cell r="C32" t="str">
            <v>Unknown</v>
          </cell>
          <cell r="D32">
            <v>0</v>
          </cell>
          <cell r="E32" t="str">
            <v>505_T72_lys1</v>
          </cell>
          <cell r="F32">
            <v>2</v>
          </cell>
          <cell r="G32">
            <v>25</v>
          </cell>
          <cell r="H32">
            <v>0.89600000000000002</v>
          </cell>
          <cell r="I32">
            <v>1696716</v>
          </cell>
          <cell r="J32" t="str">
            <v>-----</v>
          </cell>
          <cell r="K32">
            <v>695.5</v>
          </cell>
          <cell r="L32" t="str">
            <v>-----</v>
          </cell>
          <cell r="M32" t="str">
            <v>-----</v>
          </cell>
          <cell r="N32" t="str">
            <v>-----</v>
          </cell>
          <cell r="O32" t="str">
            <v>-----</v>
          </cell>
          <cell r="Q32" t="str">
            <v>-----</v>
          </cell>
          <cell r="R32">
            <v>55.42</v>
          </cell>
          <cell r="S32" t="str">
            <v>-----</v>
          </cell>
          <cell r="T32">
            <v>1</v>
          </cell>
          <cell r="U32">
            <v>591260</v>
          </cell>
          <cell r="V32">
            <v>577301</v>
          </cell>
          <cell r="W32" t="str">
            <v xml:space="preserve">   </v>
          </cell>
          <cell r="X32">
            <v>43334.850659722222</v>
          </cell>
        </row>
        <row r="33">
          <cell r="B33" t="str">
            <v>201-107_PL14_505_505_T72_lys2_CC-004-776_032.lcd</v>
          </cell>
          <cell r="C33" t="str">
            <v>Unknown</v>
          </cell>
          <cell r="D33">
            <v>0</v>
          </cell>
          <cell r="E33" t="str">
            <v>505_T72_lys2</v>
          </cell>
          <cell r="F33">
            <v>2</v>
          </cell>
          <cell r="G33">
            <v>26</v>
          </cell>
          <cell r="H33">
            <v>0.89600000000000002</v>
          </cell>
          <cell r="I33">
            <v>1455789</v>
          </cell>
          <cell r="J33" t="str">
            <v>-----</v>
          </cell>
          <cell r="K33">
            <v>596.79999999999995</v>
          </cell>
          <cell r="L33" t="str">
            <v>-----</v>
          </cell>
          <cell r="M33" t="str">
            <v>-----</v>
          </cell>
          <cell r="N33" t="str">
            <v>-----</v>
          </cell>
          <cell r="O33" t="str">
            <v>-----</v>
          </cell>
          <cell r="Q33" t="str">
            <v>-----</v>
          </cell>
          <cell r="R33">
            <v>57.19</v>
          </cell>
          <cell r="S33" t="str">
            <v>-----</v>
          </cell>
          <cell r="T33">
            <v>1</v>
          </cell>
          <cell r="U33">
            <v>497411</v>
          </cell>
          <cell r="V33">
            <v>484593</v>
          </cell>
          <cell r="W33" t="str">
            <v xml:space="preserve">   </v>
          </cell>
          <cell r="X33">
            <v>43334.853125000001</v>
          </cell>
        </row>
        <row r="34">
          <cell r="B34" t="str">
            <v>201-107_PL14_505_505_T72_lys3_CC-004-776_033.lcd</v>
          </cell>
          <cell r="C34" t="str">
            <v>Unknown</v>
          </cell>
          <cell r="D34">
            <v>0</v>
          </cell>
          <cell r="E34" t="str">
            <v>505_T72_lys3</v>
          </cell>
          <cell r="F34">
            <v>2</v>
          </cell>
          <cell r="G34">
            <v>27</v>
          </cell>
          <cell r="H34">
            <v>0.89700000000000002</v>
          </cell>
          <cell r="I34">
            <v>1306850</v>
          </cell>
          <cell r="J34" t="str">
            <v>-----</v>
          </cell>
          <cell r="K34">
            <v>535.70000000000005</v>
          </cell>
          <cell r="L34" t="str">
            <v>-----</v>
          </cell>
          <cell r="M34" t="str">
            <v>-----</v>
          </cell>
          <cell r="N34" t="str">
            <v>-----</v>
          </cell>
          <cell r="O34" t="str">
            <v>-----</v>
          </cell>
          <cell r="Q34" t="str">
            <v>-----</v>
          </cell>
          <cell r="R34">
            <v>55.32</v>
          </cell>
          <cell r="S34" t="str">
            <v>-----</v>
          </cell>
          <cell r="T34">
            <v>1</v>
          </cell>
          <cell r="U34">
            <v>453731</v>
          </cell>
          <cell r="V34">
            <v>436383</v>
          </cell>
          <cell r="W34" t="str">
            <v xml:space="preserve">   </v>
          </cell>
          <cell r="X34">
            <v>43334.855567129627</v>
          </cell>
        </row>
      </sheetData>
      <sheetData sheetId="13">
        <row r="2">
          <cell r="B2" t="str">
            <v>201-107_PL14_CDV_505_T0_ds1_CC-004-778_079.lcd</v>
          </cell>
          <cell r="C2" t="str">
            <v>Unknown</v>
          </cell>
          <cell r="D2">
            <v>0</v>
          </cell>
          <cell r="E2" t="str">
            <v>505_T0_ds1</v>
          </cell>
          <cell r="F2">
            <v>1</v>
          </cell>
          <cell r="G2">
            <v>43</v>
          </cell>
          <cell r="H2" t="str">
            <v>-----</v>
          </cell>
          <cell r="I2">
            <v>405</v>
          </cell>
          <cell r="J2" t="str">
            <v>-----</v>
          </cell>
          <cell r="K2" t="str">
            <v>-----</v>
          </cell>
          <cell r="L2" t="str">
            <v>-----</v>
          </cell>
          <cell r="M2" t="str">
            <v>-----</v>
          </cell>
          <cell r="N2" t="str">
            <v>-----</v>
          </cell>
          <cell r="O2" t="str">
            <v>-----</v>
          </cell>
          <cell r="Q2" t="str">
            <v>-----</v>
          </cell>
          <cell r="R2">
            <v>22.09</v>
          </cell>
          <cell r="S2" t="str">
            <v>-----</v>
          </cell>
          <cell r="T2">
            <v>1</v>
          </cell>
          <cell r="U2">
            <v>318</v>
          </cell>
          <cell r="V2">
            <v>335</v>
          </cell>
          <cell r="W2" t="str">
            <v>-----</v>
          </cell>
          <cell r="X2">
            <v>43335.988645833335</v>
          </cell>
        </row>
        <row r="3">
          <cell r="B3" t="str">
            <v>201-107_PL14_CDV_505_T0_ds2_CC-004-778_080.lcd</v>
          </cell>
          <cell r="C3" t="str">
            <v>Unknown</v>
          </cell>
          <cell r="D3">
            <v>0</v>
          </cell>
          <cell r="E3" t="str">
            <v>505_T0_ds2</v>
          </cell>
          <cell r="F3">
            <v>1</v>
          </cell>
          <cell r="G3">
            <v>44</v>
          </cell>
          <cell r="H3">
            <v>1.2649999999999999</v>
          </cell>
          <cell r="I3">
            <v>413</v>
          </cell>
          <cell r="J3" t="str">
            <v>-----</v>
          </cell>
          <cell r="K3">
            <v>69.900000000000006</v>
          </cell>
          <cell r="L3" t="str">
            <v>-----</v>
          </cell>
          <cell r="M3" t="str">
            <v>-----</v>
          </cell>
          <cell r="N3" t="str">
            <v>-----</v>
          </cell>
          <cell r="O3" t="str">
            <v>-----</v>
          </cell>
          <cell r="P3" t="str">
            <v>Quant.Range(Low)</v>
          </cell>
          <cell r="Q3">
            <v>0.44</v>
          </cell>
          <cell r="R3">
            <v>44.27</v>
          </cell>
          <cell r="S3" t="str">
            <v>-----</v>
          </cell>
          <cell r="T3">
            <v>1</v>
          </cell>
          <cell r="U3">
            <v>173</v>
          </cell>
          <cell r="V3">
            <v>192</v>
          </cell>
          <cell r="W3" t="str">
            <v xml:space="preserve">   </v>
          </cell>
          <cell r="X3">
            <v>43335.991087962961</v>
          </cell>
        </row>
        <row r="4">
          <cell r="B4" t="str">
            <v>201-107_PL14_CDV_505_T0_ds3_CC-004-778_081.lcd</v>
          </cell>
          <cell r="C4" t="str">
            <v>Unknown</v>
          </cell>
          <cell r="D4">
            <v>0</v>
          </cell>
          <cell r="E4" t="str">
            <v>505_T0_ds3</v>
          </cell>
          <cell r="F4">
            <v>1</v>
          </cell>
          <cell r="G4">
            <v>45</v>
          </cell>
          <cell r="H4" t="str">
            <v>-----</v>
          </cell>
          <cell r="I4">
            <v>583</v>
          </cell>
          <cell r="J4" t="str">
            <v>-----</v>
          </cell>
          <cell r="K4" t="str">
            <v>-----</v>
          </cell>
          <cell r="L4" t="str">
            <v>-----</v>
          </cell>
          <cell r="M4" t="str">
            <v>-----</v>
          </cell>
          <cell r="N4" t="str">
            <v>-----</v>
          </cell>
          <cell r="O4" t="str">
            <v>-----</v>
          </cell>
          <cell r="Q4" t="str">
            <v>-----</v>
          </cell>
          <cell r="R4">
            <v>0</v>
          </cell>
          <cell r="S4" t="str">
            <v>-----</v>
          </cell>
          <cell r="T4">
            <v>1</v>
          </cell>
          <cell r="U4">
            <v>439</v>
          </cell>
          <cell r="V4">
            <v>484</v>
          </cell>
          <cell r="W4" t="str">
            <v>-----</v>
          </cell>
          <cell r="X4">
            <v>43335.993495370371</v>
          </cell>
        </row>
        <row r="5">
          <cell r="B5" t="str">
            <v>201-107_PL14_CDV_505_T72_ds1_CC-004-778_083.lcd</v>
          </cell>
          <cell r="C5" t="str">
            <v>Unknown</v>
          </cell>
          <cell r="D5">
            <v>0</v>
          </cell>
          <cell r="E5" t="str">
            <v>505_T72_ds1</v>
          </cell>
          <cell r="F5">
            <v>1</v>
          </cell>
          <cell r="G5">
            <v>55</v>
          </cell>
          <cell r="H5" t="str">
            <v>-----</v>
          </cell>
          <cell r="I5">
            <v>561</v>
          </cell>
          <cell r="J5" t="str">
            <v>-----</v>
          </cell>
          <cell r="K5" t="str">
            <v>-----</v>
          </cell>
          <cell r="L5" t="str">
            <v>-----</v>
          </cell>
          <cell r="M5" t="str">
            <v>-----</v>
          </cell>
          <cell r="N5" t="str">
            <v>-----</v>
          </cell>
          <cell r="O5" t="str">
            <v>-----</v>
          </cell>
          <cell r="Q5" t="str">
            <v>-----</v>
          </cell>
          <cell r="R5">
            <v>16.75</v>
          </cell>
          <cell r="S5" t="str">
            <v>-----</v>
          </cell>
          <cell r="T5">
            <v>1</v>
          </cell>
          <cell r="U5">
            <v>194</v>
          </cell>
          <cell r="V5">
            <v>209</v>
          </cell>
          <cell r="W5" t="str">
            <v>-----</v>
          </cell>
          <cell r="X5">
            <v>43335.998344907406</v>
          </cell>
        </row>
        <row r="6">
          <cell r="B6" t="str">
            <v>201-107_PL14_CDV_505_T72_ds2_CC-004-778_084.lcd</v>
          </cell>
          <cell r="C6" t="str">
            <v>Unknown</v>
          </cell>
          <cell r="D6">
            <v>0</v>
          </cell>
          <cell r="E6" t="str">
            <v>505_T72_ds2</v>
          </cell>
          <cell r="F6">
            <v>1</v>
          </cell>
          <cell r="G6">
            <v>56</v>
          </cell>
          <cell r="H6">
            <v>1.28</v>
          </cell>
          <cell r="I6">
            <v>547</v>
          </cell>
          <cell r="J6" t="str">
            <v>-----</v>
          </cell>
          <cell r="K6">
            <v>91.7</v>
          </cell>
          <cell r="L6" t="str">
            <v>-----</v>
          </cell>
          <cell r="M6" t="str">
            <v>-----</v>
          </cell>
          <cell r="N6" t="str">
            <v>-----</v>
          </cell>
          <cell r="O6" t="str">
            <v>-----</v>
          </cell>
          <cell r="P6" t="str">
            <v>Quant.Range(Low)</v>
          </cell>
          <cell r="Q6">
            <v>0.37</v>
          </cell>
          <cell r="R6">
            <v>27.93</v>
          </cell>
          <cell r="S6" t="str">
            <v>-----</v>
          </cell>
          <cell r="T6">
            <v>1</v>
          </cell>
          <cell r="U6">
            <v>217</v>
          </cell>
          <cell r="V6">
            <v>222</v>
          </cell>
          <cell r="W6" t="str">
            <v xml:space="preserve">   </v>
          </cell>
          <cell r="X6">
            <v>43336.000775462962</v>
          </cell>
        </row>
        <row r="7">
          <cell r="B7" t="str">
            <v>201-107_PL14_CDV_505_T72_ds3_CC-004-778_085.lcd</v>
          </cell>
          <cell r="C7" t="str">
            <v>Unknown</v>
          </cell>
          <cell r="D7">
            <v>0</v>
          </cell>
          <cell r="E7" t="str">
            <v>505_T72_ds3</v>
          </cell>
          <cell r="F7">
            <v>1</v>
          </cell>
          <cell r="G7">
            <v>57</v>
          </cell>
          <cell r="H7">
            <v>1.272</v>
          </cell>
          <cell r="I7">
            <v>698</v>
          </cell>
          <cell r="J7" t="str">
            <v>-----</v>
          </cell>
          <cell r="K7">
            <v>116.2</v>
          </cell>
          <cell r="L7" t="str">
            <v>-----</v>
          </cell>
          <cell r="M7" t="str">
            <v>-----</v>
          </cell>
          <cell r="N7" t="str">
            <v>-----</v>
          </cell>
          <cell r="O7" t="str">
            <v>-----</v>
          </cell>
          <cell r="P7" t="str">
            <v>Quant.Range(Low)</v>
          </cell>
          <cell r="Q7">
            <v>0.74</v>
          </cell>
          <cell r="R7">
            <v>42.01</v>
          </cell>
          <cell r="S7" t="str">
            <v>-----</v>
          </cell>
          <cell r="T7">
            <v>1</v>
          </cell>
          <cell r="U7">
            <v>353</v>
          </cell>
          <cell r="V7">
            <v>369</v>
          </cell>
          <cell r="W7" t="str">
            <v xml:space="preserve">   </v>
          </cell>
          <cell r="X7">
            <v>43336.003194444442</v>
          </cell>
        </row>
        <row r="8">
          <cell r="B8" t="str">
            <v>201-107_PL14_CDV_505_T72_med1_CC-004-778_087.lcd</v>
          </cell>
          <cell r="C8" t="str">
            <v>Unknown</v>
          </cell>
          <cell r="D8">
            <v>0</v>
          </cell>
          <cell r="E8" t="str">
            <v>505_T72_med1</v>
          </cell>
          <cell r="F8">
            <v>1</v>
          </cell>
          <cell r="G8">
            <v>67</v>
          </cell>
          <cell r="H8" t="str">
            <v>-----</v>
          </cell>
          <cell r="I8">
            <v>882</v>
          </cell>
          <cell r="J8" t="str">
            <v>-----</v>
          </cell>
          <cell r="K8" t="str">
            <v>-----</v>
          </cell>
          <cell r="L8" t="str">
            <v>-----</v>
          </cell>
          <cell r="M8" t="str">
            <v>-----</v>
          </cell>
          <cell r="N8" t="str">
            <v>-----</v>
          </cell>
          <cell r="O8" t="str">
            <v>-----</v>
          </cell>
          <cell r="Q8" t="str">
            <v>-----</v>
          </cell>
          <cell r="R8">
            <v>23.57</v>
          </cell>
          <cell r="S8" t="str">
            <v>-----</v>
          </cell>
          <cell r="T8">
            <v>1</v>
          </cell>
          <cell r="U8">
            <v>407</v>
          </cell>
          <cell r="V8">
            <v>403</v>
          </cell>
          <cell r="W8" t="str">
            <v>-----</v>
          </cell>
          <cell r="X8">
            <v>43336.008020833331</v>
          </cell>
        </row>
        <row r="9">
          <cell r="B9" t="str">
            <v>201-107_PL14_CDV_505_T72_med2_CC-004-778_088.lcd</v>
          </cell>
          <cell r="C9" t="str">
            <v>Unknown</v>
          </cell>
          <cell r="D9">
            <v>0</v>
          </cell>
          <cell r="E9" t="str">
            <v>505_T72_med2</v>
          </cell>
          <cell r="F9">
            <v>1</v>
          </cell>
          <cell r="G9">
            <v>68</v>
          </cell>
          <cell r="H9" t="str">
            <v>-----</v>
          </cell>
          <cell r="I9">
            <v>656</v>
          </cell>
          <cell r="J9" t="str">
            <v>-----</v>
          </cell>
          <cell r="K9" t="str">
            <v>-----</v>
          </cell>
          <cell r="L9" t="str">
            <v>-----</v>
          </cell>
          <cell r="M9" t="str">
            <v>-----</v>
          </cell>
          <cell r="N9" t="str">
            <v>-----</v>
          </cell>
          <cell r="O9" t="str">
            <v>-----</v>
          </cell>
          <cell r="Q9" t="str">
            <v>-----</v>
          </cell>
          <cell r="R9">
            <v>0</v>
          </cell>
          <cell r="S9" t="str">
            <v>-----</v>
          </cell>
          <cell r="T9">
            <v>1</v>
          </cell>
          <cell r="U9">
            <v>269</v>
          </cell>
          <cell r="V9">
            <v>264</v>
          </cell>
          <cell r="W9" t="str">
            <v>-----</v>
          </cell>
          <cell r="X9">
            <v>43336.010428240741</v>
          </cell>
        </row>
        <row r="10">
          <cell r="B10" t="str">
            <v>201-107_PL14_CDV_505_T72_med3_CC-004-778_089.lcd</v>
          </cell>
          <cell r="C10" t="str">
            <v>Unknown</v>
          </cell>
          <cell r="D10">
            <v>0</v>
          </cell>
          <cell r="E10" t="str">
            <v>505_T72_med3</v>
          </cell>
          <cell r="F10">
            <v>1</v>
          </cell>
          <cell r="G10">
            <v>69</v>
          </cell>
          <cell r="H10">
            <v>1.2589999999999999</v>
          </cell>
          <cell r="I10">
            <v>983</v>
          </cell>
          <cell r="J10" t="str">
            <v>-----</v>
          </cell>
          <cell r="K10">
            <v>162.5</v>
          </cell>
          <cell r="L10" t="str">
            <v>-----</v>
          </cell>
          <cell r="M10" t="str">
            <v>-----</v>
          </cell>
          <cell r="N10" t="str">
            <v>-----</v>
          </cell>
          <cell r="O10" t="str">
            <v>-----</v>
          </cell>
          <cell r="P10" t="str">
            <v>Quant.Range(Low)</v>
          </cell>
          <cell r="Q10">
            <v>0.76</v>
          </cell>
          <cell r="R10">
            <v>34.58</v>
          </cell>
          <cell r="S10" t="str">
            <v>-----</v>
          </cell>
          <cell r="T10">
            <v>1</v>
          </cell>
          <cell r="U10">
            <v>367</v>
          </cell>
          <cell r="V10">
            <v>373</v>
          </cell>
          <cell r="W10" t="str">
            <v xml:space="preserve">   </v>
          </cell>
          <cell r="X10">
            <v>43336.012881944444</v>
          </cell>
        </row>
        <row r="11">
          <cell r="B11" t="str">
            <v>201-107_PL14_CDV_663_T0_ds1_CC-004-778_031.lcd</v>
          </cell>
          <cell r="C11" t="str">
            <v>Unknown</v>
          </cell>
          <cell r="D11">
            <v>0</v>
          </cell>
          <cell r="E11" t="str">
            <v>663_T0_ds1</v>
          </cell>
          <cell r="F11">
            <v>1</v>
          </cell>
          <cell r="G11">
            <v>4</v>
          </cell>
          <cell r="H11" t="str">
            <v>-----</v>
          </cell>
          <cell r="I11" t="str">
            <v>-----</v>
          </cell>
          <cell r="J11" t="str">
            <v>-----</v>
          </cell>
          <cell r="K11" t="str">
            <v>-----</v>
          </cell>
          <cell r="L11" t="str">
            <v>-----</v>
          </cell>
          <cell r="M11" t="str">
            <v>-----</v>
          </cell>
          <cell r="N11" t="str">
            <v>-----</v>
          </cell>
          <cell r="O11" t="str">
            <v>-----</v>
          </cell>
          <cell r="Q11" t="str">
            <v>-----</v>
          </cell>
          <cell r="R11" t="str">
            <v>-----</v>
          </cell>
          <cell r="S11" t="str">
            <v>-----</v>
          </cell>
          <cell r="T11">
            <v>1</v>
          </cell>
          <cell r="U11" t="str">
            <v>-----</v>
          </cell>
          <cell r="V11" t="str">
            <v>-----</v>
          </cell>
          <cell r="W11" t="str">
            <v>-----</v>
          </cell>
          <cell r="X11">
            <v>43335.872083333335</v>
          </cell>
        </row>
        <row r="12">
          <cell r="B12" t="str">
            <v>201-107_PL14_CDV_663_T0_ds2_CC-004-778_032.lcd</v>
          </cell>
          <cell r="C12" t="str">
            <v>Unknown</v>
          </cell>
          <cell r="D12">
            <v>0</v>
          </cell>
          <cell r="E12" t="str">
            <v>663_T0_ds2</v>
          </cell>
          <cell r="F12">
            <v>1</v>
          </cell>
          <cell r="G12">
            <v>5</v>
          </cell>
          <cell r="H12" t="str">
            <v>-----</v>
          </cell>
          <cell r="I12" t="str">
            <v>-----</v>
          </cell>
          <cell r="J12" t="str">
            <v>-----</v>
          </cell>
          <cell r="K12" t="str">
            <v>-----</v>
          </cell>
          <cell r="L12" t="str">
            <v>-----</v>
          </cell>
          <cell r="M12" t="str">
            <v>-----</v>
          </cell>
          <cell r="N12" t="str">
            <v>-----</v>
          </cell>
          <cell r="O12" t="str">
            <v>-----</v>
          </cell>
          <cell r="Q12" t="str">
            <v>-----</v>
          </cell>
          <cell r="R12" t="str">
            <v>-----</v>
          </cell>
          <cell r="S12" t="str">
            <v>-----</v>
          </cell>
          <cell r="T12">
            <v>1</v>
          </cell>
          <cell r="U12" t="str">
            <v>-----</v>
          </cell>
          <cell r="V12" t="str">
            <v>-----</v>
          </cell>
          <cell r="W12" t="str">
            <v>-----</v>
          </cell>
          <cell r="X12">
            <v>43335.874513888892</v>
          </cell>
        </row>
        <row r="13">
          <cell r="B13" t="str">
            <v>201-107_PL14_CDV_663_T0_ds3_CC-004-778_033.lcd</v>
          </cell>
          <cell r="C13" t="str">
            <v>Unknown</v>
          </cell>
          <cell r="D13">
            <v>0</v>
          </cell>
          <cell r="E13" t="str">
            <v>663_T0_ds3</v>
          </cell>
          <cell r="F13">
            <v>1</v>
          </cell>
          <cell r="G13">
            <v>6</v>
          </cell>
          <cell r="H13" t="str">
            <v>-----</v>
          </cell>
          <cell r="I13" t="str">
            <v>-----</v>
          </cell>
          <cell r="J13" t="str">
            <v>-----</v>
          </cell>
          <cell r="K13" t="str">
            <v>-----</v>
          </cell>
          <cell r="L13" t="str">
            <v>-----</v>
          </cell>
          <cell r="M13" t="str">
            <v>-----</v>
          </cell>
          <cell r="N13" t="str">
            <v>-----</v>
          </cell>
          <cell r="O13" t="str">
            <v>-----</v>
          </cell>
          <cell r="Q13" t="str">
            <v>-----</v>
          </cell>
          <cell r="R13" t="str">
            <v>-----</v>
          </cell>
          <cell r="S13" t="str">
            <v>-----</v>
          </cell>
          <cell r="T13">
            <v>1</v>
          </cell>
          <cell r="U13" t="str">
            <v>-----</v>
          </cell>
          <cell r="V13" t="str">
            <v>-----</v>
          </cell>
          <cell r="W13" t="str">
            <v>-----</v>
          </cell>
          <cell r="X13">
            <v>43335.876944444448</v>
          </cell>
        </row>
        <row r="14">
          <cell r="B14" t="str">
            <v>201-107_PL14_CDV_663_T72_ds1_CC-004-778_035.lcd</v>
          </cell>
          <cell r="C14" t="str">
            <v>Unknown</v>
          </cell>
          <cell r="D14">
            <v>0</v>
          </cell>
          <cell r="E14" t="str">
            <v>663_T72_ds1</v>
          </cell>
          <cell r="F14">
            <v>1</v>
          </cell>
          <cell r="G14">
            <v>16</v>
          </cell>
          <cell r="H14" t="str">
            <v>-----</v>
          </cell>
          <cell r="I14" t="str">
            <v>-----</v>
          </cell>
          <cell r="J14" t="str">
            <v>-----</v>
          </cell>
          <cell r="K14" t="str">
            <v>-----</v>
          </cell>
          <cell r="L14" t="str">
            <v>-----</v>
          </cell>
          <cell r="M14" t="str">
            <v>-----</v>
          </cell>
          <cell r="N14" t="str">
            <v>-----</v>
          </cell>
          <cell r="O14" t="str">
            <v>-----</v>
          </cell>
          <cell r="Q14" t="str">
            <v>-----</v>
          </cell>
          <cell r="R14" t="str">
            <v>-----</v>
          </cell>
          <cell r="S14" t="str">
            <v>-----</v>
          </cell>
          <cell r="T14">
            <v>1</v>
          </cell>
          <cell r="U14" t="str">
            <v>-----</v>
          </cell>
          <cell r="V14" t="str">
            <v>-----</v>
          </cell>
          <cell r="W14" t="str">
            <v>-----</v>
          </cell>
          <cell r="X14">
            <v>43335.88181712963</v>
          </cell>
        </row>
        <row r="15">
          <cell r="B15" t="str">
            <v>201-107_PL14_CDV_663_T72_ds2_CC-004-778_036.lcd</v>
          </cell>
          <cell r="C15" t="str">
            <v>Unknown</v>
          </cell>
          <cell r="D15">
            <v>0</v>
          </cell>
          <cell r="E15" t="str">
            <v>663_T72_ds2</v>
          </cell>
          <cell r="F15">
            <v>1</v>
          </cell>
          <cell r="G15">
            <v>17</v>
          </cell>
          <cell r="H15">
            <v>1.27</v>
          </cell>
          <cell r="I15">
            <v>519</v>
          </cell>
          <cell r="J15" t="str">
            <v>-----</v>
          </cell>
          <cell r="K15">
            <v>87.2</v>
          </cell>
          <cell r="L15" t="str">
            <v>-----</v>
          </cell>
          <cell r="M15" t="str">
            <v>-----</v>
          </cell>
          <cell r="N15" t="str">
            <v>-----</v>
          </cell>
          <cell r="O15" t="str">
            <v>-----</v>
          </cell>
          <cell r="P15" t="str">
            <v>Quant.Range(Low)</v>
          </cell>
          <cell r="Q15">
            <v>0.49</v>
          </cell>
          <cell r="R15">
            <v>25</v>
          </cell>
          <cell r="S15" t="str">
            <v>-----</v>
          </cell>
          <cell r="T15">
            <v>1</v>
          </cell>
          <cell r="U15">
            <v>240</v>
          </cell>
          <cell r="V15">
            <v>252</v>
          </cell>
          <cell r="W15" t="str">
            <v xml:space="preserve">   </v>
          </cell>
          <cell r="X15">
            <v>43335.884247685186</v>
          </cell>
        </row>
        <row r="16">
          <cell r="B16" t="str">
            <v>201-107_PL14_CDV_663_T72_ds3_CC-004-778_037.lcd</v>
          </cell>
          <cell r="C16" t="str">
            <v>Unknown</v>
          </cell>
          <cell r="D16">
            <v>0</v>
          </cell>
          <cell r="E16" t="str">
            <v>663_T72_ds3</v>
          </cell>
          <cell r="F16">
            <v>1</v>
          </cell>
          <cell r="G16">
            <v>18</v>
          </cell>
          <cell r="H16" t="str">
            <v>-----</v>
          </cell>
          <cell r="I16">
            <v>429</v>
          </cell>
          <cell r="J16" t="str">
            <v>-----</v>
          </cell>
          <cell r="K16" t="str">
            <v>-----</v>
          </cell>
          <cell r="L16" t="str">
            <v>-----</v>
          </cell>
          <cell r="M16" t="str">
            <v>-----</v>
          </cell>
          <cell r="N16" t="str">
            <v>-----</v>
          </cell>
          <cell r="O16" t="str">
            <v>-----</v>
          </cell>
          <cell r="Q16" t="str">
            <v>-----</v>
          </cell>
          <cell r="R16">
            <v>96.36</v>
          </cell>
          <cell r="S16" t="str">
            <v>-----</v>
          </cell>
          <cell r="T16">
            <v>1</v>
          </cell>
          <cell r="U16">
            <v>204</v>
          </cell>
          <cell r="V16">
            <v>220</v>
          </cell>
          <cell r="W16" t="str">
            <v>-----</v>
          </cell>
          <cell r="X16">
            <v>43335.886678240742</v>
          </cell>
        </row>
        <row r="17">
          <cell r="B17" t="str">
            <v>201-107_PL14_CDV_663_T72_med1_CC-004-778_039.lcd</v>
          </cell>
          <cell r="C17" t="str">
            <v>Unknown</v>
          </cell>
          <cell r="D17">
            <v>0</v>
          </cell>
          <cell r="E17" t="str">
            <v>663_T72_med1</v>
          </cell>
          <cell r="F17">
            <v>1</v>
          </cell>
          <cell r="G17">
            <v>28</v>
          </cell>
          <cell r="H17">
            <v>1.278</v>
          </cell>
          <cell r="I17">
            <v>817</v>
          </cell>
          <cell r="J17" t="str">
            <v>-----</v>
          </cell>
          <cell r="K17">
            <v>135.6</v>
          </cell>
          <cell r="L17" t="str">
            <v>-----</v>
          </cell>
          <cell r="M17" t="str">
            <v>-----</v>
          </cell>
          <cell r="N17" t="str">
            <v>-----</v>
          </cell>
          <cell r="O17" t="str">
            <v>-----</v>
          </cell>
          <cell r="P17" t="str">
            <v>Quant.Range(Low)</v>
          </cell>
          <cell r="Q17">
            <v>0.41</v>
          </cell>
          <cell r="R17">
            <v>42.95</v>
          </cell>
          <cell r="S17" t="str">
            <v>-----</v>
          </cell>
          <cell r="T17">
            <v>1</v>
          </cell>
          <cell r="U17">
            <v>292</v>
          </cell>
          <cell r="V17">
            <v>305</v>
          </cell>
          <cell r="W17" t="str">
            <v xml:space="preserve">   </v>
          </cell>
          <cell r="X17">
            <v>43335.891527777778</v>
          </cell>
        </row>
        <row r="18">
          <cell r="B18" t="str">
            <v>201-107_PL14_CDV_663_T72_med2_CC-004-778_040.lcd</v>
          </cell>
          <cell r="C18" t="str">
            <v>Unknown</v>
          </cell>
          <cell r="D18">
            <v>0</v>
          </cell>
          <cell r="E18" t="str">
            <v>663_T72_med2</v>
          </cell>
          <cell r="F18">
            <v>1</v>
          </cell>
          <cell r="G18">
            <v>29</v>
          </cell>
          <cell r="H18" t="str">
            <v>-----</v>
          </cell>
          <cell r="I18">
            <v>983</v>
          </cell>
          <cell r="J18" t="str">
            <v>-----</v>
          </cell>
          <cell r="K18" t="str">
            <v>-----</v>
          </cell>
          <cell r="L18" t="str">
            <v>-----</v>
          </cell>
          <cell r="M18" t="str">
            <v>-----</v>
          </cell>
          <cell r="N18" t="str">
            <v>-----</v>
          </cell>
          <cell r="O18" t="str">
            <v>-----</v>
          </cell>
          <cell r="Q18" t="str">
            <v>-----</v>
          </cell>
          <cell r="R18">
            <v>21.42</v>
          </cell>
          <cell r="S18" t="str">
            <v>-----</v>
          </cell>
          <cell r="T18">
            <v>1</v>
          </cell>
          <cell r="U18">
            <v>508</v>
          </cell>
          <cell r="V18">
            <v>523</v>
          </cell>
          <cell r="W18" t="str">
            <v>-----</v>
          </cell>
          <cell r="X18">
            <v>43335.893946759257</v>
          </cell>
        </row>
        <row r="19">
          <cell r="B19" t="str">
            <v>201-107_PL14_CDV_663_T72_med3_CC-004-778_041.lcd</v>
          </cell>
          <cell r="C19" t="str">
            <v>Unknown</v>
          </cell>
          <cell r="D19">
            <v>0</v>
          </cell>
          <cell r="E19" t="str">
            <v>663_T72_med3</v>
          </cell>
          <cell r="F19">
            <v>1</v>
          </cell>
          <cell r="G19">
            <v>30</v>
          </cell>
          <cell r="H19" t="str">
            <v>-----</v>
          </cell>
          <cell r="I19">
            <v>1093</v>
          </cell>
          <cell r="J19" t="str">
            <v>-----</v>
          </cell>
          <cell r="K19" t="str">
            <v>-----</v>
          </cell>
          <cell r="L19" t="str">
            <v>-----</v>
          </cell>
          <cell r="M19" t="str">
            <v>-----</v>
          </cell>
          <cell r="N19" t="str">
            <v>-----</v>
          </cell>
          <cell r="O19" t="str">
            <v>-----</v>
          </cell>
          <cell r="Q19" t="str">
            <v>-----</v>
          </cell>
          <cell r="R19">
            <v>0</v>
          </cell>
          <cell r="S19" t="str">
            <v>-----</v>
          </cell>
          <cell r="T19">
            <v>1</v>
          </cell>
          <cell r="U19">
            <v>276</v>
          </cell>
          <cell r="V19">
            <v>291</v>
          </cell>
          <cell r="W19" t="str">
            <v>-----</v>
          </cell>
          <cell r="X19">
            <v>43335.896377314813</v>
          </cell>
        </row>
        <row r="20">
          <cell r="B20" t="str">
            <v>201-107_PL14_CDV_666_T0_ds1_CC-004-778_043.lcd</v>
          </cell>
          <cell r="C20" t="str">
            <v>Unknown</v>
          </cell>
          <cell r="D20">
            <v>0</v>
          </cell>
          <cell r="E20" t="str">
            <v>666_T0_ds1</v>
          </cell>
          <cell r="F20">
            <v>1</v>
          </cell>
          <cell r="G20">
            <v>7</v>
          </cell>
          <cell r="H20" t="str">
            <v>-----</v>
          </cell>
          <cell r="I20">
            <v>390</v>
          </cell>
          <cell r="J20" t="str">
            <v>-----</v>
          </cell>
          <cell r="K20" t="str">
            <v>-----</v>
          </cell>
          <cell r="L20" t="str">
            <v>-----</v>
          </cell>
          <cell r="M20" t="str">
            <v>-----</v>
          </cell>
          <cell r="N20" t="str">
            <v>-----</v>
          </cell>
          <cell r="O20" t="str">
            <v>-----</v>
          </cell>
          <cell r="Q20" t="str">
            <v>-----</v>
          </cell>
          <cell r="R20">
            <v>13.82</v>
          </cell>
          <cell r="S20" t="str">
            <v>-----</v>
          </cell>
          <cell r="T20">
            <v>1</v>
          </cell>
          <cell r="U20">
            <v>118</v>
          </cell>
          <cell r="V20">
            <v>123</v>
          </cell>
          <cell r="W20" t="str">
            <v>-----</v>
          </cell>
          <cell r="X20">
            <v>43335.901238425926</v>
          </cell>
        </row>
        <row r="21">
          <cell r="B21" t="str">
            <v>201-107_PL14_CDV_666_T0_ds2_CC-004-778_044.lcd</v>
          </cell>
          <cell r="C21" t="str">
            <v>Unknown</v>
          </cell>
          <cell r="D21">
            <v>0</v>
          </cell>
          <cell r="E21" t="str">
            <v>666_T0_ds2</v>
          </cell>
          <cell r="F21">
            <v>1</v>
          </cell>
          <cell r="G21">
            <v>8</v>
          </cell>
          <cell r="H21" t="str">
            <v>-----</v>
          </cell>
          <cell r="I21">
            <v>399</v>
          </cell>
          <cell r="J21" t="str">
            <v>-----</v>
          </cell>
          <cell r="K21" t="str">
            <v>-----</v>
          </cell>
          <cell r="L21" t="str">
            <v>-----</v>
          </cell>
          <cell r="M21" t="str">
            <v>-----</v>
          </cell>
          <cell r="N21" t="str">
            <v>-----</v>
          </cell>
          <cell r="O21" t="str">
            <v>-----</v>
          </cell>
          <cell r="Q21" t="str">
            <v>-----</v>
          </cell>
          <cell r="R21">
            <v>6.25</v>
          </cell>
          <cell r="S21" t="str">
            <v>-----</v>
          </cell>
          <cell r="T21">
            <v>1</v>
          </cell>
          <cell r="U21">
            <v>207</v>
          </cell>
          <cell r="V21">
            <v>224</v>
          </cell>
          <cell r="W21" t="str">
            <v>-----</v>
          </cell>
          <cell r="X21">
            <v>43335.903645833336</v>
          </cell>
        </row>
        <row r="22">
          <cell r="B22" t="str">
            <v>201-107_PL14_CDV_666_T0_ds3_CC-004-778_045.lcd</v>
          </cell>
          <cell r="C22" t="str">
            <v>Unknown</v>
          </cell>
          <cell r="D22">
            <v>0</v>
          </cell>
          <cell r="E22" t="str">
            <v>666_T0_ds3</v>
          </cell>
          <cell r="F22">
            <v>1</v>
          </cell>
          <cell r="G22">
            <v>9</v>
          </cell>
          <cell r="H22" t="str">
            <v>-----</v>
          </cell>
          <cell r="I22">
            <v>324</v>
          </cell>
          <cell r="J22" t="str">
            <v>-----</v>
          </cell>
          <cell r="K22" t="str">
            <v>-----</v>
          </cell>
          <cell r="L22" t="str">
            <v>-----</v>
          </cell>
          <cell r="M22" t="str">
            <v>-----</v>
          </cell>
          <cell r="N22" t="str">
            <v>-----</v>
          </cell>
          <cell r="O22" t="str">
            <v>-----</v>
          </cell>
          <cell r="Q22" t="str">
            <v>-----</v>
          </cell>
          <cell r="R22">
            <v>0</v>
          </cell>
          <cell r="S22" t="str">
            <v>-----</v>
          </cell>
          <cell r="T22">
            <v>1</v>
          </cell>
          <cell r="U22">
            <v>140</v>
          </cell>
          <cell r="V22">
            <v>151</v>
          </cell>
          <cell r="W22" t="str">
            <v>-----</v>
          </cell>
          <cell r="X22">
            <v>43335.906099537038</v>
          </cell>
        </row>
        <row r="23">
          <cell r="B23" t="str">
            <v>201-107_PL14_CDV_666_T72_ds1_CC-004-778_047.lcd</v>
          </cell>
          <cell r="C23" t="str">
            <v>Unknown</v>
          </cell>
          <cell r="D23">
            <v>0</v>
          </cell>
          <cell r="E23" t="str">
            <v>666_T72_ds1</v>
          </cell>
          <cell r="F23">
            <v>1</v>
          </cell>
          <cell r="G23">
            <v>19</v>
          </cell>
          <cell r="H23" t="str">
            <v>-----</v>
          </cell>
          <cell r="I23">
            <v>826</v>
          </cell>
          <cell r="J23" t="str">
            <v>-----</v>
          </cell>
          <cell r="K23" t="str">
            <v>-----</v>
          </cell>
          <cell r="L23" t="str">
            <v>-----</v>
          </cell>
          <cell r="M23" t="str">
            <v>-----</v>
          </cell>
          <cell r="N23" t="str">
            <v>-----</v>
          </cell>
          <cell r="O23" t="str">
            <v>-----</v>
          </cell>
          <cell r="Q23" t="str">
            <v>-----</v>
          </cell>
          <cell r="R23">
            <v>1.3</v>
          </cell>
          <cell r="S23" t="str">
            <v>-----</v>
          </cell>
          <cell r="T23">
            <v>1</v>
          </cell>
          <cell r="U23">
            <v>363</v>
          </cell>
          <cell r="V23">
            <v>384</v>
          </cell>
          <cell r="W23" t="str">
            <v>-----</v>
          </cell>
          <cell r="X23">
            <v>43335.910960648151</v>
          </cell>
        </row>
        <row r="24">
          <cell r="B24" t="str">
            <v>201-107_PL14_CDV_666_T72_ds2_CC-004-778_048.lcd</v>
          </cell>
          <cell r="C24" t="str">
            <v>Unknown</v>
          </cell>
          <cell r="D24">
            <v>0</v>
          </cell>
          <cell r="E24" t="str">
            <v>666_T72_ds2</v>
          </cell>
          <cell r="F24">
            <v>1</v>
          </cell>
          <cell r="G24">
            <v>20</v>
          </cell>
          <cell r="H24" t="str">
            <v>-----</v>
          </cell>
          <cell r="I24">
            <v>493</v>
          </cell>
          <cell r="J24" t="str">
            <v>-----</v>
          </cell>
          <cell r="K24" t="str">
            <v>-----</v>
          </cell>
          <cell r="L24" t="str">
            <v>-----</v>
          </cell>
          <cell r="M24" t="str">
            <v>-----</v>
          </cell>
          <cell r="N24" t="str">
            <v>-----</v>
          </cell>
          <cell r="O24" t="str">
            <v>-----</v>
          </cell>
          <cell r="Q24" t="str">
            <v>-----</v>
          </cell>
          <cell r="R24">
            <v>0</v>
          </cell>
          <cell r="S24" t="str">
            <v>-----</v>
          </cell>
          <cell r="T24">
            <v>1</v>
          </cell>
          <cell r="U24">
            <v>258</v>
          </cell>
          <cell r="V24">
            <v>277</v>
          </cell>
          <cell r="W24" t="str">
            <v>-----</v>
          </cell>
          <cell r="X24">
            <v>43335.91337962963</v>
          </cell>
        </row>
        <row r="25">
          <cell r="B25" t="str">
            <v>201-107_PL14_CDV_666_T72_ds3_CC-004-778_049.lcd</v>
          </cell>
          <cell r="C25" t="str">
            <v>Unknown</v>
          </cell>
          <cell r="D25">
            <v>0</v>
          </cell>
          <cell r="E25" t="str">
            <v>666_T72_ds3</v>
          </cell>
          <cell r="F25">
            <v>1</v>
          </cell>
          <cell r="G25">
            <v>21</v>
          </cell>
          <cell r="H25" t="str">
            <v>-----</v>
          </cell>
          <cell r="I25">
            <v>642</v>
          </cell>
          <cell r="J25" t="str">
            <v>-----</v>
          </cell>
          <cell r="K25" t="str">
            <v>-----</v>
          </cell>
          <cell r="L25" t="str">
            <v>-----</v>
          </cell>
          <cell r="M25" t="str">
            <v>-----</v>
          </cell>
          <cell r="N25" t="str">
            <v>-----</v>
          </cell>
          <cell r="O25" t="str">
            <v>-----</v>
          </cell>
          <cell r="Q25" t="str">
            <v>-----</v>
          </cell>
          <cell r="R25">
            <v>0</v>
          </cell>
          <cell r="S25" t="str">
            <v>-----</v>
          </cell>
          <cell r="T25">
            <v>1</v>
          </cell>
          <cell r="U25">
            <v>305</v>
          </cell>
          <cell r="V25">
            <v>332</v>
          </cell>
          <cell r="W25" t="str">
            <v>-----</v>
          </cell>
          <cell r="X25">
            <v>43335.915821759256</v>
          </cell>
        </row>
        <row r="26">
          <cell r="B26" t="str">
            <v>201-107_PL14_CDV_666_T72_med1_CC-004-778_051.lcd</v>
          </cell>
          <cell r="C26" t="str">
            <v>Unknown</v>
          </cell>
          <cell r="D26">
            <v>0</v>
          </cell>
          <cell r="E26" t="str">
            <v>666_T72_med1</v>
          </cell>
          <cell r="F26">
            <v>1</v>
          </cell>
          <cell r="G26">
            <v>31</v>
          </cell>
          <cell r="H26" t="str">
            <v>-----</v>
          </cell>
          <cell r="I26">
            <v>1214</v>
          </cell>
          <cell r="J26" t="str">
            <v>-----</v>
          </cell>
          <cell r="K26" t="str">
            <v>-----</v>
          </cell>
          <cell r="L26" t="str">
            <v>-----</v>
          </cell>
          <cell r="M26" t="str">
            <v>-----</v>
          </cell>
          <cell r="N26" t="str">
            <v>-----</v>
          </cell>
          <cell r="O26" t="str">
            <v>-----</v>
          </cell>
          <cell r="Q26" t="str">
            <v>-----</v>
          </cell>
          <cell r="R26">
            <v>109.26</v>
          </cell>
          <cell r="S26" t="str">
            <v>-----</v>
          </cell>
          <cell r="T26">
            <v>1</v>
          </cell>
          <cell r="U26">
            <v>472</v>
          </cell>
          <cell r="V26">
            <v>486</v>
          </cell>
          <cell r="W26" t="str">
            <v>-----</v>
          </cell>
          <cell r="X26">
            <v>43335.920671296299</v>
          </cell>
        </row>
        <row r="27">
          <cell r="B27" t="str">
            <v>201-107_PL14_CDV_666_T72_med2_CC-004-778_052.lcd</v>
          </cell>
          <cell r="C27" t="str">
            <v>Unknown</v>
          </cell>
          <cell r="D27">
            <v>0</v>
          </cell>
          <cell r="E27" t="str">
            <v>666_T72_med2</v>
          </cell>
          <cell r="F27">
            <v>1</v>
          </cell>
          <cell r="G27">
            <v>32</v>
          </cell>
          <cell r="H27" t="str">
            <v>-----</v>
          </cell>
          <cell r="I27">
            <v>1596</v>
          </cell>
          <cell r="J27" t="str">
            <v>-----</v>
          </cell>
          <cell r="K27" t="str">
            <v>-----</v>
          </cell>
          <cell r="L27" t="str">
            <v>-----</v>
          </cell>
          <cell r="M27" t="str">
            <v>-----</v>
          </cell>
          <cell r="N27" t="str">
            <v>-----</v>
          </cell>
          <cell r="O27" t="str">
            <v>-----</v>
          </cell>
          <cell r="Q27" t="str">
            <v>-----</v>
          </cell>
          <cell r="R27">
            <v>17.09</v>
          </cell>
          <cell r="S27" t="str">
            <v>-----</v>
          </cell>
          <cell r="T27">
            <v>1</v>
          </cell>
          <cell r="U27">
            <v>572</v>
          </cell>
          <cell r="V27">
            <v>597</v>
          </cell>
          <cell r="W27" t="str">
            <v>-----</v>
          </cell>
          <cell r="X27">
            <v>43335.923090277778</v>
          </cell>
        </row>
        <row r="28">
          <cell r="B28" t="str">
            <v>201-107_PL14_CDV_666_T72_med3_CC-004-778_053.lcd</v>
          </cell>
          <cell r="C28" t="str">
            <v>Unknown</v>
          </cell>
          <cell r="D28">
            <v>0</v>
          </cell>
          <cell r="E28" t="str">
            <v>666_T72_med3</v>
          </cell>
          <cell r="F28">
            <v>1</v>
          </cell>
          <cell r="G28">
            <v>33</v>
          </cell>
          <cell r="H28">
            <v>1.252</v>
          </cell>
          <cell r="I28">
            <v>1333</v>
          </cell>
          <cell r="J28" t="str">
            <v>-----</v>
          </cell>
          <cell r="K28">
            <v>219.4</v>
          </cell>
          <cell r="L28" t="str">
            <v>-----</v>
          </cell>
          <cell r="M28" t="str">
            <v>-----</v>
          </cell>
          <cell r="N28" t="str">
            <v>-----</v>
          </cell>
          <cell r="O28" t="str">
            <v>-----</v>
          </cell>
          <cell r="P28" t="str">
            <v>Quant.Range(Low)</v>
          </cell>
          <cell r="Q28">
            <v>1.02</v>
          </cell>
          <cell r="R28">
            <v>34.26</v>
          </cell>
          <cell r="S28" t="str">
            <v>-----</v>
          </cell>
          <cell r="T28">
            <v>1</v>
          </cell>
          <cell r="U28">
            <v>482</v>
          </cell>
          <cell r="V28">
            <v>502</v>
          </cell>
          <cell r="W28" t="str">
            <v xml:space="preserve">   </v>
          </cell>
          <cell r="X28">
            <v>43335.925543981481</v>
          </cell>
        </row>
        <row r="29">
          <cell r="B29" t="str">
            <v>201-107_PL14_CDV_669_T0_ds1_CC-004-778_055.lcd</v>
          </cell>
          <cell r="C29" t="str">
            <v>Unknown</v>
          </cell>
          <cell r="D29">
            <v>0</v>
          </cell>
          <cell r="E29" t="str">
            <v>669_T0_ds1</v>
          </cell>
          <cell r="F29">
            <v>1</v>
          </cell>
          <cell r="G29">
            <v>10</v>
          </cell>
          <cell r="H29" t="str">
            <v>-----</v>
          </cell>
          <cell r="I29">
            <v>319</v>
          </cell>
          <cell r="J29" t="str">
            <v>-----</v>
          </cell>
          <cell r="K29" t="str">
            <v>-----</v>
          </cell>
          <cell r="L29" t="str">
            <v>-----</v>
          </cell>
          <cell r="M29" t="str">
            <v>-----</v>
          </cell>
          <cell r="N29" t="str">
            <v>-----</v>
          </cell>
          <cell r="O29" t="str">
            <v>-----</v>
          </cell>
          <cell r="Q29" t="str">
            <v>-----</v>
          </cell>
          <cell r="R29">
            <v>0</v>
          </cell>
          <cell r="S29" t="str">
            <v>-----</v>
          </cell>
          <cell r="T29">
            <v>1</v>
          </cell>
          <cell r="U29">
            <v>156</v>
          </cell>
          <cell r="V29">
            <v>173</v>
          </cell>
          <cell r="W29" t="str">
            <v>-----</v>
          </cell>
          <cell r="X29">
            <v>43335.93037037037</v>
          </cell>
        </row>
        <row r="30">
          <cell r="B30" t="str">
            <v>201-107_PL14_CDV_669_T0_ds2_CC-004-778_056.lcd</v>
          </cell>
          <cell r="C30" t="str">
            <v>Unknown</v>
          </cell>
          <cell r="D30">
            <v>0</v>
          </cell>
          <cell r="E30" t="str">
            <v>669_T0_ds2</v>
          </cell>
          <cell r="F30">
            <v>1</v>
          </cell>
          <cell r="G30">
            <v>11</v>
          </cell>
          <cell r="H30" t="str">
            <v>-----</v>
          </cell>
          <cell r="I30">
            <v>378</v>
          </cell>
          <cell r="J30" t="str">
            <v>-----</v>
          </cell>
          <cell r="K30" t="str">
            <v>-----</v>
          </cell>
          <cell r="L30" t="str">
            <v>-----</v>
          </cell>
          <cell r="M30" t="str">
            <v>-----</v>
          </cell>
          <cell r="N30" t="str">
            <v>-----</v>
          </cell>
          <cell r="O30" t="str">
            <v>-----</v>
          </cell>
          <cell r="Q30" t="str">
            <v>-----</v>
          </cell>
          <cell r="R30">
            <v>11.95</v>
          </cell>
          <cell r="S30" t="str">
            <v>-----</v>
          </cell>
          <cell r="T30">
            <v>1</v>
          </cell>
          <cell r="U30">
            <v>146</v>
          </cell>
          <cell r="V30">
            <v>159</v>
          </cell>
          <cell r="W30" t="str">
            <v>-----</v>
          </cell>
          <cell r="X30">
            <v>43335.932824074072</v>
          </cell>
        </row>
        <row r="31">
          <cell r="B31" t="str">
            <v>201-107_PL14_CDV_669_T0_ds3_CC-004-778_057.lcd</v>
          </cell>
          <cell r="C31" t="str">
            <v>Unknown</v>
          </cell>
          <cell r="D31">
            <v>0</v>
          </cell>
          <cell r="E31" t="str">
            <v>669_T0_ds3</v>
          </cell>
          <cell r="F31">
            <v>1</v>
          </cell>
          <cell r="G31">
            <v>12</v>
          </cell>
          <cell r="H31" t="str">
            <v>-----</v>
          </cell>
          <cell r="I31">
            <v>493</v>
          </cell>
          <cell r="J31" t="str">
            <v>-----</v>
          </cell>
          <cell r="K31" t="str">
            <v>-----</v>
          </cell>
          <cell r="L31" t="str">
            <v>-----</v>
          </cell>
          <cell r="M31" t="str">
            <v>-----</v>
          </cell>
          <cell r="N31" t="str">
            <v>-----</v>
          </cell>
          <cell r="O31" t="str">
            <v>-----</v>
          </cell>
          <cell r="Q31" t="str">
            <v>-----</v>
          </cell>
          <cell r="R31">
            <v>0</v>
          </cell>
          <cell r="S31" t="str">
            <v>-----</v>
          </cell>
          <cell r="T31">
            <v>1</v>
          </cell>
          <cell r="U31">
            <v>332</v>
          </cell>
          <cell r="V31">
            <v>336</v>
          </cell>
          <cell r="W31" t="str">
            <v>-----</v>
          </cell>
          <cell r="X31">
            <v>43335.935266203705</v>
          </cell>
        </row>
        <row r="32">
          <cell r="B32" t="str">
            <v>201-107_PL14_CDV_669_T72_ds1_CC-004-778_059.lcd</v>
          </cell>
          <cell r="C32" t="str">
            <v>Unknown</v>
          </cell>
          <cell r="D32">
            <v>0</v>
          </cell>
          <cell r="E32" t="str">
            <v>669_T72_ds1</v>
          </cell>
          <cell r="F32">
            <v>1</v>
          </cell>
          <cell r="G32">
            <v>22</v>
          </cell>
          <cell r="H32" t="str">
            <v>-----</v>
          </cell>
          <cell r="I32">
            <v>585</v>
          </cell>
          <cell r="J32" t="str">
            <v>-----</v>
          </cell>
          <cell r="K32" t="str">
            <v>-----</v>
          </cell>
          <cell r="L32" t="str">
            <v>-----</v>
          </cell>
          <cell r="M32" t="str">
            <v>-----</v>
          </cell>
          <cell r="N32" t="str">
            <v>-----</v>
          </cell>
          <cell r="O32" t="str">
            <v>-----</v>
          </cell>
          <cell r="Q32" t="str">
            <v>-----</v>
          </cell>
          <cell r="R32">
            <v>8.36</v>
          </cell>
          <cell r="S32" t="str">
            <v>-----</v>
          </cell>
          <cell r="T32">
            <v>1</v>
          </cell>
          <cell r="U32">
            <v>261</v>
          </cell>
          <cell r="V32">
            <v>299</v>
          </cell>
          <cell r="W32" t="str">
            <v>-----</v>
          </cell>
          <cell r="X32">
            <v>43335.940104166664</v>
          </cell>
        </row>
        <row r="33">
          <cell r="B33" t="str">
            <v>201-107_PL14_CDV_669_T72_ds2_CC-004-778_060.lcd</v>
          </cell>
          <cell r="C33" t="str">
            <v>Unknown</v>
          </cell>
          <cell r="D33">
            <v>0</v>
          </cell>
          <cell r="E33" t="str">
            <v>669_T72_ds2</v>
          </cell>
          <cell r="F33">
            <v>1</v>
          </cell>
          <cell r="G33">
            <v>23</v>
          </cell>
          <cell r="H33" t="str">
            <v>-----</v>
          </cell>
          <cell r="I33">
            <v>411</v>
          </cell>
          <cell r="J33" t="str">
            <v>-----</v>
          </cell>
          <cell r="K33" t="str">
            <v>-----</v>
          </cell>
          <cell r="L33" t="str">
            <v>-----</v>
          </cell>
          <cell r="M33" t="str">
            <v>-----</v>
          </cell>
          <cell r="N33" t="str">
            <v>-----</v>
          </cell>
          <cell r="O33" t="str">
            <v>-----</v>
          </cell>
          <cell r="Q33" t="str">
            <v>-----</v>
          </cell>
          <cell r="R33">
            <v>1.25</v>
          </cell>
          <cell r="S33" t="str">
            <v>-----</v>
          </cell>
          <cell r="T33">
            <v>1</v>
          </cell>
          <cell r="U33">
            <v>225</v>
          </cell>
          <cell r="V33">
            <v>241</v>
          </cell>
          <cell r="W33" t="str">
            <v>-----</v>
          </cell>
          <cell r="X33">
            <v>43335.942546296297</v>
          </cell>
        </row>
        <row r="34">
          <cell r="B34" t="str">
            <v>201-107_PL14_CDV_669_T72_ds3_CC-004-778_061.lcd</v>
          </cell>
          <cell r="C34" t="str">
            <v>Unknown</v>
          </cell>
          <cell r="D34">
            <v>0</v>
          </cell>
          <cell r="E34" t="str">
            <v>669_T72_ds3</v>
          </cell>
          <cell r="F34">
            <v>1</v>
          </cell>
          <cell r="G34">
            <v>24</v>
          </cell>
          <cell r="H34" t="str">
            <v>-----</v>
          </cell>
          <cell r="I34">
            <v>515</v>
          </cell>
          <cell r="J34" t="str">
            <v>-----</v>
          </cell>
          <cell r="K34" t="str">
            <v>-----</v>
          </cell>
          <cell r="L34" t="str">
            <v>-----</v>
          </cell>
          <cell r="M34" t="str">
            <v>-----</v>
          </cell>
          <cell r="N34" t="str">
            <v>-----</v>
          </cell>
          <cell r="O34" t="str">
            <v>-----</v>
          </cell>
          <cell r="Q34" t="str">
            <v>-----</v>
          </cell>
          <cell r="R34">
            <v>9.7100000000000009</v>
          </cell>
          <cell r="S34" t="str">
            <v>-----</v>
          </cell>
          <cell r="T34">
            <v>1</v>
          </cell>
          <cell r="U34">
            <v>250</v>
          </cell>
          <cell r="V34">
            <v>278</v>
          </cell>
          <cell r="W34" t="str">
            <v>-----</v>
          </cell>
          <cell r="X34">
            <v>43335.944988425923</v>
          </cell>
        </row>
        <row r="35">
          <cell r="B35" t="str">
            <v>201-107_PL14_CDV_669_T72_med1_CC-004-778_063.lcd</v>
          </cell>
          <cell r="C35" t="str">
            <v>Unknown</v>
          </cell>
          <cell r="D35">
            <v>0</v>
          </cell>
          <cell r="E35" t="str">
            <v>669_T72_med1</v>
          </cell>
          <cell r="F35">
            <v>1</v>
          </cell>
          <cell r="G35">
            <v>34</v>
          </cell>
          <cell r="H35">
            <v>1.2509999999999999</v>
          </cell>
          <cell r="I35">
            <v>1240</v>
          </cell>
          <cell r="J35" t="str">
            <v>-----</v>
          </cell>
          <cell r="K35">
            <v>204.2</v>
          </cell>
          <cell r="L35" t="str">
            <v>-----</v>
          </cell>
          <cell r="M35" t="str">
            <v>-----</v>
          </cell>
          <cell r="N35" t="str">
            <v>-----</v>
          </cell>
          <cell r="O35" t="str">
            <v>-----</v>
          </cell>
          <cell r="P35" t="str">
            <v>Quant.Range(Low)</v>
          </cell>
          <cell r="Q35">
            <v>0.84</v>
          </cell>
          <cell r="R35">
            <v>37.04</v>
          </cell>
          <cell r="S35" t="str">
            <v>-----</v>
          </cell>
          <cell r="T35">
            <v>1</v>
          </cell>
          <cell r="U35">
            <v>401</v>
          </cell>
          <cell r="V35">
            <v>405</v>
          </cell>
          <cell r="W35" t="str">
            <v xml:space="preserve">   </v>
          </cell>
          <cell r="X35">
            <v>43335.949861111112</v>
          </cell>
        </row>
        <row r="36">
          <cell r="B36" t="str">
            <v>201-107_PL14_CDV_669_T72_med2_CC-004-778_064.lcd</v>
          </cell>
          <cell r="C36" t="str">
            <v>Unknown</v>
          </cell>
          <cell r="D36">
            <v>0</v>
          </cell>
          <cell r="E36" t="str">
            <v>669_T72_med2</v>
          </cell>
          <cell r="F36">
            <v>1</v>
          </cell>
          <cell r="G36">
            <v>35</v>
          </cell>
          <cell r="H36">
            <v>1.276</v>
          </cell>
          <cell r="I36">
            <v>1604</v>
          </cell>
          <cell r="J36" t="str">
            <v>-----</v>
          </cell>
          <cell r="K36">
            <v>263.5</v>
          </cell>
          <cell r="L36" t="str">
            <v>-----</v>
          </cell>
          <cell r="M36" t="str">
            <v>-----</v>
          </cell>
          <cell r="N36" t="str">
            <v>-----</v>
          </cell>
          <cell r="O36" t="str">
            <v>-----</v>
          </cell>
          <cell r="P36" t="str">
            <v>Quant.Range(Low)</v>
          </cell>
          <cell r="Q36">
            <v>1.26</v>
          </cell>
          <cell r="R36">
            <v>25.16</v>
          </cell>
          <cell r="S36" t="str">
            <v>-----</v>
          </cell>
          <cell r="T36">
            <v>1</v>
          </cell>
          <cell r="U36">
            <v>601</v>
          </cell>
          <cell r="V36">
            <v>628</v>
          </cell>
          <cell r="W36" t="str">
            <v xml:space="preserve">   </v>
          </cell>
          <cell r="X36">
            <v>43335.952280092592</v>
          </cell>
        </row>
        <row r="37">
          <cell r="B37" t="str">
            <v>201-107_PL14_CDV_669_T72_med3_CC-004-778_065.lcd</v>
          </cell>
          <cell r="C37" t="str">
            <v>Unknown</v>
          </cell>
          <cell r="D37">
            <v>0</v>
          </cell>
          <cell r="E37" t="str">
            <v>669_T72_med3</v>
          </cell>
          <cell r="F37">
            <v>1</v>
          </cell>
          <cell r="G37">
            <v>36</v>
          </cell>
          <cell r="H37">
            <v>1.268</v>
          </cell>
          <cell r="I37">
            <v>1418</v>
          </cell>
          <cell r="J37" t="str">
            <v>-----</v>
          </cell>
          <cell r="K37">
            <v>233.3</v>
          </cell>
          <cell r="L37" t="str">
            <v>-----</v>
          </cell>
          <cell r="M37" t="str">
            <v>-----</v>
          </cell>
          <cell r="N37" t="str">
            <v>-----</v>
          </cell>
          <cell r="O37" t="str">
            <v>-----</v>
          </cell>
          <cell r="P37" t="str">
            <v>Quant.Range(Low)</v>
          </cell>
          <cell r="Q37">
            <v>0.76</v>
          </cell>
          <cell r="R37">
            <v>38.270000000000003</v>
          </cell>
          <cell r="S37" t="str">
            <v>-----</v>
          </cell>
          <cell r="T37">
            <v>1</v>
          </cell>
          <cell r="U37">
            <v>411</v>
          </cell>
          <cell r="V37">
            <v>439</v>
          </cell>
          <cell r="W37" t="str">
            <v xml:space="preserve">   </v>
          </cell>
          <cell r="X37">
            <v>43335.954699074071</v>
          </cell>
        </row>
        <row r="58">
          <cell r="B58" t="str">
            <v>201-107_PL14_CDV_CDV_T0_ds1_CC-004-778_067.lcd</v>
          </cell>
          <cell r="C58" t="str">
            <v>Unknown</v>
          </cell>
          <cell r="D58">
            <v>0</v>
          </cell>
          <cell r="E58" t="str">
            <v>CDV_T0_ds1</v>
          </cell>
          <cell r="F58">
            <v>1</v>
          </cell>
          <cell r="G58">
            <v>40</v>
          </cell>
          <cell r="H58">
            <v>1.252</v>
          </cell>
          <cell r="I58">
            <v>8073</v>
          </cell>
          <cell r="J58" t="str">
            <v>-----</v>
          </cell>
          <cell r="K58">
            <v>1315.2</v>
          </cell>
          <cell r="L58" t="str">
            <v>-----</v>
          </cell>
          <cell r="M58" t="str">
            <v>-----</v>
          </cell>
          <cell r="N58" t="str">
            <v>-----</v>
          </cell>
          <cell r="O58" t="str">
            <v>-----</v>
          </cell>
          <cell r="Q58">
            <v>4.8899999999999997</v>
          </cell>
          <cell r="R58">
            <v>41.53</v>
          </cell>
          <cell r="S58" t="str">
            <v>-----</v>
          </cell>
          <cell r="T58">
            <v>1</v>
          </cell>
          <cell r="U58">
            <v>3305</v>
          </cell>
          <cell r="V58">
            <v>3316</v>
          </cell>
          <cell r="W58" t="str">
            <v xml:space="preserve">   </v>
          </cell>
          <cell r="X58">
            <v>43335.959548611114</v>
          </cell>
        </row>
        <row r="59">
          <cell r="B59" t="str">
            <v>201-107_PL14_CDV_CDV_T0_ds2_CC-004-778_068.lcd</v>
          </cell>
          <cell r="C59" t="str">
            <v>Unknown</v>
          </cell>
          <cell r="D59">
            <v>0</v>
          </cell>
          <cell r="E59" t="str">
            <v>CDV_T0_ds2</v>
          </cell>
          <cell r="F59">
            <v>1</v>
          </cell>
          <cell r="G59">
            <v>41</v>
          </cell>
          <cell r="H59">
            <v>1.246</v>
          </cell>
          <cell r="I59">
            <v>7033</v>
          </cell>
          <cell r="J59" t="str">
            <v>-----</v>
          </cell>
          <cell r="K59">
            <v>1146.0999999999999</v>
          </cell>
          <cell r="L59" t="str">
            <v>-----</v>
          </cell>
          <cell r="M59" t="str">
            <v>-----</v>
          </cell>
          <cell r="N59" t="str">
            <v>-----</v>
          </cell>
          <cell r="O59" t="str">
            <v>-----</v>
          </cell>
          <cell r="Q59">
            <v>4.1900000000000004</v>
          </cell>
          <cell r="R59">
            <v>42.78</v>
          </cell>
          <cell r="S59" t="str">
            <v>-----</v>
          </cell>
          <cell r="T59">
            <v>1</v>
          </cell>
          <cell r="U59">
            <v>2526</v>
          </cell>
          <cell r="V59">
            <v>2590</v>
          </cell>
          <cell r="W59" t="str">
            <v xml:space="preserve">   </v>
          </cell>
          <cell r="X59">
            <v>43335.96199074074</v>
          </cell>
        </row>
        <row r="60">
          <cell r="B60" t="str">
            <v>201-107_PL14_CDV_CDV_T0_ds3_CC-004-778_069.lcd</v>
          </cell>
          <cell r="C60" t="str">
            <v>Unknown</v>
          </cell>
          <cell r="D60">
            <v>0</v>
          </cell>
          <cell r="E60" t="str">
            <v>CDV_T0_ds3</v>
          </cell>
          <cell r="F60">
            <v>1</v>
          </cell>
          <cell r="G60">
            <v>42</v>
          </cell>
          <cell r="H60">
            <v>1.2509999999999999</v>
          </cell>
          <cell r="I60">
            <v>6545</v>
          </cell>
          <cell r="J60" t="str">
            <v>-----</v>
          </cell>
          <cell r="K60">
            <v>1066.7</v>
          </cell>
          <cell r="L60" t="str">
            <v>-----</v>
          </cell>
          <cell r="M60" t="str">
            <v>-----</v>
          </cell>
          <cell r="N60" t="str">
            <v>-----</v>
          </cell>
          <cell r="O60" t="str">
            <v>-----</v>
          </cell>
          <cell r="Q60">
            <v>6.63</v>
          </cell>
          <cell r="R60">
            <v>38.92</v>
          </cell>
          <cell r="S60" t="str">
            <v>-----</v>
          </cell>
          <cell r="T60">
            <v>1</v>
          </cell>
          <cell r="U60">
            <v>2575</v>
          </cell>
          <cell r="V60">
            <v>2618</v>
          </cell>
          <cell r="W60" t="str">
            <v xml:space="preserve">   </v>
          </cell>
          <cell r="X60">
            <v>43335.964432870373</v>
          </cell>
        </row>
        <row r="61">
          <cell r="B61" t="str">
            <v>201-107_PL14_CDV_CDV_T72_ds1_CC-004-778_071.lcd</v>
          </cell>
          <cell r="C61" t="str">
            <v>Unknown</v>
          </cell>
          <cell r="D61">
            <v>0</v>
          </cell>
          <cell r="E61" t="str">
            <v>CDV_T72_ds1</v>
          </cell>
          <cell r="F61">
            <v>1</v>
          </cell>
          <cell r="G61">
            <v>52</v>
          </cell>
          <cell r="H61">
            <v>1.2549999999999999</v>
          </cell>
          <cell r="I61">
            <v>8070</v>
          </cell>
          <cell r="J61" t="str">
            <v>-----</v>
          </cell>
          <cell r="K61">
            <v>1314.6</v>
          </cell>
          <cell r="L61" t="str">
            <v>-----</v>
          </cell>
          <cell r="M61" t="str">
            <v>-----</v>
          </cell>
          <cell r="N61" t="str">
            <v>-----</v>
          </cell>
          <cell r="O61" t="str">
            <v>-----</v>
          </cell>
          <cell r="Q61">
            <v>5.81</v>
          </cell>
          <cell r="R61">
            <v>28.81</v>
          </cell>
          <cell r="S61" t="str">
            <v>-----</v>
          </cell>
          <cell r="T61">
            <v>1</v>
          </cell>
          <cell r="U61">
            <v>3352</v>
          </cell>
          <cell r="V61">
            <v>3405</v>
          </cell>
          <cell r="W61" t="str">
            <v xml:space="preserve">   </v>
          </cell>
          <cell r="X61">
            <v>43335.969270833331</v>
          </cell>
        </row>
        <row r="62">
          <cell r="B62" t="str">
            <v>201-107_PL14_CDV_CDV_T72_ds2_CC-004-778_072.lcd</v>
          </cell>
          <cell r="C62" t="str">
            <v>Unknown</v>
          </cell>
          <cell r="D62">
            <v>0</v>
          </cell>
          <cell r="E62" t="str">
            <v>CDV_T72_ds2</v>
          </cell>
          <cell r="F62">
            <v>1</v>
          </cell>
          <cell r="G62">
            <v>53</v>
          </cell>
          <cell r="H62">
            <v>1.2470000000000001</v>
          </cell>
          <cell r="I62">
            <v>6934</v>
          </cell>
          <cell r="J62" t="str">
            <v>-----</v>
          </cell>
          <cell r="K62">
            <v>1130</v>
          </cell>
          <cell r="L62" t="str">
            <v>-----</v>
          </cell>
          <cell r="M62" t="str">
            <v>-----</v>
          </cell>
          <cell r="N62" t="str">
            <v>-----</v>
          </cell>
          <cell r="O62" t="str">
            <v>-----</v>
          </cell>
          <cell r="Q62">
            <v>4.4400000000000004</v>
          </cell>
          <cell r="R62">
            <v>49.89</v>
          </cell>
          <cell r="S62" t="str">
            <v>-----</v>
          </cell>
          <cell r="T62">
            <v>1</v>
          </cell>
          <cell r="U62">
            <v>2716</v>
          </cell>
          <cell r="V62">
            <v>2792</v>
          </cell>
          <cell r="W62" t="str">
            <v xml:space="preserve">   </v>
          </cell>
          <cell r="X62">
            <v>43335.971689814818</v>
          </cell>
        </row>
        <row r="63">
          <cell r="B63" t="str">
            <v>201-107_PL14_CDV_CDV_T72_ds3_CC-004-778_073.lcd</v>
          </cell>
          <cell r="C63" t="str">
            <v>Unknown</v>
          </cell>
          <cell r="D63">
            <v>0</v>
          </cell>
          <cell r="E63" t="str">
            <v>CDV_T72_ds3</v>
          </cell>
          <cell r="F63">
            <v>1</v>
          </cell>
          <cell r="G63">
            <v>54</v>
          </cell>
          <cell r="H63">
            <v>1.2490000000000001</v>
          </cell>
          <cell r="I63">
            <v>7214</v>
          </cell>
          <cell r="J63" t="str">
            <v>-----</v>
          </cell>
          <cell r="K63">
            <v>1175.5</v>
          </cell>
          <cell r="L63" t="str">
            <v>-----</v>
          </cell>
          <cell r="M63" t="str">
            <v>-----</v>
          </cell>
          <cell r="N63" t="str">
            <v>-----</v>
          </cell>
          <cell r="O63" t="str">
            <v>-----</v>
          </cell>
          <cell r="Q63">
            <v>3.37</v>
          </cell>
          <cell r="R63">
            <v>37.01</v>
          </cell>
          <cell r="S63" t="str">
            <v>-----</v>
          </cell>
          <cell r="T63">
            <v>1</v>
          </cell>
          <cell r="U63">
            <v>3081</v>
          </cell>
          <cell r="V63">
            <v>3083</v>
          </cell>
          <cell r="W63" t="str">
            <v xml:space="preserve">   </v>
          </cell>
          <cell r="X63">
            <v>43335.974120370367</v>
          </cell>
        </row>
        <row r="64">
          <cell r="B64" t="str">
            <v>201-107_PL14_CDV_CDV_T72_med1_CC-004-778_075.lcd</v>
          </cell>
          <cell r="C64" t="str">
            <v>Unknown</v>
          </cell>
          <cell r="D64">
            <v>0</v>
          </cell>
          <cell r="E64" t="str">
            <v>CDV_T72_med1</v>
          </cell>
          <cell r="F64">
            <v>1</v>
          </cell>
          <cell r="G64">
            <v>64</v>
          </cell>
          <cell r="H64">
            <v>1.2549999999999999</v>
          </cell>
          <cell r="I64">
            <v>7891</v>
          </cell>
          <cell r="J64" t="str">
            <v>-----</v>
          </cell>
          <cell r="K64">
            <v>1285.5</v>
          </cell>
          <cell r="L64" t="str">
            <v>-----</v>
          </cell>
          <cell r="M64" t="str">
            <v>-----</v>
          </cell>
          <cell r="N64" t="str">
            <v>-----</v>
          </cell>
          <cell r="O64" t="str">
            <v>-----</v>
          </cell>
          <cell r="Q64">
            <v>6.6</v>
          </cell>
          <cell r="R64">
            <v>31.95</v>
          </cell>
          <cell r="S64" t="str">
            <v>-----</v>
          </cell>
          <cell r="T64">
            <v>1</v>
          </cell>
          <cell r="U64">
            <v>3431</v>
          </cell>
          <cell r="V64">
            <v>3480</v>
          </cell>
          <cell r="W64" t="str">
            <v xml:space="preserve">   </v>
          </cell>
          <cell r="X64">
            <v>43335.978946759256</v>
          </cell>
        </row>
        <row r="65">
          <cell r="B65" t="str">
            <v>201-107_PL14_CDV_CDV_T72_med2_CC-004-778_076.lcd</v>
          </cell>
          <cell r="C65" t="str">
            <v>Unknown</v>
          </cell>
          <cell r="D65">
            <v>0</v>
          </cell>
          <cell r="E65" t="str">
            <v>CDV_T72_med2</v>
          </cell>
          <cell r="F65">
            <v>1</v>
          </cell>
          <cell r="G65">
            <v>65</v>
          </cell>
          <cell r="H65">
            <v>1.2549999999999999</v>
          </cell>
          <cell r="I65">
            <v>7878</v>
          </cell>
          <cell r="J65" t="str">
            <v>-----</v>
          </cell>
          <cell r="K65">
            <v>1283.5</v>
          </cell>
          <cell r="L65" t="str">
            <v>-----</v>
          </cell>
          <cell r="M65" t="str">
            <v>-----</v>
          </cell>
          <cell r="N65" t="str">
            <v>-----</v>
          </cell>
          <cell r="O65" t="str">
            <v>-----</v>
          </cell>
          <cell r="Q65">
            <v>7.37</v>
          </cell>
          <cell r="R65">
            <v>40.04</v>
          </cell>
          <cell r="S65" t="str">
            <v>-----</v>
          </cell>
          <cell r="T65">
            <v>1</v>
          </cell>
          <cell r="U65">
            <v>3063</v>
          </cell>
          <cell r="V65">
            <v>3077</v>
          </cell>
          <cell r="W65" t="str">
            <v xml:space="preserve">   </v>
          </cell>
          <cell r="X65">
            <v>43335.981354166666</v>
          </cell>
        </row>
        <row r="66">
          <cell r="B66" t="str">
            <v>201-107_PL14_CDV_CDV_T72_med3_CC-004-778_077.lcd</v>
          </cell>
          <cell r="C66" t="str">
            <v>Unknown</v>
          </cell>
          <cell r="D66">
            <v>0</v>
          </cell>
          <cell r="E66" t="str">
            <v>CDV_T72_med3</v>
          </cell>
          <cell r="F66">
            <v>1</v>
          </cell>
          <cell r="G66">
            <v>66</v>
          </cell>
          <cell r="H66">
            <v>1.25</v>
          </cell>
          <cell r="I66">
            <v>7470</v>
          </cell>
          <cell r="J66" t="str">
            <v>-----</v>
          </cell>
          <cell r="K66">
            <v>1217.0999999999999</v>
          </cell>
          <cell r="L66" t="str">
            <v>-----</v>
          </cell>
          <cell r="M66" t="str">
            <v>-----</v>
          </cell>
          <cell r="N66" t="str">
            <v>-----</v>
          </cell>
          <cell r="O66" t="str">
            <v>-----</v>
          </cell>
          <cell r="Q66">
            <v>4.68</v>
          </cell>
          <cell r="R66">
            <v>38.549999999999997</v>
          </cell>
          <cell r="S66" t="str">
            <v>-----</v>
          </cell>
          <cell r="T66">
            <v>1</v>
          </cell>
          <cell r="U66">
            <v>2859</v>
          </cell>
          <cell r="V66">
            <v>2955</v>
          </cell>
          <cell r="W66" t="str">
            <v xml:space="preserve">   </v>
          </cell>
          <cell r="X66">
            <v>43335.983784722222</v>
          </cell>
        </row>
        <row r="67">
          <cell r="B67" t="str">
            <v>201-107_PL14_CDV_CMX_T0_ds1_CC-004-778_091.lcd</v>
          </cell>
          <cell r="C67" t="str">
            <v>Unknown</v>
          </cell>
          <cell r="D67">
            <v>0</v>
          </cell>
          <cell r="E67" t="str">
            <v>CMX_T0_ds1</v>
          </cell>
          <cell r="F67">
            <v>1</v>
          </cell>
          <cell r="G67">
            <v>46</v>
          </cell>
          <cell r="H67" t="str">
            <v>-----</v>
          </cell>
          <cell r="I67" t="str">
            <v>-----</v>
          </cell>
          <cell r="J67" t="str">
            <v>-----</v>
          </cell>
          <cell r="K67" t="str">
            <v>-----</v>
          </cell>
          <cell r="L67" t="str">
            <v>-----</v>
          </cell>
          <cell r="M67" t="str">
            <v>-----</v>
          </cell>
          <cell r="N67" t="str">
            <v>-----</v>
          </cell>
          <cell r="O67" t="str">
            <v>-----</v>
          </cell>
          <cell r="Q67" t="str">
            <v>-----</v>
          </cell>
          <cell r="R67" t="str">
            <v>-----</v>
          </cell>
          <cell r="S67" t="str">
            <v>-----</v>
          </cell>
          <cell r="T67">
            <v>1</v>
          </cell>
          <cell r="U67" t="str">
            <v>-----</v>
          </cell>
          <cell r="V67" t="str">
            <v>-----</v>
          </cell>
          <cell r="W67" t="str">
            <v>-----</v>
          </cell>
          <cell r="X67">
            <v>43336.01771990741</v>
          </cell>
        </row>
        <row r="68">
          <cell r="B68" t="str">
            <v>201-107_PL14_CDV_CMX_T0_ds2_CC-004-778_092.lcd</v>
          </cell>
          <cell r="C68" t="str">
            <v>Unknown</v>
          </cell>
          <cell r="D68">
            <v>0</v>
          </cell>
          <cell r="E68" t="str">
            <v>CMX_T0_ds2</v>
          </cell>
          <cell r="F68">
            <v>1</v>
          </cell>
          <cell r="G68">
            <v>47</v>
          </cell>
          <cell r="H68" t="str">
            <v>-----</v>
          </cell>
          <cell r="I68">
            <v>251</v>
          </cell>
          <cell r="J68" t="str">
            <v>-----</v>
          </cell>
          <cell r="K68" t="str">
            <v>-----</v>
          </cell>
          <cell r="L68" t="str">
            <v>-----</v>
          </cell>
          <cell r="M68" t="str">
            <v>-----</v>
          </cell>
          <cell r="N68" t="str">
            <v>-----</v>
          </cell>
          <cell r="O68" t="str">
            <v>-----</v>
          </cell>
          <cell r="Q68" t="str">
            <v>-----</v>
          </cell>
          <cell r="R68">
            <v>9.77</v>
          </cell>
          <cell r="S68" t="str">
            <v>-----</v>
          </cell>
          <cell r="T68">
            <v>1</v>
          </cell>
          <cell r="U68">
            <v>157</v>
          </cell>
          <cell r="V68">
            <v>174</v>
          </cell>
          <cell r="W68" t="str">
            <v>-----</v>
          </cell>
          <cell r="X68">
            <v>43336.020127314812</v>
          </cell>
        </row>
        <row r="69">
          <cell r="B69" t="str">
            <v>201-107_PL14_CDV_CMX_T0_ds3_CC-004-778_093.lcd</v>
          </cell>
          <cell r="C69" t="str">
            <v>Unknown</v>
          </cell>
          <cell r="D69">
            <v>0</v>
          </cell>
          <cell r="E69" t="str">
            <v>CMX_T0_ds3</v>
          </cell>
          <cell r="F69">
            <v>1</v>
          </cell>
          <cell r="G69">
            <v>48</v>
          </cell>
          <cell r="H69" t="str">
            <v>-----</v>
          </cell>
          <cell r="I69">
            <v>422</v>
          </cell>
          <cell r="J69" t="str">
            <v>-----</v>
          </cell>
          <cell r="K69" t="str">
            <v>-----</v>
          </cell>
          <cell r="L69" t="str">
            <v>-----</v>
          </cell>
          <cell r="M69" t="str">
            <v>-----</v>
          </cell>
          <cell r="N69" t="str">
            <v>-----</v>
          </cell>
          <cell r="O69" t="str">
            <v>-----</v>
          </cell>
          <cell r="Q69" t="str">
            <v>-----</v>
          </cell>
          <cell r="R69">
            <v>19.64</v>
          </cell>
          <cell r="S69" t="str">
            <v>-----</v>
          </cell>
          <cell r="T69">
            <v>1</v>
          </cell>
          <cell r="U69">
            <v>160</v>
          </cell>
          <cell r="V69">
            <v>168</v>
          </cell>
          <cell r="W69" t="str">
            <v>-----</v>
          </cell>
          <cell r="X69">
            <v>43336.022557870368</v>
          </cell>
        </row>
        <row r="70">
          <cell r="B70" t="str">
            <v>201-107_PL14_CDV_CMX_T72_ds1_CC-004-778_095.lcd</v>
          </cell>
          <cell r="C70" t="str">
            <v>Unknown</v>
          </cell>
          <cell r="D70">
            <v>0</v>
          </cell>
          <cell r="E70" t="str">
            <v>CMX_T72_ds1</v>
          </cell>
          <cell r="F70">
            <v>1</v>
          </cell>
          <cell r="G70">
            <v>58</v>
          </cell>
          <cell r="H70" t="str">
            <v>-----</v>
          </cell>
          <cell r="I70" t="str">
            <v>-----</v>
          </cell>
          <cell r="J70" t="str">
            <v>-----</v>
          </cell>
          <cell r="K70" t="str">
            <v>-----</v>
          </cell>
          <cell r="L70" t="str">
            <v>-----</v>
          </cell>
          <cell r="M70" t="str">
            <v>-----</v>
          </cell>
          <cell r="N70" t="str">
            <v>-----</v>
          </cell>
          <cell r="O70" t="str">
            <v>-----</v>
          </cell>
          <cell r="Q70" t="str">
            <v>-----</v>
          </cell>
          <cell r="R70" t="str">
            <v>-----</v>
          </cell>
          <cell r="S70" t="str">
            <v>-----</v>
          </cell>
          <cell r="T70">
            <v>1</v>
          </cell>
          <cell r="U70" t="str">
            <v>-----</v>
          </cell>
          <cell r="V70" t="str">
            <v>-----</v>
          </cell>
          <cell r="W70" t="str">
            <v>-----</v>
          </cell>
          <cell r="X70">
            <v>43336.027418981481</v>
          </cell>
        </row>
        <row r="71">
          <cell r="B71" t="str">
            <v>201-107_PL14_CDV_CMX_T72_ds2_CC-004-778_096.lcd</v>
          </cell>
          <cell r="C71" t="str">
            <v>Unknown</v>
          </cell>
          <cell r="D71">
            <v>0</v>
          </cell>
          <cell r="E71" t="str">
            <v>CMX_T72_ds2</v>
          </cell>
          <cell r="F71">
            <v>1</v>
          </cell>
          <cell r="G71">
            <v>59</v>
          </cell>
          <cell r="H71" t="str">
            <v>-----</v>
          </cell>
          <cell r="I71">
            <v>566</v>
          </cell>
          <cell r="J71" t="str">
            <v>-----</v>
          </cell>
          <cell r="K71" t="str">
            <v>-----</v>
          </cell>
          <cell r="L71" t="str">
            <v>-----</v>
          </cell>
          <cell r="M71" t="str">
            <v>-----</v>
          </cell>
          <cell r="N71" t="str">
            <v>-----</v>
          </cell>
          <cell r="O71" t="str">
            <v>-----</v>
          </cell>
          <cell r="Q71" t="str">
            <v>-----</v>
          </cell>
          <cell r="R71">
            <v>0</v>
          </cell>
          <cell r="S71" t="str">
            <v>-----</v>
          </cell>
          <cell r="T71">
            <v>1</v>
          </cell>
          <cell r="U71">
            <v>234</v>
          </cell>
          <cell r="V71">
            <v>253</v>
          </cell>
          <cell r="W71" t="str">
            <v>-----</v>
          </cell>
          <cell r="X71">
            <v>43336.02983796296</v>
          </cell>
        </row>
        <row r="72">
          <cell r="B72" t="str">
            <v>201-107_PL14_CDV_CMX_T72_ds3_CC-004-778_097.lcd</v>
          </cell>
          <cell r="C72" t="str">
            <v>Unknown</v>
          </cell>
          <cell r="D72">
            <v>0</v>
          </cell>
          <cell r="E72" t="str">
            <v>CMX_T72_ds3</v>
          </cell>
          <cell r="F72">
            <v>1</v>
          </cell>
          <cell r="G72">
            <v>60</v>
          </cell>
          <cell r="H72" t="str">
            <v>-----</v>
          </cell>
          <cell r="I72">
            <v>484</v>
          </cell>
          <cell r="J72" t="str">
            <v>-----</v>
          </cell>
          <cell r="K72" t="str">
            <v>-----</v>
          </cell>
          <cell r="L72" t="str">
            <v>-----</v>
          </cell>
          <cell r="M72" t="str">
            <v>-----</v>
          </cell>
          <cell r="N72" t="str">
            <v>-----</v>
          </cell>
          <cell r="O72" t="str">
            <v>-----</v>
          </cell>
          <cell r="Q72" t="str">
            <v>-----</v>
          </cell>
          <cell r="R72">
            <v>20.61</v>
          </cell>
          <cell r="S72" t="str">
            <v>-----</v>
          </cell>
          <cell r="T72">
            <v>1</v>
          </cell>
          <cell r="U72">
            <v>241</v>
          </cell>
          <cell r="V72">
            <v>262</v>
          </cell>
          <cell r="W72" t="str">
            <v>-----</v>
          </cell>
          <cell r="X72">
            <v>43336.032280092593</v>
          </cell>
        </row>
        <row r="73">
          <cell r="B73" t="str">
            <v>201-107_PL14_CDV_CMX_T72_med1_CC-004-778_099.lcd</v>
          </cell>
          <cell r="C73" t="str">
            <v>Unknown</v>
          </cell>
          <cell r="D73">
            <v>0</v>
          </cell>
          <cell r="E73" t="str">
            <v>CMX_T72_med1</v>
          </cell>
          <cell r="F73">
            <v>1</v>
          </cell>
          <cell r="G73">
            <v>70</v>
          </cell>
          <cell r="H73">
            <v>1.276</v>
          </cell>
          <cell r="I73">
            <v>542</v>
          </cell>
          <cell r="J73" t="str">
            <v>-----</v>
          </cell>
          <cell r="K73">
            <v>90.8</v>
          </cell>
          <cell r="L73" t="str">
            <v>-----</v>
          </cell>
          <cell r="M73" t="str">
            <v>-----</v>
          </cell>
          <cell r="N73" t="str">
            <v>-----</v>
          </cell>
          <cell r="O73" t="str">
            <v>-----</v>
          </cell>
          <cell r="P73" t="str">
            <v>Quant.Range(Low)</v>
          </cell>
          <cell r="Q73">
            <v>0.61</v>
          </cell>
          <cell r="R73">
            <v>60.55</v>
          </cell>
          <cell r="S73" t="str">
            <v>-----</v>
          </cell>
          <cell r="T73">
            <v>1</v>
          </cell>
          <cell r="U73">
            <v>240</v>
          </cell>
          <cell r="V73">
            <v>256</v>
          </cell>
          <cell r="W73" t="str">
            <v xml:space="preserve">   </v>
          </cell>
          <cell r="X73">
            <v>43336.037152777775</v>
          </cell>
        </row>
        <row r="74">
          <cell r="B74" t="str">
            <v>201-107_PL14_CDV_CMX_T72_med2_CC-004-778_100.lcd</v>
          </cell>
          <cell r="C74" t="str">
            <v>Unknown</v>
          </cell>
          <cell r="D74">
            <v>0</v>
          </cell>
          <cell r="E74" t="str">
            <v>CMX_T72_med2</v>
          </cell>
          <cell r="F74">
            <v>1</v>
          </cell>
          <cell r="G74">
            <v>71</v>
          </cell>
          <cell r="H74" t="str">
            <v>-----</v>
          </cell>
          <cell r="I74">
            <v>458</v>
          </cell>
          <cell r="J74" t="str">
            <v>-----</v>
          </cell>
          <cell r="K74" t="str">
            <v>-----</v>
          </cell>
          <cell r="L74" t="str">
            <v>-----</v>
          </cell>
          <cell r="M74" t="str">
            <v>-----</v>
          </cell>
          <cell r="N74" t="str">
            <v>-----</v>
          </cell>
          <cell r="O74" t="str">
            <v>-----</v>
          </cell>
          <cell r="Q74" t="str">
            <v>-----</v>
          </cell>
          <cell r="R74">
            <v>18.53</v>
          </cell>
          <cell r="S74" t="str">
            <v>-----</v>
          </cell>
          <cell r="T74">
            <v>1</v>
          </cell>
          <cell r="U74">
            <v>243</v>
          </cell>
          <cell r="V74">
            <v>259</v>
          </cell>
          <cell r="W74" t="str">
            <v>-----</v>
          </cell>
          <cell r="X74">
            <v>43336.039571759262</v>
          </cell>
        </row>
        <row r="75">
          <cell r="B75" t="str">
            <v>201-107_PL14_CDV_CMX_T72_med3_CC-004-778_101.lcd</v>
          </cell>
          <cell r="C75" t="str">
            <v>Unknown</v>
          </cell>
          <cell r="D75">
            <v>0</v>
          </cell>
          <cell r="E75" t="str">
            <v>CMX_T72_med3</v>
          </cell>
          <cell r="F75">
            <v>1</v>
          </cell>
          <cell r="G75">
            <v>72</v>
          </cell>
          <cell r="H75" t="str">
            <v>-----</v>
          </cell>
          <cell r="I75">
            <v>825</v>
          </cell>
          <cell r="J75" t="str">
            <v>-----</v>
          </cell>
          <cell r="K75" t="str">
            <v>-----</v>
          </cell>
          <cell r="L75" t="str">
            <v>-----</v>
          </cell>
          <cell r="M75" t="str">
            <v>-----</v>
          </cell>
          <cell r="N75" t="str">
            <v>-----</v>
          </cell>
          <cell r="O75" t="str">
            <v>-----</v>
          </cell>
          <cell r="Q75" t="str">
            <v>-----</v>
          </cell>
          <cell r="R75">
            <v>16.52</v>
          </cell>
          <cell r="S75" t="str">
            <v>-----</v>
          </cell>
          <cell r="T75">
            <v>1</v>
          </cell>
          <cell r="U75">
            <v>311</v>
          </cell>
          <cell r="V75">
            <v>351</v>
          </cell>
          <cell r="W75" t="str">
            <v>-----</v>
          </cell>
          <cell r="X75">
            <v>43336.042013888888</v>
          </cell>
        </row>
      </sheetData>
    </sheetDataSet>
  </externalBook>
</externalLink>
</file>

<file path=xl/tables/table1.xml><?xml version="1.0" encoding="utf-8"?>
<table xmlns="http://schemas.openxmlformats.org/spreadsheetml/2006/main" id="29" name="npp_663" displayName="npp_663" ref="A3:J6" totalsRowShown="0" headerRowDxfId="381" dataDxfId="379" totalsRowDxfId="377" headerRowBorderDxfId="380" tableBorderDxfId="378" totalsRowBorderDxfId="376">
  <autoFilter ref="A3:J6"/>
  <tableColumns count="10">
    <tableColumn id="1" name="Rep" dataDxfId="375" totalsRowDxfId="374"/>
    <tableColumn id="2" name="Test Article" dataDxfId="373" totalsRowDxfId="372"/>
    <tableColumn id="4" name="Pro_t0_Media_nM" dataDxfId="371" totalsRowDxfId="370"/>
    <tableColumn id="5" name="Pro_t72_Media_nM" dataDxfId="369" totalsRowDxfId="368"/>
    <tableColumn id="8" name="Pro_t72_Lysate_nM" dataDxfId="367" totalsRowDxfId="366"/>
    <tableColumn id="6" name="CDV_t0_Media_nM" dataDxfId="365" totalsRowDxfId="364"/>
    <tableColumn id="7" name="CDV_t72_Media_nM" dataDxfId="363" totalsRowDxfId="362"/>
    <tableColumn id="9" name="CDV_t72_Lysate_nM" dataDxfId="361" totalsRowDxfId="360"/>
    <tableColumn id="10" name="PP_t72_Lysate_nM" dataDxfId="359" totalsRowDxfId="358"/>
    <tableColumn id="12" name="t72_stab" dataDxfId="357" totalsRowDxfId="35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35" name="CDV" displayName="CDV" ref="A3:J6" totalsRowShown="0" headerRowDxfId="191" dataDxfId="189" totalsRowDxfId="187" headerRowBorderDxfId="190" tableBorderDxfId="188" totalsRowBorderDxfId="186">
  <autoFilter ref="A3:J6"/>
  <tableColumns count="10">
    <tableColumn id="1" name="Rep" dataDxfId="185" totalsRowDxfId="184"/>
    <tableColumn id="2" name="Test Article" dataDxfId="183" totalsRowDxfId="182"/>
    <tableColumn id="4" name="Pro_t0_Media_nM" dataDxfId="181" totalsRowDxfId="180">
      <calculatedColumnFormula>NPP669_T0_ds1_Prodrug</calculatedColumnFormula>
    </tableColumn>
    <tableColumn id="5" name="Pro_t72_Media_nM" dataDxfId="179" totalsRowDxfId="178">
      <calculatedColumnFormula>NPP669_T72_med1_Prodrug</calculatedColumnFormula>
    </tableColumn>
    <tableColumn id="8" name="Pro_t72_Lysate_nM" dataDxfId="177" totalsRowDxfId="176"/>
    <tableColumn id="6" name="CDV_t0_Media_nM" dataDxfId="175" totalsRowDxfId="174"/>
    <tableColumn id="7" name="CDV_t72_Media_nM" dataDxfId="173" totalsRowDxfId="172"/>
    <tableColumn id="9" name="CDV_t72_Lysate_nM" dataDxfId="171" totalsRowDxfId="170"/>
    <tableColumn id="10" name="PP_t72_Lysate_nM" dataDxfId="169" totalsRowDxfId="168"/>
    <tableColumn id="12" name="t72_stab" dataDxfId="167" totalsRowDxfId="166">
      <calculatedColumnFormula>IFERROR(CDV_T72_ds1_CDV, "NA")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36" name="nmol_CDV" displayName="nmol_CDV" ref="A10:J13" totalsRowShown="0" headerRowDxfId="165" dataDxfId="163" totalsRowDxfId="161" headerRowBorderDxfId="164" tableBorderDxfId="162" totalsRowBorderDxfId="160">
  <autoFilter ref="A10:J13"/>
  <tableColumns count="10">
    <tableColumn id="1" name="Rep" dataDxfId="159" totalsRowDxfId="158"/>
    <tableColumn id="2" name="Test Article" dataDxfId="157" totalsRowDxfId="156"/>
    <tableColumn id="15" name="Pro_t0_Media_nmole" dataDxfId="155" totalsRowDxfId="154">
      <calculatedColumnFormula>IFERROR(C4/L_to_mL*lysate_volume__mL, "NA")</calculatedColumnFormula>
    </tableColumn>
    <tableColumn id="16" name="Pro_t72_Media_nmole" dataDxfId="153" totalsRowDxfId="152">
      <calculatedColumnFormula>IFERROR(D4/L_to_mL*lysate_volume__mL, "NA")</calculatedColumnFormula>
    </tableColumn>
    <tableColumn id="19" name="Pro_t72_Lysate_nmole" dataDxfId="151" totalsRowDxfId="150">
      <calculatedColumnFormula>IFERROR(E4/L_to_mL*lysate_volume__mL, "NA")</calculatedColumnFormula>
    </tableColumn>
    <tableColumn id="17" name="CDV_t0_Media_nmole" dataDxfId="149" totalsRowDxfId="148">
      <calculatedColumnFormula>IFERROR(F4/L_to_mL*media_volume__mL, "NA")</calculatedColumnFormula>
    </tableColumn>
    <tableColumn id="18" name="CDV_t72_Media_nmole" dataDxfId="147" totalsRowDxfId="146">
      <calculatedColumnFormula>IFERROR(G4/L_to_mL*media_volume__mL, "NA")</calculatedColumnFormula>
    </tableColumn>
    <tableColumn id="20" name="CDV_t72_Lysate_nmole" dataDxfId="145" totalsRowDxfId="144">
      <calculatedColumnFormula>IFERROR(H4/L_to_mL*lysate_volume__mL, "")</calculatedColumnFormula>
    </tableColumn>
    <tableColumn id="21" name="PP_t72_Lysate_nmole" dataDxfId="143" totalsRowDxfId="142">
      <calculatedColumnFormula>IFERROR(I4/L_to_mL*lysate_volume__mL, "")</calculatedColumnFormula>
    </tableColumn>
    <tableColumn id="26" name="t72_stability_nmol" dataDxfId="141" totalsRowDxfId="140" dataCellStyle="Percent">
      <calculatedColumnFormula>IFERROR(J4/L_to_mL*media_volume__mL, "NA")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37" name="percellsCDV" displayName="percellsCDV" ref="A20:G23" totalsRowShown="0" headerRowDxfId="139" dataDxfId="137" headerRowBorderDxfId="138" tableBorderDxfId="136" totalsRowBorderDxfId="135">
  <autoFilter ref="A20:G23"/>
  <tableColumns count="7">
    <tableColumn id="1" name="Rep" dataDxfId="134"/>
    <tableColumn id="2" name="Test Article" dataDxfId="133"/>
    <tableColumn id="7" name="rawcells" dataDxfId="132"/>
    <tableColumn id="6" name="cell_count_flask" dataDxfId="131"/>
    <tableColumn id="3" name="pmol_Pro/10^6cells" dataDxfId="130">
      <calculatedColumnFormula>IFERROR((H11*nano_to_pico)/(AVERAGE(percells663[cell_count_flask])/10^6), "")</calculatedColumnFormula>
    </tableColumn>
    <tableColumn id="4" name="pmol_CDV/10^6cells" dataDxfId="129">
      <calculatedColumnFormula>IFERROR(H11/(AVERAGE(#REF!)/10^6), "NA")</calculatedColumnFormula>
    </tableColumn>
    <tableColumn id="5" name="pmol_PP/10^6cells" dataDxfId="128">
      <calculatedColumnFormula>IFERROR(I11/(AVERAGE(percells669[pmol_Pro/10^6cells])/10^6), "NA")</calculatedColumnFormula>
    </tableColumn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38" name="USC" displayName="USC" ref="A3:J6" totalsRowShown="0" headerRowDxfId="127" dataDxfId="125" totalsRowDxfId="123" headerRowBorderDxfId="126" tableBorderDxfId="124" totalsRowBorderDxfId="122">
  <autoFilter ref="A3:J6"/>
  <tableColumns count="10">
    <tableColumn id="1" name="Rep" dataDxfId="121" totalsRowDxfId="120"/>
    <tableColumn id="2" name="Test Article" dataDxfId="119" totalsRowDxfId="118"/>
    <tableColumn id="4" name="Pro_t0_Media_nM" dataDxfId="117" totalsRowDxfId="116">
      <calculatedColumnFormula>NPP669_T0_ds1_Prodrug</calculatedColumnFormula>
    </tableColumn>
    <tableColumn id="5" name="Pro_t72_Media_nM" dataDxfId="115" totalsRowDxfId="114">
      <calculatedColumnFormula>NPP669_T72_med1_Prodrug</calculatedColumnFormula>
    </tableColumn>
    <tableColumn id="8" name="Pro_t72_Lysate_nM" dataDxfId="113" totalsRowDxfId="112"/>
    <tableColumn id="6" name="CDV_t0_Media_nM" dataDxfId="111" totalsRowDxfId="110"/>
    <tableColumn id="7" name="CDV_t72_Media_nM" dataDxfId="109" totalsRowDxfId="108"/>
    <tableColumn id="9" name="CDV_t72_Lysate_nM" dataDxfId="107" totalsRowDxfId="106"/>
    <tableColumn id="10" name="PP_t72_Lysate_nM" dataDxfId="105" totalsRowDxfId="104"/>
    <tableColumn id="12" name="t72_stab" dataDxfId="103" totalsRowDxfId="10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39" name="nmol_USC" displayName="nmol_USC" ref="A10:J13" totalsRowShown="0" headerRowDxfId="101" dataDxfId="99" totalsRowDxfId="97" headerRowBorderDxfId="100" tableBorderDxfId="98" totalsRowBorderDxfId="96">
  <autoFilter ref="A10:J13"/>
  <tableColumns count="10">
    <tableColumn id="1" name="Rep" dataDxfId="95" totalsRowDxfId="94"/>
    <tableColumn id="2" name="Test Article" dataDxfId="93" totalsRowDxfId="92"/>
    <tableColumn id="15" name="Pro_t0_Media_nmole" dataDxfId="91" totalsRowDxfId="90">
      <calculatedColumnFormula>C4/L_to_mL*media_volume__mL</calculatedColumnFormula>
    </tableColumn>
    <tableColumn id="16" name="Pro_t72_Media_nmole" dataDxfId="89" totalsRowDxfId="88">
      <calculatedColumnFormula>D4/L_to_mL*media_volume__mL</calculatedColumnFormula>
    </tableColumn>
    <tableColumn id="19" name="Pro_t72_Lysate_nmole" dataDxfId="87" totalsRowDxfId="86">
      <calculatedColumnFormula>E4/L_to_mL*lysate_volume__mL</calculatedColumnFormula>
    </tableColumn>
    <tableColumn id="17" name="CDV_t0_Media_nmole" dataDxfId="85" totalsRowDxfId="84">
      <calculatedColumnFormula>IFERROR(F4/L_to_mL*media_volume__mL, "")</calculatedColumnFormula>
    </tableColumn>
    <tableColumn id="18" name="CDV_t72_Media_nmole" dataDxfId="83" totalsRowDxfId="82">
      <calculatedColumnFormula>IFERROR(G4/L_to_mL*media_volume__mL, "")</calculatedColumnFormula>
    </tableColumn>
    <tableColumn id="20" name="CDV_t72_Lysate_nmole" dataDxfId="81" totalsRowDxfId="80">
      <calculatedColumnFormula>H4/L_to_mL*lysate_volume__mL</calculatedColumnFormula>
    </tableColumn>
    <tableColumn id="21" name="PP_t72_Lysate_nmole" dataDxfId="79" totalsRowDxfId="78">
      <calculatedColumnFormula>I4/L_to_mL*lysate_volume__mL</calculatedColumnFormula>
    </tableColumn>
    <tableColumn id="26" name="t72_stability_nmol" dataDxfId="77" totalsRowDxfId="76" dataCellStyle="Percent">
      <calculatedColumnFormula>IFERROR(J4/L_to_mL*media_volume__mL, "")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40" name="percellsUSC" displayName="percellsUSC" ref="A20:G23" totalsRowShown="0" headerRowDxfId="75" dataDxfId="73" headerRowBorderDxfId="74" tableBorderDxfId="72" totalsRowBorderDxfId="71">
  <autoFilter ref="A20:G23"/>
  <tableColumns count="7">
    <tableColumn id="1" name="Rep" dataDxfId="70"/>
    <tableColumn id="2" name="Test Article" dataDxfId="69"/>
    <tableColumn id="7" name="rawcells" dataDxfId="68"/>
    <tableColumn id="6" name="cell_count_flask" dataDxfId="67">
      <calculatedColumnFormula>percellsUSC[[#This Row],[rawcells]]/4*2*10000*5</calculatedColumnFormula>
    </tableColumn>
    <tableColumn id="3" name="pmol_Pro/10^6cells" dataDxfId="66">
      <calculatedColumnFormula>IFERROR((E11*nano_to_pico)/(AVERAGE(percells663[cell_count_flask])/10^6), "NA")</calculatedColumnFormula>
    </tableColumn>
    <tableColumn id="4" name="pmol_CDV/10^6cells" dataDxfId="65">
      <calculatedColumnFormula>IFERROR((H11*nano_to_pico)/(AVERAGE(percells663[cell_count_flask])/10^6), "NA")</calculatedColumnFormula>
    </tableColumn>
    <tableColumn id="5" name="pmol_PP/10^6cells" dataDxfId="64">
      <calculatedColumnFormula>IFERROR((I11*nano_to_pico)/(AVERAGE(percells663[cell_count_flask])/10^6), "NA")</calculatedColumnFormula>
    </tableColumn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41" name="CMX" displayName="CMX" ref="A3:J6" totalsRowShown="0" headerRowDxfId="63" dataDxfId="61" totalsRowDxfId="59" headerRowBorderDxfId="62" tableBorderDxfId="60" totalsRowBorderDxfId="58">
  <autoFilter ref="A3:J6"/>
  <tableColumns count="10">
    <tableColumn id="1" name="Rep" dataDxfId="57" totalsRowDxfId="56"/>
    <tableColumn id="2" name="Test Article" dataDxfId="55" totalsRowDxfId="54"/>
    <tableColumn id="4" name="Pro_t0_Media_nM" dataDxfId="53" totalsRowDxfId="52">
      <calculatedColumnFormula>NPP669_T0_ds1_Prodrug</calculatedColumnFormula>
    </tableColumn>
    <tableColumn id="5" name="Pro_t72_Media_nM" dataDxfId="51" totalsRowDxfId="50">
      <calculatedColumnFormula>NPP669_T72_med1_Prodrug</calculatedColumnFormula>
    </tableColumn>
    <tableColumn id="8" name="Pro_t72_Lysate_nM" dataDxfId="49" totalsRowDxfId="48"/>
    <tableColumn id="6" name="CDV_t0_Media_nM" dataDxfId="47" totalsRowDxfId="46"/>
    <tableColumn id="7" name="CDV_t72_Media_nM" dataDxfId="45" totalsRowDxfId="44"/>
    <tableColumn id="9" name="CDV_t72_Lysate_nM" dataDxfId="43" totalsRowDxfId="42"/>
    <tableColumn id="10" name="PP_t72_Lysate_nM" dataDxfId="41" totalsRowDxfId="40"/>
    <tableColumn id="12" name="t72_stab" dataDxfId="39" totalsRowDxfId="38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42" name="nmol_CMX" displayName="nmol_CMX" ref="A10:J13" totalsRowShown="0" headerRowDxfId="37" dataDxfId="35" totalsRowDxfId="33" headerRowBorderDxfId="36" tableBorderDxfId="34" totalsRowBorderDxfId="32">
  <autoFilter ref="A10:J13"/>
  <tableColumns count="10">
    <tableColumn id="1" name="Rep" dataDxfId="31" totalsRowDxfId="30"/>
    <tableColumn id="2" name="Test Article" dataDxfId="29" totalsRowDxfId="28"/>
    <tableColumn id="15" name="Pro_t0_Media_nmole" dataDxfId="27" totalsRowDxfId="26">
      <calculatedColumnFormula>C4/L_to_mL*media_volume__mL</calculatedColumnFormula>
    </tableColumn>
    <tableColumn id="16" name="Pro_t72_Media_nmole" dataDxfId="25" totalsRowDxfId="24">
      <calculatedColumnFormula>D4/L_to_mL*media_volume__mL</calculatedColumnFormula>
    </tableColumn>
    <tableColumn id="19" name="Pro_t72_Lysate_nmole" dataDxfId="23" totalsRowDxfId="22">
      <calculatedColumnFormula>E4/L_to_mL*lysate_volume__mL</calculatedColumnFormula>
    </tableColumn>
    <tableColumn id="17" name="CDV_t0_Media_nmole" dataDxfId="21" totalsRowDxfId="20">
      <calculatedColumnFormula>IFERROR(F4/L_to_mL*media_volume__mL, "")</calculatedColumnFormula>
    </tableColumn>
    <tableColumn id="18" name="CDV_t72_Media_nmole" dataDxfId="19" totalsRowDxfId="18">
      <calculatedColumnFormula>IFERROR(G4/L_to_mL*media_volume__mL, "")</calculatedColumnFormula>
    </tableColumn>
    <tableColumn id="20" name="CDV_t72_Lysate_nmole" dataDxfId="17" totalsRowDxfId="16">
      <calculatedColumnFormula>H4/L_to_mL*lysate_volume__mL</calculatedColumnFormula>
    </tableColumn>
    <tableColumn id="21" name="PP_t72_Lysate_nmole" dataDxfId="15" totalsRowDxfId="14">
      <calculatedColumnFormula>I4/L_to_mL*lysate_volume__mL</calculatedColumnFormula>
    </tableColumn>
    <tableColumn id="26" name="t72_stability_nmol" dataDxfId="13" totalsRowDxfId="12" dataCellStyle="Percent">
      <calculatedColumnFormula>IFERROR(J4/L_to_mL*media_volume__mL, "")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43" name="percellsCMX" displayName="percellsCMX" ref="A20:G23" totalsRowShown="0" headerRowDxfId="11" dataDxfId="9" headerRowBorderDxfId="10" tableBorderDxfId="8" totalsRowBorderDxfId="7">
  <autoFilter ref="A20:G23"/>
  <tableColumns count="7">
    <tableColumn id="1" name="Rep" dataDxfId="6"/>
    <tableColumn id="2" name="Test Article" dataDxfId="5"/>
    <tableColumn id="7" name="rawcells" dataDxfId="4"/>
    <tableColumn id="6" name="cell_count_flask" dataDxfId="3"/>
    <tableColumn id="3" name="pmol_Pro/10^6cells" dataDxfId="2"/>
    <tableColumn id="4" name="pmol_CDV/10^6cells" dataDxfId="1"/>
    <tableColumn id="5" name="pmol_PP/10^6cells" dataDxfId="0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30" name="nmol_663" displayName="nmol_663" ref="A10:J13" totalsRowShown="0" headerRowDxfId="355" dataDxfId="353" totalsRowDxfId="351" headerRowBorderDxfId="354" tableBorderDxfId="352" totalsRowBorderDxfId="350">
  <autoFilter ref="A10:J13"/>
  <tableColumns count="10">
    <tableColumn id="1" name="Rep" dataDxfId="349" totalsRowDxfId="348"/>
    <tableColumn id="2" name="Test Article" dataDxfId="347" totalsRowDxfId="346"/>
    <tableColumn id="15" name="Pro_t0_Media_nmole" dataDxfId="345" totalsRowDxfId="344">
      <calculatedColumnFormula>IFERROR(C4/L_to_mL*media_volume__mL, "")</calculatedColumnFormula>
    </tableColumn>
    <tableColumn id="16" name="Pro_t72_Media_nmole" dataDxfId="343" totalsRowDxfId="342">
      <calculatedColumnFormula>IFERROR(D4/L_to_mL*media_volume__mL, "")</calculatedColumnFormula>
    </tableColumn>
    <tableColumn id="19" name="Pro_t72_Lysate_nmole" dataDxfId="341" totalsRowDxfId="340">
      <calculatedColumnFormula>IFERROR(E4/L_to_mL*lysate_volume__mL, "")</calculatedColumnFormula>
    </tableColumn>
    <tableColumn id="17" name="CDV_t0_Media_nmole" dataDxfId="339" totalsRowDxfId="338">
      <calculatedColumnFormula>IFERROR(F4/L_to_mL*media_volume__mL, "")</calculatedColumnFormula>
    </tableColumn>
    <tableColumn id="18" name="CDV_t72_Media_nmole" dataDxfId="337" totalsRowDxfId="336">
      <calculatedColumnFormula>IFERROR(G4/L_to_mL*media_volume__mL, "")</calculatedColumnFormula>
    </tableColumn>
    <tableColumn id="20" name="CDV_t72_Lysate_nmole" dataDxfId="335" totalsRowDxfId="334">
      <calculatedColumnFormula>IFERROR(H4/L_to_mL*lysate_volume__mL, "")</calculatedColumnFormula>
    </tableColumn>
    <tableColumn id="21" name="PP_t72_Lysate_nmole" dataDxfId="333" totalsRowDxfId="332">
      <calculatedColumnFormula>IFERROR(I4/L_to_mL*lysate_volume__mL, 0)</calculatedColumnFormula>
    </tableColumn>
    <tableColumn id="3" name="t72_stability_nmol" dataDxfId="331" totalsRowDxfId="330">
      <calculatedColumnFormula>IFERROR(J4/L_to_mL*media_volume__mL, "")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1" name="percells663" displayName="percells663" ref="A20:G23" totalsRowShown="0" headerRowDxfId="329" dataDxfId="327" headerRowBorderDxfId="328" tableBorderDxfId="326" totalsRowBorderDxfId="325">
  <autoFilter ref="A20:G23"/>
  <tableColumns count="7">
    <tableColumn id="1" name="Rep" dataDxfId="324"/>
    <tableColumn id="2" name="Test Article" dataDxfId="323"/>
    <tableColumn id="8" name="rawcells" dataDxfId="322"/>
    <tableColumn id="7" name="cell_count_flask" dataDxfId="321"/>
    <tableColumn id="3" name="pmol_Pro/10^6cells" dataDxfId="320">
      <calculatedColumnFormula>IFERROR(E11/(AVERAGE(#REF!)/10^6), "NA")</calculatedColumnFormula>
    </tableColumn>
    <tableColumn id="4" name="pmol_CDV/10^6cells" dataDxfId="319">
      <calculatedColumnFormula>IFERROR(H11/(AVERAGE(#REF!)/10^6), "NA")</calculatedColumnFormula>
    </tableColumn>
    <tableColumn id="5" name="pmol_PP/10^6cells" dataDxfId="318">
      <calculatedColumnFormula>IFERROR(I11/(AVERAGE(#REF!)/10^6), "NA")</calculatedColumnFormula>
    </tableColumn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2" name="npp_666" displayName="npp_666" ref="A3:J6" totalsRowShown="0" headerRowDxfId="317" dataDxfId="315" totalsRowDxfId="313" headerRowBorderDxfId="316" tableBorderDxfId="314" totalsRowBorderDxfId="312">
  <autoFilter ref="A3:J6"/>
  <tableColumns count="10">
    <tableColumn id="1" name="Rep" dataDxfId="311" totalsRowDxfId="310"/>
    <tableColumn id="2" name="Test Article" dataDxfId="309" totalsRowDxfId="308"/>
    <tableColumn id="4" name="Pro_t0_Media_nM" dataDxfId="307" totalsRowDxfId="306">
      <calculatedColumnFormula>NPP669_T0_ds1_Prodrug</calculatedColumnFormula>
    </tableColumn>
    <tableColumn id="5" name="Pro_t72_Media_nM" dataDxfId="305" totalsRowDxfId="304">
      <calculatedColumnFormula>NPP669_T72_med1_Prodrug</calculatedColumnFormula>
    </tableColumn>
    <tableColumn id="8" name="Pro_t72_Lysate_nM" dataDxfId="303" totalsRowDxfId="302"/>
    <tableColumn id="6" name="CDV_t0_Media_nM" dataDxfId="301" totalsRowDxfId="300"/>
    <tableColumn id="7" name="CDV_t72_Media_nM" dataDxfId="299" totalsRowDxfId="298"/>
    <tableColumn id="9" name="CDV_t72_Lysate_nM" dataDxfId="297" totalsRowDxfId="296"/>
    <tableColumn id="10" name="PP_t72_Lysate_nM" dataDxfId="295" totalsRowDxfId="294"/>
    <tableColumn id="12" name="t72_stab" dataDxfId="293" totalsRowDxfId="29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3" name="nmol_666" displayName="nmol_666" ref="A10:J13" totalsRowShown="0" headerRowDxfId="291" dataDxfId="289" totalsRowDxfId="287" headerRowBorderDxfId="290" tableBorderDxfId="288" totalsRowBorderDxfId="286">
  <autoFilter ref="A10:J13"/>
  <tableColumns count="10">
    <tableColumn id="1" name="Rep" dataDxfId="285" totalsRowDxfId="284"/>
    <tableColumn id="2" name="Test Article" dataDxfId="283" totalsRowDxfId="282"/>
    <tableColumn id="15" name="Pro_t0_Media_nmole" dataDxfId="281" totalsRowDxfId="280">
      <calculatedColumnFormula>C4/L_to_mL*media_volume__mL</calculatedColumnFormula>
    </tableColumn>
    <tableColumn id="16" name="Pro_t72_Media_nmole" dataDxfId="279" totalsRowDxfId="278">
      <calculatedColumnFormula>D4/L_to_mL*media_volume__mL</calculatedColumnFormula>
    </tableColumn>
    <tableColumn id="19" name="Pro_t72_Lysate_nmole" dataDxfId="277" totalsRowDxfId="276">
      <calculatedColumnFormula>E4/L_to_mL*lysate_volume__mL</calculatedColumnFormula>
    </tableColumn>
    <tableColumn id="17" name="CDV_t0_Media_nmole" dataDxfId="275" totalsRowDxfId="274">
      <calculatedColumnFormula>IFERROR(F4/L_to_mL*media_volume__mL, "")</calculatedColumnFormula>
    </tableColumn>
    <tableColumn id="18" name="CDV_t72_Media_nmole" dataDxfId="273" totalsRowDxfId="272">
      <calculatedColumnFormula>IFERROR(G4/L_to_mL*media_volume__mL, "")</calculatedColumnFormula>
    </tableColumn>
    <tableColumn id="20" name="CDV_t72_Lysate_nmole" dataDxfId="271" totalsRowDxfId="270">
      <calculatedColumnFormula>H4/L_to_mL*lysate_volume__mL</calculatedColumnFormula>
    </tableColumn>
    <tableColumn id="21" name="PP_t72_Lysate_nmole" dataDxfId="269" totalsRowDxfId="268">
      <calculatedColumnFormula>I4/L_to_mL*lysate_volume__mL</calculatedColumnFormula>
    </tableColumn>
    <tableColumn id="26" name="t72_stability_nmol" dataDxfId="267" totalsRowDxfId="266" dataCellStyle="Percent">
      <calculatedColumnFormula>IFERROR(J4/L_to_mL*media_volume__mL, "")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34" name="percells666" displayName="percells666" ref="A20:G23" totalsRowShown="0" headerRowDxfId="265" dataDxfId="263" headerRowBorderDxfId="264" tableBorderDxfId="262" totalsRowBorderDxfId="261">
  <autoFilter ref="A20:G23"/>
  <tableColumns count="7">
    <tableColumn id="1" name="Rep" dataDxfId="260"/>
    <tableColumn id="2" name="Test Article" dataDxfId="259"/>
    <tableColumn id="7" name="rawcells" dataDxfId="258"/>
    <tableColumn id="6" name="cell_count_flask" dataDxfId="257">
      <calculatedColumnFormula>#REF!/4*2*10000*5</calculatedColumnFormula>
    </tableColumn>
    <tableColumn id="3" name="pmol_Pro/10^6cells" dataDxfId="256">
      <calculatedColumnFormula>IFERROR((E11*nano_to_pico)/(AVERAGE(percells666[cell_count_flask])/10^6), "NA")</calculatedColumnFormula>
    </tableColumn>
    <tableColumn id="4" name="pmol_CDV/10^6cells" dataDxfId="255">
      <calculatedColumnFormula>IFERROR((H11*nano_to_pico)/(AVERAGE(percells666[cell_count_flask])/10^6), "NA")</calculatedColumnFormula>
    </tableColumn>
    <tableColumn id="5" name="pmol_PP/10^6cells" dataDxfId="254">
      <calculatedColumnFormula>IFERROR((I11*nano_to_pico)/(AVERAGE(percells666[cell_count_flask])/10^6), "NA")</calculatedColumnFormula>
    </tableColumn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5" name="npp_669" displayName="npp_669" ref="A3:J6" totalsRowShown="0" headerRowDxfId="253" dataDxfId="251" headerRowBorderDxfId="252" tableBorderDxfId="250" totalsRowBorderDxfId="249">
  <autoFilter ref="A3:J6"/>
  <tableColumns count="10">
    <tableColumn id="1" name="Rep" dataDxfId="248" totalsRowDxfId="247"/>
    <tableColumn id="2" name="Test Article" dataDxfId="246" totalsRowDxfId="245"/>
    <tableColumn id="4" name="Pro_t0_Media_nM" dataDxfId="244" totalsRowDxfId="243">
      <calculatedColumnFormula>NPP669_T0_ds1_Prodrug</calculatedColumnFormula>
    </tableColumn>
    <tableColumn id="5" name="Pro_t72_Media_nM" dataDxfId="242" totalsRowDxfId="241">
      <calculatedColumnFormula>NPP669_T72_med1_Prodrug</calculatedColumnFormula>
    </tableColumn>
    <tableColumn id="8" name="Pro_t72_Lysate_nM" dataDxfId="240" totalsRowDxfId="239"/>
    <tableColumn id="6" name="CDV_t0_Media_nM" dataDxfId="238" totalsRowDxfId="237"/>
    <tableColumn id="7" name="CDV_t72_Media_nM" dataDxfId="236" totalsRowDxfId="235"/>
    <tableColumn id="9" name="CDV_t72_Lysate_nM" dataDxfId="234" totalsRowDxfId="233"/>
    <tableColumn id="10" name="PP_t72_Lysate_nM" dataDxfId="232" totalsRowDxfId="231"/>
    <tableColumn id="12" name="t72_stab" dataDxfId="230" totalsRowDxfId="22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4" name="nmol_669" displayName="nmol_669" ref="A10:J13" totalsRowShown="0" headerRowDxfId="228" dataDxfId="226" headerRowBorderDxfId="227" tableBorderDxfId="225" totalsRowBorderDxfId="224">
  <autoFilter ref="A10:J13"/>
  <tableColumns count="10">
    <tableColumn id="1" name="Rep" dataDxfId="223" totalsRowDxfId="222"/>
    <tableColumn id="2" name="Test Article" dataDxfId="221" totalsRowDxfId="220"/>
    <tableColumn id="15" name="Pro_t0_Media_nmole" dataDxfId="219" totalsRowDxfId="218">
      <calculatedColumnFormula>C4/L_to_mL*media_volume__mL</calculatedColumnFormula>
    </tableColumn>
    <tableColumn id="16" name="Pro_t72_Media_nmole" dataDxfId="217" totalsRowDxfId="216">
      <calculatedColumnFormula>D4/L_to_mL*media_volume__mL</calculatedColumnFormula>
    </tableColumn>
    <tableColumn id="19" name="Pro_t72_Lysate_nmole" dataDxfId="215" totalsRowDxfId="214">
      <calculatedColumnFormula>E4/L_to_mL*lysate_volume__mL</calculatedColumnFormula>
    </tableColumn>
    <tableColumn id="17" name="CDV_t0_Media_nmole" dataDxfId="213" totalsRowDxfId="212">
      <calculatedColumnFormula>IFERROR(F4/L_to_mL*media_volume__mL, "")</calculatedColumnFormula>
    </tableColumn>
    <tableColumn id="18" name="CDV_t72_Media_nmole" dataDxfId="211" totalsRowDxfId="210">
      <calculatedColumnFormula>IFERROR(G4/L_to_mL*media_volume__mL, "")</calculatedColumnFormula>
    </tableColumn>
    <tableColumn id="20" name="CDV_t72_Lysate_nmole" dataDxfId="209" totalsRowDxfId="208">
      <calculatedColumnFormula>H4/L_to_mL*lysate_volume__mL</calculatedColumnFormula>
    </tableColumn>
    <tableColumn id="21" name="PP_t72_Lysate_nmole" dataDxfId="207" totalsRowDxfId="206">
      <calculatedColumnFormula>I4/L_to_mL*lysate_volume__mL</calculatedColumnFormula>
    </tableColumn>
    <tableColumn id="26" name="t72_stability_nmol" dataDxfId="205" totalsRowDxfId="204" dataCellStyle="Percent">
      <calculatedColumnFormula>IFERROR(J4/L_to_mL*media_volume__mL, "")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5" name="percells669" displayName="percells669" ref="A20:G23" totalsRowShown="0" headerRowDxfId="203" dataDxfId="201" headerRowBorderDxfId="202" tableBorderDxfId="200" totalsRowBorderDxfId="199">
  <autoFilter ref="A20:G23"/>
  <tableColumns count="7">
    <tableColumn id="1" name="Rep" dataDxfId="198"/>
    <tableColumn id="2" name="Test Article" dataDxfId="197"/>
    <tableColumn id="7" name="rawcells" dataDxfId="196"/>
    <tableColumn id="6" name="cell_count_flask" dataDxfId="195">
      <calculatedColumnFormula>percells669[[#This Row],[rawcells]]/4*2*10000*5</calculatedColumnFormula>
    </tableColumn>
    <tableColumn id="3" name="pmol_Pro/10^6cells" dataDxfId="194">
      <calculatedColumnFormula>IFERROR((E11*nano_to_pico)/(AVERAGE(percells663[cell_count_flask])/10^6), "NA")</calculatedColumnFormula>
    </tableColumn>
    <tableColumn id="4" name="pmol_CDV/10^6cells" dataDxfId="193">
      <calculatedColumnFormula>IFERROR((H11*nano_to_pico)/(AVERAGE(percells663[cell_count_flask])/10^6), "NA")</calculatedColumnFormula>
    </tableColumn>
    <tableColumn id="5" name="pmol_PP/10^6cells" dataDxfId="192">
      <calculatedColumnFormula>IFERROR((I11*nano_to_pico)/(AVERAGE(percells663[cell_count_flask])/10^6), "NA")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2"/>
  <sheetViews>
    <sheetView topLeftCell="F1" workbookViewId="0">
      <pane ySplit="1" topLeftCell="A123" activePane="bottomLeft" state="frozen"/>
      <selection pane="bottomLeft" activeCell="K155" sqref="K155"/>
    </sheetView>
  </sheetViews>
  <sheetFormatPr defaultRowHeight="15" x14ac:dyDescent="0.25"/>
  <cols>
    <col min="1" max="1" width="63.85546875" bestFit="1" customWidth="1"/>
    <col min="2" max="2" width="13.42578125" bestFit="1" customWidth="1"/>
    <col min="3" max="3" width="6.7109375" bestFit="1" customWidth="1"/>
    <col min="4" max="4" width="13.42578125" customWidth="1"/>
    <col min="5" max="5" width="13.42578125" bestFit="1" customWidth="1"/>
    <col min="6" max="6" width="13.7109375" bestFit="1" customWidth="1"/>
    <col min="7" max="7" width="13.7109375" customWidth="1"/>
    <col min="8" max="8" width="13.140625" bestFit="1" customWidth="1"/>
    <col min="9" max="9" width="16.140625" bestFit="1" customWidth="1"/>
    <col min="23" max="23" width="9.7109375" style="77" bestFit="1" customWidth="1"/>
  </cols>
  <sheetData>
    <row r="1" spans="1:27" x14ac:dyDescent="0.25">
      <c r="A1" t="s">
        <v>45</v>
      </c>
      <c r="B1" t="s">
        <v>138</v>
      </c>
      <c r="C1" t="s">
        <v>139</v>
      </c>
      <c r="D1" t="s">
        <v>46</v>
      </c>
      <c r="E1" t="s">
        <v>140</v>
      </c>
      <c r="F1" t="s">
        <v>141</v>
      </c>
      <c r="G1" t="s">
        <v>142</v>
      </c>
      <c r="H1" t="s">
        <v>143</v>
      </c>
      <c r="I1" t="s">
        <v>144</v>
      </c>
      <c r="J1" t="s">
        <v>30</v>
      </c>
      <c r="K1" t="s">
        <v>145</v>
      </c>
      <c r="L1" t="s">
        <v>146</v>
      </c>
      <c r="M1" t="s">
        <v>147</v>
      </c>
      <c r="N1" t="s">
        <v>148</v>
      </c>
      <c r="O1" t="s">
        <v>149</v>
      </c>
      <c r="P1" t="s">
        <v>150</v>
      </c>
      <c r="Q1" t="s">
        <v>151</v>
      </c>
      <c r="R1" t="s">
        <v>152</v>
      </c>
      <c r="S1" t="s">
        <v>153</v>
      </c>
      <c r="T1" t="s">
        <v>154</v>
      </c>
      <c r="U1" t="s">
        <v>155</v>
      </c>
      <c r="V1" t="s">
        <v>156</v>
      </c>
      <c r="W1" s="77" t="s">
        <v>157</v>
      </c>
      <c r="X1" t="s">
        <v>317</v>
      </c>
      <c r="Y1" t="s">
        <v>344</v>
      </c>
      <c r="Z1" t="s">
        <v>26</v>
      </c>
      <c r="AA1" t="s">
        <v>29</v>
      </c>
    </row>
    <row r="2" spans="1:27" x14ac:dyDescent="0.25">
      <c r="A2" t="str">
        <f>'[1]NPP-663 Media'!B32</f>
        <v>201-107_PL10_T0_ds1_CC-004-766_031.lcd</v>
      </c>
      <c r="B2" t="str">
        <f>'[1]NPP-663 Media'!C32</f>
        <v>Unknown</v>
      </c>
      <c r="C2">
        <f>'[1]NPP-663 Media'!D32</f>
        <v>0</v>
      </c>
      <c r="D2" t="str">
        <f>'[1]NPP-663 Media'!E32</f>
        <v>T0_ds1</v>
      </c>
      <c r="E2">
        <f>'[1]NPP-663 Media'!F32</f>
        <v>1</v>
      </c>
      <c r="F2">
        <f>'[1]NPP-663 Media'!G32</f>
        <v>4</v>
      </c>
      <c r="G2">
        <f>'[1]NPP-663 Media'!H32</f>
        <v>1.911</v>
      </c>
      <c r="H2">
        <f>'[1]NPP-663 Media'!I32</f>
        <v>613767</v>
      </c>
      <c r="I2" t="str">
        <f>'[1]NPP-663 Media'!J32</f>
        <v>-----</v>
      </c>
      <c r="J2">
        <f>'[1]NPP-663 Media'!K32</f>
        <v>1068.8</v>
      </c>
      <c r="K2" t="str">
        <f>'[1]NPP-663 Media'!L32</f>
        <v>-----</v>
      </c>
      <c r="L2" t="str">
        <f>'[1]NPP-663 Media'!M32</f>
        <v>-----</v>
      </c>
      <c r="M2" t="str">
        <f>'[1]NPP-663 Media'!N32</f>
        <v>-----</v>
      </c>
      <c r="N2" t="str">
        <f>'[1]NPP-663 Media'!O32</f>
        <v>-----</v>
      </c>
      <c r="O2">
        <f>'[1]NPP-663 Media'!P32</f>
        <v>0</v>
      </c>
      <c r="P2">
        <f>'[1]NPP-663 Media'!Q32</f>
        <v>631.17999999999995</v>
      </c>
      <c r="Q2">
        <f>'[1]NPP-663 Media'!R32</f>
        <v>87.06</v>
      </c>
      <c r="R2" t="str">
        <f>'[1]NPP-663 Media'!S32</f>
        <v>-----</v>
      </c>
      <c r="S2">
        <f>'[1]NPP-663 Media'!T32</f>
        <v>1</v>
      </c>
      <c r="T2">
        <f>'[1]NPP-663 Media'!U32</f>
        <v>155170</v>
      </c>
      <c r="U2" t="str">
        <f>'[1]NPP-663 Media'!V32</f>
        <v>-----</v>
      </c>
      <c r="V2" t="str">
        <f>'[1]NPP-663 Media'!W32</f>
        <v xml:space="preserve">   </v>
      </c>
      <c r="W2" s="77">
        <f>'[1]NPP-663 Media'!X32</f>
        <v>43326.855729166666</v>
      </c>
      <c r="X2">
        <v>663</v>
      </c>
      <c r="Y2" t="s">
        <v>43</v>
      </c>
      <c r="Z2" t="s">
        <v>27</v>
      </c>
      <c r="AA2">
        <v>0</v>
      </c>
    </row>
    <row r="3" spans="1:27" x14ac:dyDescent="0.25">
      <c r="A3" t="str">
        <f>'[1]NPP-663 Media'!B33</f>
        <v>201-107_PL10_T0_ds2_CC-004-766_032.lcd</v>
      </c>
      <c r="B3" t="str">
        <f>'[1]NPP-663 Media'!C33</f>
        <v>Unknown</v>
      </c>
      <c r="C3">
        <f>'[1]NPP-663 Media'!D33</f>
        <v>0</v>
      </c>
      <c r="D3" t="str">
        <f>'[1]NPP-663 Media'!E33</f>
        <v>T0_ds2</v>
      </c>
      <c r="E3">
        <f>'[1]NPP-663 Media'!F33</f>
        <v>1</v>
      </c>
      <c r="F3">
        <f>'[1]NPP-663 Media'!G33</f>
        <v>16</v>
      </c>
      <c r="G3">
        <f>'[1]NPP-663 Media'!H33</f>
        <v>1.913</v>
      </c>
      <c r="H3">
        <f>'[1]NPP-663 Media'!I33</f>
        <v>712334</v>
      </c>
      <c r="I3" t="str">
        <f>'[1]NPP-663 Media'!J33</f>
        <v>-----</v>
      </c>
      <c r="J3">
        <f>'[1]NPP-663 Media'!K33</f>
        <v>1241.7</v>
      </c>
      <c r="K3" t="str">
        <f>'[1]NPP-663 Media'!L33</f>
        <v>-----</v>
      </c>
      <c r="L3" t="str">
        <f>'[1]NPP-663 Media'!M33</f>
        <v>-----</v>
      </c>
      <c r="M3" t="str">
        <f>'[1]NPP-663 Media'!N33</f>
        <v>-----</v>
      </c>
      <c r="N3" t="str">
        <f>'[1]NPP-663 Media'!O33</f>
        <v>-----</v>
      </c>
      <c r="O3">
        <f>'[1]NPP-663 Media'!P33</f>
        <v>0</v>
      </c>
      <c r="P3">
        <f>'[1]NPP-663 Media'!Q33</f>
        <v>912.23</v>
      </c>
      <c r="Q3">
        <f>'[1]NPP-663 Media'!R33</f>
        <v>85.79</v>
      </c>
      <c r="R3" t="str">
        <f>'[1]NPP-663 Media'!S33</f>
        <v>-----</v>
      </c>
      <c r="S3">
        <f>'[1]NPP-663 Media'!T33</f>
        <v>1</v>
      </c>
      <c r="T3">
        <f>'[1]NPP-663 Media'!U33</f>
        <v>184264</v>
      </c>
      <c r="U3" t="str">
        <f>'[1]NPP-663 Media'!V33</f>
        <v>-----</v>
      </c>
      <c r="V3" t="str">
        <f>'[1]NPP-663 Media'!W33</f>
        <v xml:space="preserve">   </v>
      </c>
      <c r="W3" s="77">
        <f>'[1]NPP-663 Media'!X33</f>
        <v>43326.859212962961</v>
      </c>
      <c r="X3">
        <v>663</v>
      </c>
      <c r="Y3" t="s">
        <v>43</v>
      </c>
      <c r="Z3" t="s">
        <v>27</v>
      </c>
      <c r="AA3">
        <v>0</v>
      </c>
    </row>
    <row r="4" spans="1:27" x14ac:dyDescent="0.25">
      <c r="A4" t="str">
        <f>'[1]NPP-663 Media'!B34</f>
        <v>201-107_PL10_T0_ds3_CC-004-766_033.lcd</v>
      </c>
      <c r="B4" t="str">
        <f>'[1]NPP-663 Media'!C34</f>
        <v>Unknown</v>
      </c>
      <c r="C4">
        <f>'[1]NPP-663 Media'!D34</f>
        <v>0</v>
      </c>
      <c r="D4" t="str">
        <f>'[1]NPP-663 Media'!E34</f>
        <v>T0_ds3</v>
      </c>
      <c r="E4">
        <f>'[1]NPP-663 Media'!F34</f>
        <v>1</v>
      </c>
      <c r="F4">
        <f>'[1]NPP-663 Media'!G34</f>
        <v>28</v>
      </c>
      <c r="G4">
        <f>'[1]NPP-663 Media'!H34</f>
        <v>1.913</v>
      </c>
      <c r="H4">
        <f>'[1]NPP-663 Media'!I34</f>
        <v>659359</v>
      </c>
      <c r="I4" t="str">
        <f>'[1]NPP-663 Media'!J34</f>
        <v>-----</v>
      </c>
      <c r="J4">
        <f>'[1]NPP-663 Media'!K34</f>
        <v>1148.8</v>
      </c>
      <c r="K4" t="str">
        <f>'[1]NPP-663 Media'!L34</f>
        <v>-----</v>
      </c>
      <c r="L4" t="str">
        <f>'[1]NPP-663 Media'!M34</f>
        <v>-----</v>
      </c>
      <c r="M4" t="str">
        <f>'[1]NPP-663 Media'!N34</f>
        <v>-----</v>
      </c>
      <c r="N4" t="str">
        <f>'[1]NPP-663 Media'!O34</f>
        <v>-----</v>
      </c>
      <c r="O4">
        <f>'[1]NPP-663 Media'!P34</f>
        <v>0</v>
      </c>
      <c r="P4">
        <f>'[1]NPP-663 Media'!Q34</f>
        <v>789.68</v>
      </c>
      <c r="Q4">
        <f>'[1]NPP-663 Media'!R34</f>
        <v>86.71</v>
      </c>
      <c r="R4" t="str">
        <f>'[1]NPP-663 Media'!S34</f>
        <v>-----</v>
      </c>
      <c r="S4">
        <f>'[1]NPP-663 Media'!T34</f>
        <v>1</v>
      </c>
      <c r="T4">
        <f>'[1]NPP-663 Media'!U34</f>
        <v>171444</v>
      </c>
      <c r="U4" t="str">
        <f>'[1]NPP-663 Media'!V34</f>
        <v>-----</v>
      </c>
      <c r="V4" t="str">
        <f>'[1]NPP-663 Media'!W34</f>
        <v xml:space="preserve">   </v>
      </c>
      <c r="W4" s="77">
        <f>'[1]NPP-663 Media'!X34</f>
        <v>43326.862685185188</v>
      </c>
      <c r="X4">
        <v>663</v>
      </c>
      <c r="Y4" t="s">
        <v>43</v>
      </c>
      <c r="Z4" t="s">
        <v>27</v>
      </c>
      <c r="AA4">
        <v>0</v>
      </c>
    </row>
    <row r="5" spans="1:27" x14ac:dyDescent="0.25">
      <c r="A5" t="str">
        <f>'[1]NPP-663 Media'!B36</f>
        <v>201-107_PL10_T72_ds1_CC-004-766_035.lcd</v>
      </c>
      <c r="B5" t="str">
        <f>'[1]NPP-663 Media'!C36</f>
        <v>Unknown</v>
      </c>
      <c r="C5">
        <f>'[1]NPP-663 Media'!D36</f>
        <v>0</v>
      </c>
      <c r="D5" t="str">
        <f>'[1]NPP-663 Media'!E36</f>
        <v>T72_ds1</v>
      </c>
      <c r="E5">
        <f>'[1]NPP-663 Media'!F36</f>
        <v>1</v>
      </c>
      <c r="F5">
        <f>'[1]NPP-663 Media'!G36</f>
        <v>5</v>
      </c>
      <c r="G5">
        <f>'[1]NPP-663 Media'!H36</f>
        <v>1.9119999999999999</v>
      </c>
      <c r="H5">
        <f>'[1]NPP-663 Media'!I36</f>
        <v>718264</v>
      </c>
      <c r="I5" t="str">
        <f>'[1]NPP-663 Media'!J36</f>
        <v>-----</v>
      </c>
      <c r="J5">
        <f>'[1]NPP-663 Media'!K36</f>
        <v>1252.0999999999999</v>
      </c>
      <c r="K5" t="str">
        <f>'[1]NPP-663 Media'!L36</f>
        <v>-----</v>
      </c>
      <c r="L5" t="str">
        <f>'[1]NPP-663 Media'!M36</f>
        <v>-----</v>
      </c>
      <c r="M5" t="str">
        <f>'[1]NPP-663 Media'!N36</f>
        <v>-----</v>
      </c>
      <c r="N5" t="str">
        <f>'[1]NPP-663 Media'!O36</f>
        <v>-----</v>
      </c>
      <c r="O5">
        <f>'[1]NPP-663 Media'!P36</f>
        <v>0</v>
      </c>
      <c r="P5">
        <f>'[1]NPP-663 Media'!Q36</f>
        <v>1161.54</v>
      </c>
      <c r="Q5">
        <f>'[1]NPP-663 Media'!R36</f>
        <v>85.28</v>
      </c>
      <c r="R5" t="str">
        <f>'[1]NPP-663 Media'!S36</f>
        <v>-----</v>
      </c>
      <c r="S5">
        <f>'[1]NPP-663 Media'!T36</f>
        <v>1</v>
      </c>
      <c r="T5">
        <f>'[1]NPP-663 Media'!U36</f>
        <v>178684</v>
      </c>
      <c r="U5" t="str">
        <f>'[1]NPP-663 Media'!V36</f>
        <v>-----</v>
      </c>
      <c r="V5" t="str">
        <f>'[1]NPP-663 Media'!W36</f>
        <v xml:space="preserve">   </v>
      </c>
      <c r="W5" s="77">
        <f>'[1]NPP-663 Media'!X36</f>
        <v>43326.869629629633</v>
      </c>
      <c r="X5">
        <v>663</v>
      </c>
      <c r="Y5" t="s">
        <v>43</v>
      </c>
      <c r="Z5" t="s">
        <v>27</v>
      </c>
      <c r="AA5">
        <v>72</v>
      </c>
    </row>
    <row r="6" spans="1:27" x14ac:dyDescent="0.25">
      <c r="A6" t="str">
        <f>'[1]NPP-663 Media'!B37</f>
        <v>201-107_PL10_T72_ds2_CC-004-766_036.lcd</v>
      </c>
      <c r="B6" t="str">
        <f>'[1]NPP-663 Media'!C37</f>
        <v>Unknown</v>
      </c>
      <c r="C6">
        <f>'[1]NPP-663 Media'!D37</f>
        <v>0</v>
      </c>
      <c r="D6" t="str">
        <f>'[1]NPP-663 Media'!E37</f>
        <v>T72_ds2</v>
      </c>
      <c r="E6">
        <f>'[1]NPP-663 Media'!F37</f>
        <v>1</v>
      </c>
      <c r="F6">
        <f>'[1]NPP-663 Media'!G37</f>
        <v>17</v>
      </c>
      <c r="G6">
        <f>'[1]NPP-663 Media'!H37</f>
        <v>1.9119999999999999</v>
      </c>
      <c r="H6">
        <f>'[1]NPP-663 Media'!I37</f>
        <v>631647</v>
      </c>
      <c r="I6" t="str">
        <f>'[1]NPP-663 Media'!J37</f>
        <v>-----</v>
      </c>
      <c r="J6">
        <f>'[1]NPP-663 Media'!K37</f>
        <v>1100.2</v>
      </c>
      <c r="K6" t="str">
        <f>'[1]NPP-663 Media'!L37</f>
        <v>-----</v>
      </c>
      <c r="L6" t="str">
        <f>'[1]NPP-663 Media'!M37</f>
        <v>-----</v>
      </c>
      <c r="M6" t="str">
        <f>'[1]NPP-663 Media'!N37</f>
        <v>-----</v>
      </c>
      <c r="N6" t="str">
        <f>'[1]NPP-663 Media'!O37</f>
        <v>-----</v>
      </c>
      <c r="O6">
        <f>'[1]NPP-663 Media'!P37</f>
        <v>0</v>
      </c>
      <c r="P6">
        <f>'[1]NPP-663 Media'!Q37</f>
        <v>736.06</v>
      </c>
      <c r="Q6">
        <f>'[1]NPP-663 Media'!R37</f>
        <v>88.79</v>
      </c>
      <c r="R6" t="str">
        <f>'[1]NPP-663 Media'!S37</f>
        <v>-----</v>
      </c>
      <c r="S6">
        <f>'[1]NPP-663 Media'!T37</f>
        <v>1</v>
      </c>
      <c r="T6">
        <f>'[1]NPP-663 Media'!U37</f>
        <v>157425</v>
      </c>
      <c r="U6" t="str">
        <f>'[1]NPP-663 Media'!V37</f>
        <v>-----</v>
      </c>
      <c r="V6" t="str">
        <f>'[1]NPP-663 Media'!W37</f>
        <v xml:space="preserve">   </v>
      </c>
      <c r="W6" s="77">
        <f>'[1]NPP-663 Media'!X37</f>
        <v>43326.873113425929</v>
      </c>
      <c r="X6">
        <v>663</v>
      </c>
      <c r="Y6" t="s">
        <v>43</v>
      </c>
      <c r="Z6" t="s">
        <v>27</v>
      </c>
      <c r="AA6">
        <v>72</v>
      </c>
    </row>
    <row r="7" spans="1:27" x14ac:dyDescent="0.25">
      <c r="A7" t="str">
        <f>'[1]NPP-663 Media'!B38</f>
        <v>201-107_PL10_T72_ds3_CC-004-766_037.lcd</v>
      </c>
      <c r="B7" t="str">
        <f>'[1]NPP-663 Media'!C38</f>
        <v>Unknown</v>
      </c>
      <c r="C7">
        <f>'[1]NPP-663 Media'!D38</f>
        <v>0</v>
      </c>
      <c r="D7" t="str">
        <f>'[1]NPP-663 Media'!E38</f>
        <v>T72_ds3</v>
      </c>
      <c r="E7">
        <f>'[1]NPP-663 Media'!F38</f>
        <v>1</v>
      </c>
      <c r="F7">
        <f>'[1]NPP-663 Media'!G38</f>
        <v>29</v>
      </c>
      <c r="G7">
        <f>'[1]NPP-663 Media'!H38</f>
        <v>1.9139999999999999</v>
      </c>
      <c r="H7">
        <f>'[1]NPP-663 Media'!I38</f>
        <v>665699</v>
      </c>
      <c r="I7" t="str">
        <f>'[1]NPP-663 Media'!J38</f>
        <v>-----</v>
      </c>
      <c r="J7">
        <f>'[1]NPP-663 Media'!K38</f>
        <v>1159.9000000000001</v>
      </c>
      <c r="K7" t="str">
        <f>'[1]NPP-663 Media'!L38</f>
        <v>-----</v>
      </c>
      <c r="L7" t="str">
        <f>'[1]NPP-663 Media'!M38</f>
        <v>-----</v>
      </c>
      <c r="M7" t="str">
        <f>'[1]NPP-663 Media'!N38</f>
        <v>-----</v>
      </c>
      <c r="N7" t="str">
        <f>'[1]NPP-663 Media'!O38</f>
        <v>-----</v>
      </c>
      <c r="O7">
        <f>'[1]NPP-663 Media'!P38</f>
        <v>0</v>
      </c>
      <c r="P7">
        <f>'[1]NPP-663 Media'!Q38</f>
        <v>862.57</v>
      </c>
      <c r="Q7">
        <f>'[1]NPP-663 Media'!R38</f>
        <v>88.59</v>
      </c>
      <c r="R7" t="str">
        <f>'[1]NPP-663 Media'!S38</f>
        <v>-----</v>
      </c>
      <c r="S7">
        <f>'[1]NPP-663 Media'!T38</f>
        <v>1</v>
      </c>
      <c r="T7">
        <f>'[1]NPP-663 Media'!U38</f>
        <v>170589</v>
      </c>
      <c r="U7" t="str">
        <f>'[1]NPP-663 Media'!V38</f>
        <v>-----</v>
      </c>
      <c r="V7" t="str">
        <f>'[1]NPP-663 Media'!W38</f>
        <v xml:space="preserve">   </v>
      </c>
      <c r="W7" s="77">
        <f>'[1]NPP-663 Media'!X38</f>
        <v>43326.876585648148</v>
      </c>
      <c r="X7">
        <v>663</v>
      </c>
      <c r="Y7" t="s">
        <v>43</v>
      </c>
      <c r="Z7" t="s">
        <v>27</v>
      </c>
      <c r="AA7">
        <v>72</v>
      </c>
    </row>
    <row r="8" spans="1:27" x14ac:dyDescent="0.25">
      <c r="A8" t="str">
        <f>'[1]NPP-663 Media'!B40</f>
        <v>201-107_PL10_T72_med1_CC-004-766_039.lcd</v>
      </c>
      <c r="B8" t="str">
        <f>'[1]NPP-663 Media'!C40</f>
        <v>Unknown</v>
      </c>
      <c r="C8">
        <f>'[1]NPP-663 Media'!D40</f>
        <v>0</v>
      </c>
      <c r="D8" t="str">
        <f>'[1]NPP-663 Media'!E40</f>
        <v>T72_med1</v>
      </c>
      <c r="E8">
        <f>'[1]NPP-663 Media'!F40</f>
        <v>1</v>
      </c>
      <c r="F8">
        <f>'[1]NPP-663 Media'!G40</f>
        <v>6</v>
      </c>
      <c r="G8">
        <f>'[1]NPP-663 Media'!H40</f>
        <v>1.9139999999999999</v>
      </c>
      <c r="H8">
        <f>'[1]NPP-663 Media'!I40</f>
        <v>336443</v>
      </c>
      <c r="I8" t="str">
        <f>'[1]NPP-663 Media'!J40</f>
        <v>-----</v>
      </c>
      <c r="J8">
        <f>'[1]NPP-663 Media'!K40</f>
        <v>582.5</v>
      </c>
      <c r="K8" t="str">
        <f>'[1]NPP-663 Media'!L40</f>
        <v>-----</v>
      </c>
      <c r="L8" t="str">
        <f>'[1]NPP-663 Media'!M40</f>
        <v>-----</v>
      </c>
      <c r="M8" t="str">
        <f>'[1]NPP-663 Media'!N40</f>
        <v>-----</v>
      </c>
      <c r="N8" t="str">
        <f>'[1]NPP-663 Media'!O40</f>
        <v>-----</v>
      </c>
      <c r="O8">
        <f>'[1]NPP-663 Media'!P40</f>
        <v>0</v>
      </c>
      <c r="P8">
        <f>'[1]NPP-663 Media'!Q40</f>
        <v>782.47</v>
      </c>
      <c r="Q8">
        <f>'[1]NPP-663 Media'!R40</f>
        <v>86.01</v>
      </c>
      <c r="R8" t="str">
        <f>'[1]NPP-663 Media'!S40</f>
        <v>-----</v>
      </c>
      <c r="S8">
        <f>'[1]NPP-663 Media'!T40</f>
        <v>1</v>
      </c>
      <c r="T8">
        <f>'[1]NPP-663 Media'!U40</f>
        <v>86160</v>
      </c>
      <c r="U8" t="str">
        <f>'[1]NPP-663 Media'!V40</f>
        <v>-----</v>
      </c>
      <c r="V8" t="str">
        <f>'[1]NPP-663 Media'!W40</f>
        <v xml:space="preserve">   </v>
      </c>
      <c r="W8" s="77">
        <f>'[1]NPP-663 Media'!X40</f>
        <v>43326.883599537039</v>
      </c>
      <c r="X8">
        <v>663</v>
      </c>
      <c r="Y8" t="s">
        <v>43</v>
      </c>
      <c r="Z8" t="s">
        <v>27</v>
      </c>
      <c r="AA8">
        <v>72</v>
      </c>
    </row>
    <row r="9" spans="1:27" x14ac:dyDescent="0.25">
      <c r="A9" t="str">
        <f>'[1]NPP-663 Media'!B41</f>
        <v>201-107_PL10_T72_med2_CC-004-766_040.lcd</v>
      </c>
      <c r="B9" t="str">
        <f>'[1]NPP-663 Media'!C41</f>
        <v>Unknown</v>
      </c>
      <c r="C9">
        <f>'[1]NPP-663 Media'!D41</f>
        <v>0</v>
      </c>
      <c r="D9" t="str">
        <f>'[1]NPP-663 Media'!E41</f>
        <v>T72_med2</v>
      </c>
      <c r="E9">
        <f>'[1]NPP-663 Media'!F41</f>
        <v>1</v>
      </c>
      <c r="F9">
        <f>'[1]NPP-663 Media'!G41</f>
        <v>18</v>
      </c>
      <c r="G9">
        <f>'[1]NPP-663 Media'!H41</f>
        <v>1.913</v>
      </c>
      <c r="H9">
        <f>'[1]NPP-663 Media'!I41</f>
        <v>352846</v>
      </c>
      <c r="I9" t="str">
        <f>'[1]NPP-663 Media'!J41</f>
        <v>-----</v>
      </c>
      <c r="J9">
        <f>'[1]NPP-663 Media'!K41</f>
        <v>611.29999999999995</v>
      </c>
      <c r="K9" t="str">
        <f>'[1]NPP-663 Media'!L41</f>
        <v>-----</v>
      </c>
      <c r="L9" t="str">
        <f>'[1]NPP-663 Media'!M41</f>
        <v>-----</v>
      </c>
      <c r="M9" t="str">
        <f>'[1]NPP-663 Media'!N41</f>
        <v>-----</v>
      </c>
      <c r="N9" t="str">
        <f>'[1]NPP-663 Media'!O41</f>
        <v>-----</v>
      </c>
      <c r="O9">
        <f>'[1]NPP-663 Media'!P41</f>
        <v>0</v>
      </c>
      <c r="P9">
        <f>'[1]NPP-663 Media'!Q41</f>
        <v>970.2</v>
      </c>
      <c r="Q9">
        <f>'[1]NPP-663 Media'!R41</f>
        <v>85.98</v>
      </c>
      <c r="R9" t="str">
        <f>'[1]NPP-663 Media'!S41</f>
        <v>-----</v>
      </c>
      <c r="S9">
        <f>'[1]NPP-663 Media'!T41</f>
        <v>1</v>
      </c>
      <c r="T9">
        <f>'[1]NPP-663 Media'!U41</f>
        <v>88125</v>
      </c>
      <c r="U9" t="str">
        <f>'[1]NPP-663 Media'!V41</f>
        <v>-----</v>
      </c>
      <c r="V9" t="str">
        <f>'[1]NPP-663 Media'!W41</f>
        <v xml:space="preserve">   </v>
      </c>
      <c r="W9" s="77">
        <f>'[1]NPP-663 Media'!X41</f>
        <v>43326.887048611112</v>
      </c>
      <c r="X9">
        <v>663</v>
      </c>
      <c r="Y9" t="s">
        <v>43</v>
      </c>
      <c r="Z9" t="s">
        <v>27</v>
      </c>
      <c r="AA9">
        <v>72</v>
      </c>
    </row>
    <row r="10" spans="1:27" x14ac:dyDescent="0.25">
      <c r="A10" t="str">
        <f>'[1]NPP-663 Media'!B42</f>
        <v>201-107_PL10_T72_med3_CC-004-766_041.lcd</v>
      </c>
      <c r="B10" t="str">
        <f>'[1]NPP-663 Media'!C42</f>
        <v>Unknown</v>
      </c>
      <c r="C10">
        <f>'[1]NPP-663 Media'!D42</f>
        <v>0</v>
      </c>
      <c r="D10" t="str">
        <f>'[1]NPP-663 Media'!E42</f>
        <v>T72_med3</v>
      </c>
      <c r="E10">
        <f>'[1]NPP-663 Media'!F42</f>
        <v>1</v>
      </c>
      <c r="F10">
        <f>'[1]NPP-663 Media'!G42</f>
        <v>30</v>
      </c>
      <c r="G10">
        <f>'[1]NPP-663 Media'!H42</f>
        <v>1.913</v>
      </c>
      <c r="H10">
        <f>'[1]NPP-663 Media'!I42</f>
        <v>323322</v>
      </c>
      <c r="I10" t="str">
        <f>'[1]NPP-663 Media'!J42</f>
        <v>-----</v>
      </c>
      <c r="J10">
        <f>'[1]NPP-663 Media'!K42</f>
        <v>559.5</v>
      </c>
      <c r="K10" t="str">
        <f>'[1]NPP-663 Media'!L42</f>
        <v>-----</v>
      </c>
      <c r="L10" t="str">
        <f>'[1]NPP-663 Media'!M42</f>
        <v>-----</v>
      </c>
      <c r="M10" t="str">
        <f>'[1]NPP-663 Media'!N42</f>
        <v>-----</v>
      </c>
      <c r="N10" t="str">
        <f>'[1]NPP-663 Media'!O42</f>
        <v>-----</v>
      </c>
      <c r="O10">
        <f>'[1]NPP-663 Media'!P42</f>
        <v>0</v>
      </c>
      <c r="P10">
        <f>'[1]NPP-663 Media'!Q42</f>
        <v>600.48</v>
      </c>
      <c r="Q10">
        <f>'[1]NPP-663 Media'!R42</f>
        <v>87.1</v>
      </c>
      <c r="R10" t="str">
        <f>'[1]NPP-663 Media'!S42</f>
        <v>-----</v>
      </c>
      <c r="S10">
        <f>'[1]NPP-663 Media'!T42</f>
        <v>1</v>
      </c>
      <c r="T10">
        <f>'[1]NPP-663 Media'!U42</f>
        <v>80463</v>
      </c>
      <c r="U10" t="str">
        <f>'[1]NPP-663 Media'!V42</f>
        <v>-----</v>
      </c>
      <c r="V10" t="str">
        <f>'[1]NPP-663 Media'!W42</f>
        <v xml:space="preserve">   </v>
      </c>
      <c r="W10" s="77">
        <f>'[1]NPP-663 Media'!X42</f>
        <v>43326.890532407408</v>
      </c>
      <c r="X10">
        <v>663</v>
      </c>
      <c r="Y10" t="s">
        <v>43</v>
      </c>
      <c r="Z10" t="s">
        <v>27</v>
      </c>
      <c r="AA10">
        <v>72</v>
      </c>
    </row>
    <row r="11" spans="1:27" x14ac:dyDescent="0.25">
      <c r="A11" t="str">
        <f>'[1]NPP-663 Lysate'!B32</f>
        <v>201-107_PL11_T72_lys1_CC-004-769_031.lcd</v>
      </c>
      <c r="B11" t="str">
        <f>'[1]NPP-663 Lysate'!C32</f>
        <v>Unknown</v>
      </c>
      <c r="C11">
        <f>'[1]NPP-663 Lysate'!D32</f>
        <v>0</v>
      </c>
      <c r="D11" t="str">
        <f>'[1]NPP-663 Lysate'!E32</f>
        <v>T72_lys1</v>
      </c>
      <c r="E11">
        <f>'[1]NPP-663 Lysate'!F32</f>
        <v>1</v>
      </c>
      <c r="F11">
        <f>'[1]NPP-663 Lysate'!G32</f>
        <v>4</v>
      </c>
      <c r="G11">
        <f>'[1]NPP-663 Lysate'!H32</f>
        <v>1.974</v>
      </c>
      <c r="H11">
        <f>'[1]NPP-663 Lysate'!I32</f>
        <v>840892</v>
      </c>
      <c r="I11" t="str">
        <f>'[1]NPP-663 Lysate'!J32</f>
        <v>-----</v>
      </c>
      <c r="J11">
        <f>'[1]NPP-663 Lysate'!K32</f>
        <v>268.5</v>
      </c>
      <c r="K11" t="str">
        <f>'[1]NPP-663 Lysate'!L32</f>
        <v>-----</v>
      </c>
      <c r="L11" t="str">
        <f>'[1]NPP-663 Lysate'!M32</f>
        <v>-----</v>
      </c>
      <c r="M11" t="str">
        <f>'[1]NPP-663 Lysate'!N32</f>
        <v>-----</v>
      </c>
      <c r="N11" t="str">
        <f>'[1]NPP-663 Lysate'!O32</f>
        <v>-----</v>
      </c>
      <c r="O11">
        <f>'[1]NPP-663 Lysate'!P32</f>
        <v>0</v>
      </c>
      <c r="P11">
        <f>'[1]NPP-663 Lysate'!Q32</f>
        <v>394.99</v>
      </c>
      <c r="Q11">
        <f>'[1]NPP-663 Lysate'!R32</f>
        <v>92.25</v>
      </c>
      <c r="R11" t="str">
        <f>'[1]NPP-663 Lysate'!S32</f>
        <v>-----</v>
      </c>
      <c r="S11">
        <f>'[1]NPP-663 Lysate'!T32</f>
        <v>1</v>
      </c>
      <c r="T11">
        <f>'[1]NPP-663 Lysate'!U32</f>
        <v>237258</v>
      </c>
      <c r="U11" t="str">
        <f>'[1]NPP-663 Lysate'!V32</f>
        <v>-----</v>
      </c>
      <c r="V11" t="str">
        <f>'[1]NPP-663 Lysate'!W32</f>
        <v xml:space="preserve">   </v>
      </c>
      <c r="W11" s="77">
        <f>'[1]NPP-663 Lysate'!X32</f>
        <v>43327.753125000003</v>
      </c>
      <c r="X11">
        <v>663</v>
      </c>
      <c r="Y11" t="s">
        <v>43</v>
      </c>
      <c r="Z11" t="s">
        <v>28</v>
      </c>
      <c r="AA11">
        <v>72</v>
      </c>
    </row>
    <row r="12" spans="1:27" x14ac:dyDescent="0.25">
      <c r="A12" t="str">
        <f>'[1]NPP-663 Lysate'!B33</f>
        <v>201-107_PL11_T72_lys2_CC-004-769_032.lcd</v>
      </c>
      <c r="B12" t="str">
        <f>'[1]NPP-663 Lysate'!C33</f>
        <v>Unknown</v>
      </c>
      <c r="C12">
        <f>'[1]NPP-663 Lysate'!D33</f>
        <v>0</v>
      </c>
      <c r="D12" t="str">
        <f>'[1]NPP-663 Lysate'!E33</f>
        <v>T72_lys2</v>
      </c>
      <c r="E12">
        <f>'[1]NPP-663 Lysate'!F33</f>
        <v>1</v>
      </c>
      <c r="F12">
        <f>'[1]NPP-663 Lysate'!G33</f>
        <v>5</v>
      </c>
      <c r="G12">
        <f>'[1]NPP-663 Lysate'!H33</f>
        <v>1.9750000000000001</v>
      </c>
      <c r="H12">
        <f>'[1]NPP-663 Lysate'!I33</f>
        <v>889939</v>
      </c>
      <c r="I12" t="str">
        <f>'[1]NPP-663 Lysate'!J33</f>
        <v>-----</v>
      </c>
      <c r="J12">
        <f>'[1]NPP-663 Lysate'!K33</f>
        <v>284.2</v>
      </c>
      <c r="K12" t="str">
        <f>'[1]NPP-663 Lysate'!L33</f>
        <v>-----</v>
      </c>
      <c r="L12" t="str">
        <f>'[1]NPP-663 Lysate'!M33</f>
        <v>-----</v>
      </c>
      <c r="M12" t="str">
        <f>'[1]NPP-663 Lysate'!N33</f>
        <v>-----</v>
      </c>
      <c r="N12" t="str">
        <f>'[1]NPP-663 Lysate'!O33</f>
        <v>-----</v>
      </c>
      <c r="O12">
        <f>'[1]NPP-663 Lysate'!P33</f>
        <v>0</v>
      </c>
      <c r="P12">
        <f>'[1]NPP-663 Lysate'!Q33</f>
        <v>464.95</v>
      </c>
      <c r="Q12">
        <f>'[1]NPP-663 Lysate'!R33</f>
        <v>91.89</v>
      </c>
      <c r="R12" t="str">
        <f>'[1]NPP-663 Lysate'!S33</f>
        <v>-----</v>
      </c>
      <c r="S12">
        <f>'[1]NPP-663 Lysate'!T33</f>
        <v>1</v>
      </c>
      <c r="T12">
        <f>'[1]NPP-663 Lysate'!U33</f>
        <v>258693</v>
      </c>
      <c r="U12" t="str">
        <f>'[1]NPP-663 Lysate'!V33</f>
        <v>-----</v>
      </c>
      <c r="V12" t="str">
        <f>'[1]NPP-663 Lysate'!W33</f>
        <v xml:space="preserve">   </v>
      </c>
      <c r="W12" s="77">
        <f>'[1]NPP-663 Lysate'!X33</f>
        <v>43327.756597222222</v>
      </c>
      <c r="X12">
        <v>663</v>
      </c>
      <c r="Y12" t="s">
        <v>43</v>
      </c>
      <c r="Z12" t="s">
        <v>28</v>
      </c>
      <c r="AA12">
        <v>72</v>
      </c>
    </row>
    <row r="13" spans="1:27" x14ac:dyDescent="0.25">
      <c r="A13" t="str">
        <f>'[1]NPP-663 Lysate'!B34</f>
        <v>201-107_PL11_T72_lys3_CC-004-769_033.lcd</v>
      </c>
      <c r="B13" t="str">
        <f>'[1]NPP-663 Lysate'!C34</f>
        <v>Unknown</v>
      </c>
      <c r="C13">
        <f>'[1]NPP-663 Lysate'!D34</f>
        <v>0</v>
      </c>
      <c r="D13" t="str">
        <f>'[1]NPP-663 Lysate'!E34</f>
        <v>T72_lys3</v>
      </c>
      <c r="E13">
        <f>'[1]NPP-663 Lysate'!F34</f>
        <v>1</v>
      </c>
      <c r="F13">
        <f>'[1]NPP-663 Lysate'!G34</f>
        <v>6</v>
      </c>
      <c r="G13">
        <f>'[1]NPP-663 Lysate'!H34</f>
        <v>1.9730000000000001</v>
      </c>
      <c r="H13">
        <f>'[1]NPP-663 Lysate'!I34</f>
        <v>1071346</v>
      </c>
      <c r="I13" t="str">
        <f>'[1]NPP-663 Lysate'!J34</f>
        <v>-----</v>
      </c>
      <c r="J13">
        <f>'[1]NPP-663 Lysate'!K34</f>
        <v>342.4</v>
      </c>
      <c r="K13" t="str">
        <f>'[1]NPP-663 Lysate'!L34</f>
        <v>-----</v>
      </c>
      <c r="L13" t="str">
        <f>'[1]NPP-663 Lysate'!M34</f>
        <v>-----</v>
      </c>
      <c r="M13" t="str">
        <f>'[1]NPP-663 Lysate'!N34</f>
        <v>-----</v>
      </c>
      <c r="N13" t="str">
        <f>'[1]NPP-663 Lysate'!O34</f>
        <v>-----</v>
      </c>
      <c r="O13">
        <f>'[1]NPP-663 Lysate'!P34</f>
        <v>0</v>
      </c>
      <c r="P13">
        <f>'[1]NPP-663 Lysate'!Q34</f>
        <v>394.54</v>
      </c>
      <c r="Q13">
        <f>'[1]NPP-663 Lysate'!R34</f>
        <v>93.21</v>
      </c>
      <c r="R13" t="str">
        <f>'[1]NPP-663 Lysate'!S34</f>
        <v>-----</v>
      </c>
      <c r="S13">
        <f>'[1]NPP-663 Lysate'!T34</f>
        <v>1</v>
      </c>
      <c r="T13">
        <f>'[1]NPP-663 Lysate'!U34</f>
        <v>306529</v>
      </c>
      <c r="U13" t="str">
        <f>'[1]NPP-663 Lysate'!V34</f>
        <v>-----</v>
      </c>
      <c r="V13" t="str">
        <f>'[1]NPP-663 Lysate'!W34</f>
        <v xml:space="preserve">   </v>
      </c>
      <c r="W13" s="77">
        <f>'[1]NPP-663 Lysate'!X34</f>
        <v>43327.760069444441</v>
      </c>
      <c r="X13">
        <v>663</v>
      </c>
      <c r="Y13" t="s">
        <v>43</v>
      </c>
      <c r="Z13" t="s">
        <v>28</v>
      </c>
      <c r="AA13">
        <v>72</v>
      </c>
    </row>
    <row r="14" spans="1:27" x14ac:dyDescent="0.25">
      <c r="A14" t="str">
        <f>'[1]PL 14 CDV Media'!B11</f>
        <v>201-107_PL14_CDV_663_T0_ds1_CC-004-778_031.lcd</v>
      </c>
      <c r="B14" t="str">
        <f>'[1]PL 14 CDV Media'!C11</f>
        <v>Unknown</v>
      </c>
      <c r="C14">
        <f>'[1]PL 14 CDV Media'!D11</f>
        <v>0</v>
      </c>
      <c r="D14" t="str">
        <f>'[1]PL 14 CDV Media'!E11</f>
        <v>663_T0_ds1</v>
      </c>
      <c r="E14">
        <f>'[1]PL 14 CDV Media'!F11</f>
        <v>1</v>
      </c>
      <c r="F14">
        <f>'[1]PL 14 CDV Media'!G11</f>
        <v>4</v>
      </c>
      <c r="G14" t="str">
        <f>'[1]PL 14 CDV Media'!H11</f>
        <v>-----</v>
      </c>
      <c r="H14" t="str">
        <f>'[1]PL 14 CDV Media'!I11</f>
        <v>-----</v>
      </c>
      <c r="I14" t="str">
        <f>'[1]PL 14 CDV Media'!J11</f>
        <v>-----</v>
      </c>
      <c r="J14" t="str">
        <f>'[1]PL 14 CDV Media'!K11</f>
        <v>-----</v>
      </c>
      <c r="K14" t="str">
        <f>'[1]PL 14 CDV Media'!L11</f>
        <v>-----</v>
      </c>
      <c r="L14" t="str">
        <f>'[1]PL 14 CDV Media'!M11</f>
        <v>-----</v>
      </c>
      <c r="M14" t="str">
        <f>'[1]PL 14 CDV Media'!N11</f>
        <v>-----</v>
      </c>
      <c r="N14" t="str">
        <f>'[1]PL 14 CDV Media'!O11</f>
        <v>-----</v>
      </c>
      <c r="O14">
        <f>'[1]PL 14 CDV Media'!P11</f>
        <v>0</v>
      </c>
      <c r="P14" t="str">
        <f>'[1]PL 14 CDV Media'!Q11</f>
        <v>-----</v>
      </c>
      <c r="Q14" t="str">
        <f>'[1]PL 14 CDV Media'!R11</f>
        <v>-----</v>
      </c>
      <c r="R14" t="str">
        <f>'[1]PL 14 CDV Media'!S11</f>
        <v>-----</v>
      </c>
      <c r="S14">
        <f>'[1]PL 14 CDV Media'!T11</f>
        <v>1</v>
      </c>
      <c r="T14" t="str">
        <f>'[1]PL 14 CDV Media'!U11</f>
        <v>-----</v>
      </c>
      <c r="U14" t="str">
        <f>'[1]PL 14 CDV Media'!V11</f>
        <v>-----</v>
      </c>
      <c r="V14" t="str">
        <f>'[1]PL 14 CDV Media'!W11</f>
        <v>-----</v>
      </c>
      <c r="W14" s="77">
        <f>'[1]PL 14 CDV Media'!X11</f>
        <v>43335.872083333335</v>
      </c>
      <c r="X14">
        <v>663</v>
      </c>
      <c r="Y14" t="s">
        <v>4</v>
      </c>
      <c r="Z14" t="s">
        <v>27</v>
      </c>
      <c r="AA14">
        <v>0</v>
      </c>
    </row>
    <row r="15" spans="1:27" x14ac:dyDescent="0.25">
      <c r="A15" t="str">
        <f>'[1]PL 14 CDV Media'!B12</f>
        <v>201-107_PL14_CDV_663_T0_ds2_CC-004-778_032.lcd</v>
      </c>
      <c r="B15" t="str">
        <f>'[1]PL 14 CDV Media'!C12</f>
        <v>Unknown</v>
      </c>
      <c r="C15">
        <f>'[1]PL 14 CDV Media'!D12</f>
        <v>0</v>
      </c>
      <c r="D15" t="str">
        <f>'[1]PL 14 CDV Media'!E12</f>
        <v>663_T0_ds2</v>
      </c>
      <c r="E15">
        <f>'[1]PL 14 CDV Media'!F12</f>
        <v>1</v>
      </c>
      <c r="F15">
        <f>'[1]PL 14 CDV Media'!G12</f>
        <v>5</v>
      </c>
      <c r="G15" t="str">
        <f>'[1]PL 14 CDV Media'!H12</f>
        <v>-----</v>
      </c>
      <c r="H15" t="str">
        <f>'[1]PL 14 CDV Media'!I12</f>
        <v>-----</v>
      </c>
      <c r="I15" t="str">
        <f>'[1]PL 14 CDV Media'!J12</f>
        <v>-----</v>
      </c>
      <c r="J15" t="str">
        <f>'[1]PL 14 CDV Media'!K12</f>
        <v>-----</v>
      </c>
      <c r="K15" t="str">
        <f>'[1]PL 14 CDV Media'!L12</f>
        <v>-----</v>
      </c>
      <c r="L15" t="str">
        <f>'[1]PL 14 CDV Media'!M12</f>
        <v>-----</v>
      </c>
      <c r="M15" t="str">
        <f>'[1]PL 14 CDV Media'!N12</f>
        <v>-----</v>
      </c>
      <c r="N15" t="str">
        <f>'[1]PL 14 CDV Media'!O12</f>
        <v>-----</v>
      </c>
      <c r="O15">
        <f>'[1]PL 14 CDV Media'!P12</f>
        <v>0</v>
      </c>
      <c r="P15" t="str">
        <f>'[1]PL 14 CDV Media'!Q12</f>
        <v>-----</v>
      </c>
      <c r="Q15" t="str">
        <f>'[1]PL 14 CDV Media'!R12</f>
        <v>-----</v>
      </c>
      <c r="R15" t="str">
        <f>'[1]PL 14 CDV Media'!S12</f>
        <v>-----</v>
      </c>
      <c r="S15">
        <f>'[1]PL 14 CDV Media'!T12</f>
        <v>1</v>
      </c>
      <c r="T15" t="str">
        <f>'[1]PL 14 CDV Media'!U12</f>
        <v>-----</v>
      </c>
      <c r="U15" t="str">
        <f>'[1]PL 14 CDV Media'!V12</f>
        <v>-----</v>
      </c>
      <c r="V15" t="str">
        <f>'[1]PL 14 CDV Media'!W12</f>
        <v>-----</v>
      </c>
      <c r="W15" s="77">
        <f>'[1]PL 14 CDV Media'!X12</f>
        <v>43335.874513888892</v>
      </c>
      <c r="X15">
        <v>663</v>
      </c>
      <c r="Y15" t="s">
        <v>4</v>
      </c>
      <c r="Z15" t="s">
        <v>27</v>
      </c>
      <c r="AA15">
        <v>0</v>
      </c>
    </row>
    <row r="16" spans="1:27" x14ac:dyDescent="0.25">
      <c r="A16" t="str">
        <f>'[1]PL 14 CDV Media'!B13</f>
        <v>201-107_PL14_CDV_663_T0_ds3_CC-004-778_033.lcd</v>
      </c>
      <c r="B16" t="str">
        <f>'[1]PL 14 CDV Media'!C13</f>
        <v>Unknown</v>
      </c>
      <c r="C16">
        <f>'[1]PL 14 CDV Media'!D13</f>
        <v>0</v>
      </c>
      <c r="D16" t="str">
        <f>'[1]PL 14 CDV Media'!E13</f>
        <v>663_T0_ds3</v>
      </c>
      <c r="E16">
        <f>'[1]PL 14 CDV Media'!F13</f>
        <v>1</v>
      </c>
      <c r="F16">
        <f>'[1]PL 14 CDV Media'!G13</f>
        <v>6</v>
      </c>
      <c r="G16" t="str">
        <f>'[1]PL 14 CDV Media'!H13</f>
        <v>-----</v>
      </c>
      <c r="H16" t="str">
        <f>'[1]PL 14 CDV Media'!I13</f>
        <v>-----</v>
      </c>
      <c r="I16" t="str">
        <f>'[1]PL 14 CDV Media'!J13</f>
        <v>-----</v>
      </c>
      <c r="J16" t="str">
        <f>'[1]PL 14 CDV Media'!K13</f>
        <v>-----</v>
      </c>
      <c r="K16" t="str">
        <f>'[1]PL 14 CDV Media'!L13</f>
        <v>-----</v>
      </c>
      <c r="L16" t="str">
        <f>'[1]PL 14 CDV Media'!M13</f>
        <v>-----</v>
      </c>
      <c r="M16" t="str">
        <f>'[1]PL 14 CDV Media'!N13</f>
        <v>-----</v>
      </c>
      <c r="N16" t="str">
        <f>'[1]PL 14 CDV Media'!O13</f>
        <v>-----</v>
      </c>
      <c r="O16">
        <f>'[1]PL 14 CDV Media'!P13</f>
        <v>0</v>
      </c>
      <c r="P16" t="str">
        <f>'[1]PL 14 CDV Media'!Q13</f>
        <v>-----</v>
      </c>
      <c r="Q16" t="str">
        <f>'[1]PL 14 CDV Media'!R13</f>
        <v>-----</v>
      </c>
      <c r="R16" t="str">
        <f>'[1]PL 14 CDV Media'!S13</f>
        <v>-----</v>
      </c>
      <c r="S16">
        <f>'[1]PL 14 CDV Media'!T13</f>
        <v>1</v>
      </c>
      <c r="T16" t="str">
        <f>'[1]PL 14 CDV Media'!U13</f>
        <v>-----</v>
      </c>
      <c r="U16" t="str">
        <f>'[1]PL 14 CDV Media'!V13</f>
        <v>-----</v>
      </c>
      <c r="V16" t="str">
        <f>'[1]PL 14 CDV Media'!W13</f>
        <v>-----</v>
      </c>
      <c r="W16" s="77">
        <f>'[1]PL 14 CDV Media'!X13</f>
        <v>43335.876944444448</v>
      </c>
      <c r="X16">
        <v>663</v>
      </c>
      <c r="Y16" t="s">
        <v>4</v>
      </c>
      <c r="Z16" t="s">
        <v>27</v>
      </c>
      <c r="AA16">
        <v>0</v>
      </c>
    </row>
    <row r="17" spans="1:27" x14ac:dyDescent="0.25">
      <c r="A17" t="str">
        <f>'[1]PL 14 CDV Media'!B14</f>
        <v>201-107_PL14_CDV_663_T72_ds1_CC-004-778_035.lcd</v>
      </c>
      <c r="B17" t="str">
        <f>'[1]PL 14 CDV Media'!C14</f>
        <v>Unknown</v>
      </c>
      <c r="C17">
        <f>'[1]PL 14 CDV Media'!D14</f>
        <v>0</v>
      </c>
      <c r="D17" t="str">
        <f>'[1]PL 14 CDV Media'!E14</f>
        <v>663_T72_ds1</v>
      </c>
      <c r="E17">
        <f>'[1]PL 14 CDV Media'!F14</f>
        <v>1</v>
      </c>
      <c r="F17">
        <f>'[1]PL 14 CDV Media'!G14</f>
        <v>16</v>
      </c>
      <c r="G17" t="str">
        <f>'[1]PL 14 CDV Media'!H14</f>
        <v>-----</v>
      </c>
      <c r="H17" t="str">
        <f>'[1]PL 14 CDV Media'!I14</f>
        <v>-----</v>
      </c>
      <c r="I17" t="str">
        <f>'[1]PL 14 CDV Media'!J14</f>
        <v>-----</v>
      </c>
      <c r="J17" t="str">
        <f>'[1]PL 14 CDV Media'!K14</f>
        <v>-----</v>
      </c>
      <c r="K17" t="str">
        <f>'[1]PL 14 CDV Media'!L14</f>
        <v>-----</v>
      </c>
      <c r="L17" t="str">
        <f>'[1]PL 14 CDV Media'!M14</f>
        <v>-----</v>
      </c>
      <c r="M17" t="str">
        <f>'[1]PL 14 CDV Media'!N14</f>
        <v>-----</v>
      </c>
      <c r="N17" t="str">
        <f>'[1]PL 14 CDV Media'!O14</f>
        <v>-----</v>
      </c>
      <c r="O17">
        <f>'[1]PL 14 CDV Media'!P14</f>
        <v>0</v>
      </c>
      <c r="P17" t="str">
        <f>'[1]PL 14 CDV Media'!Q14</f>
        <v>-----</v>
      </c>
      <c r="Q17" t="str">
        <f>'[1]PL 14 CDV Media'!R14</f>
        <v>-----</v>
      </c>
      <c r="R17" t="str">
        <f>'[1]PL 14 CDV Media'!S14</f>
        <v>-----</v>
      </c>
      <c r="S17">
        <f>'[1]PL 14 CDV Media'!T14</f>
        <v>1</v>
      </c>
      <c r="T17" t="str">
        <f>'[1]PL 14 CDV Media'!U14</f>
        <v>-----</v>
      </c>
      <c r="U17" t="str">
        <f>'[1]PL 14 CDV Media'!V14</f>
        <v>-----</v>
      </c>
      <c r="V17" t="str">
        <f>'[1]PL 14 CDV Media'!W14</f>
        <v>-----</v>
      </c>
      <c r="W17" s="77">
        <f>'[1]PL 14 CDV Media'!X14</f>
        <v>43335.88181712963</v>
      </c>
      <c r="X17">
        <v>663</v>
      </c>
      <c r="Y17" t="s">
        <v>4</v>
      </c>
      <c r="Z17" t="s">
        <v>27</v>
      </c>
      <c r="AA17">
        <v>72</v>
      </c>
    </row>
    <row r="18" spans="1:27" x14ac:dyDescent="0.25">
      <c r="A18" t="str">
        <f>'[1]PL 14 CDV Media'!B15</f>
        <v>201-107_PL14_CDV_663_T72_ds2_CC-004-778_036.lcd</v>
      </c>
      <c r="B18" t="str">
        <f>'[1]PL 14 CDV Media'!C15</f>
        <v>Unknown</v>
      </c>
      <c r="C18">
        <f>'[1]PL 14 CDV Media'!D15</f>
        <v>0</v>
      </c>
      <c r="D18" t="str">
        <f>'[1]PL 14 CDV Media'!E15</f>
        <v>663_T72_ds2</v>
      </c>
      <c r="E18">
        <f>'[1]PL 14 CDV Media'!F15</f>
        <v>1</v>
      </c>
      <c r="F18">
        <f>'[1]PL 14 CDV Media'!G15</f>
        <v>17</v>
      </c>
      <c r="G18">
        <f>'[1]PL 14 CDV Media'!H15</f>
        <v>1.27</v>
      </c>
      <c r="H18">
        <f>'[1]PL 14 CDV Media'!I15</f>
        <v>519</v>
      </c>
      <c r="I18" t="str">
        <f>'[1]PL 14 CDV Media'!J15</f>
        <v>-----</v>
      </c>
      <c r="J18">
        <f>'[1]PL 14 CDV Media'!K15</f>
        <v>87.2</v>
      </c>
      <c r="K18" t="str">
        <f>'[1]PL 14 CDV Media'!L15</f>
        <v>-----</v>
      </c>
      <c r="L18" t="str">
        <f>'[1]PL 14 CDV Media'!M15</f>
        <v>-----</v>
      </c>
      <c r="M18" t="str">
        <f>'[1]PL 14 CDV Media'!N15</f>
        <v>-----</v>
      </c>
      <c r="N18" t="str">
        <f>'[1]PL 14 CDV Media'!O15</f>
        <v>-----</v>
      </c>
      <c r="O18" t="str">
        <f>'[1]PL 14 CDV Media'!P15</f>
        <v>Quant.Range(Low)</v>
      </c>
      <c r="P18">
        <f>'[1]PL 14 CDV Media'!Q15</f>
        <v>0.49</v>
      </c>
      <c r="Q18">
        <f>'[1]PL 14 CDV Media'!R15</f>
        <v>25</v>
      </c>
      <c r="R18" t="str">
        <f>'[1]PL 14 CDV Media'!S15</f>
        <v>-----</v>
      </c>
      <c r="S18">
        <f>'[1]PL 14 CDV Media'!T15</f>
        <v>1</v>
      </c>
      <c r="T18">
        <f>'[1]PL 14 CDV Media'!U15</f>
        <v>240</v>
      </c>
      <c r="U18">
        <f>'[1]PL 14 CDV Media'!V15</f>
        <v>252</v>
      </c>
      <c r="V18" t="str">
        <f>'[1]PL 14 CDV Media'!W15</f>
        <v xml:space="preserve">   </v>
      </c>
      <c r="W18" s="77">
        <f>'[1]PL 14 CDV Media'!X15</f>
        <v>43335.884247685186</v>
      </c>
      <c r="X18">
        <v>663</v>
      </c>
      <c r="Y18" t="s">
        <v>4</v>
      </c>
      <c r="Z18" t="s">
        <v>27</v>
      </c>
      <c r="AA18">
        <v>72</v>
      </c>
    </row>
    <row r="19" spans="1:27" x14ac:dyDescent="0.25">
      <c r="A19" t="str">
        <f>'[1]PL 14 CDV Media'!B16</f>
        <v>201-107_PL14_CDV_663_T72_ds3_CC-004-778_037.lcd</v>
      </c>
      <c r="B19" t="str">
        <f>'[1]PL 14 CDV Media'!C16</f>
        <v>Unknown</v>
      </c>
      <c r="C19">
        <f>'[1]PL 14 CDV Media'!D16</f>
        <v>0</v>
      </c>
      <c r="D19" t="str">
        <f>'[1]PL 14 CDV Media'!E16</f>
        <v>663_T72_ds3</v>
      </c>
      <c r="E19">
        <f>'[1]PL 14 CDV Media'!F16</f>
        <v>1</v>
      </c>
      <c r="F19">
        <f>'[1]PL 14 CDV Media'!G16</f>
        <v>18</v>
      </c>
      <c r="G19" t="str">
        <f>'[1]PL 14 CDV Media'!H16</f>
        <v>-----</v>
      </c>
      <c r="H19">
        <f>'[1]PL 14 CDV Media'!I16</f>
        <v>429</v>
      </c>
      <c r="I19" t="str">
        <f>'[1]PL 14 CDV Media'!J16</f>
        <v>-----</v>
      </c>
      <c r="J19" t="str">
        <f>'[1]PL 14 CDV Media'!K16</f>
        <v>-----</v>
      </c>
      <c r="K19" t="str">
        <f>'[1]PL 14 CDV Media'!L16</f>
        <v>-----</v>
      </c>
      <c r="L19" t="str">
        <f>'[1]PL 14 CDV Media'!M16</f>
        <v>-----</v>
      </c>
      <c r="M19" t="str">
        <f>'[1]PL 14 CDV Media'!N16</f>
        <v>-----</v>
      </c>
      <c r="N19" t="str">
        <f>'[1]PL 14 CDV Media'!O16</f>
        <v>-----</v>
      </c>
      <c r="O19">
        <f>'[1]PL 14 CDV Media'!P16</f>
        <v>0</v>
      </c>
      <c r="P19" t="str">
        <f>'[1]PL 14 CDV Media'!Q16</f>
        <v>-----</v>
      </c>
      <c r="Q19">
        <f>'[1]PL 14 CDV Media'!R16</f>
        <v>96.36</v>
      </c>
      <c r="R19" t="str">
        <f>'[1]PL 14 CDV Media'!S16</f>
        <v>-----</v>
      </c>
      <c r="S19">
        <f>'[1]PL 14 CDV Media'!T16</f>
        <v>1</v>
      </c>
      <c r="T19">
        <f>'[1]PL 14 CDV Media'!U16</f>
        <v>204</v>
      </c>
      <c r="U19">
        <f>'[1]PL 14 CDV Media'!V16</f>
        <v>220</v>
      </c>
      <c r="V19" t="str">
        <f>'[1]PL 14 CDV Media'!W16</f>
        <v>-----</v>
      </c>
      <c r="W19" s="77">
        <f>'[1]PL 14 CDV Media'!X16</f>
        <v>43335.886678240742</v>
      </c>
      <c r="X19">
        <v>663</v>
      </c>
      <c r="Y19" t="s">
        <v>4</v>
      </c>
      <c r="Z19" t="s">
        <v>27</v>
      </c>
      <c r="AA19">
        <v>72</v>
      </c>
    </row>
    <row r="20" spans="1:27" x14ac:dyDescent="0.25">
      <c r="A20" t="str">
        <f>'[1]PL 14 CDV Media'!B17</f>
        <v>201-107_PL14_CDV_663_T72_med1_CC-004-778_039.lcd</v>
      </c>
      <c r="B20" t="str">
        <f>'[1]PL 14 CDV Media'!C17</f>
        <v>Unknown</v>
      </c>
      <c r="C20">
        <f>'[1]PL 14 CDV Media'!D17</f>
        <v>0</v>
      </c>
      <c r="D20" t="str">
        <f>'[1]PL 14 CDV Media'!E17</f>
        <v>663_T72_med1</v>
      </c>
      <c r="E20">
        <f>'[1]PL 14 CDV Media'!F17</f>
        <v>1</v>
      </c>
      <c r="F20">
        <f>'[1]PL 14 CDV Media'!G17</f>
        <v>28</v>
      </c>
      <c r="G20">
        <f>'[1]PL 14 CDV Media'!H17</f>
        <v>1.278</v>
      </c>
      <c r="H20">
        <f>'[1]PL 14 CDV Media'!I17</f>
        <v>817</v>
      </c>
      <c r="I20" t="str">
        <f>'[1]PL 14 CDV Media'!J17</f>
        <v>-----</v>
      </c>
      <c r="J20">
        <f>'[1]PL 14 CDV Media'!K17</f>
        <v>135.6</v>
      </c>
      <c r="K20" t="str">
        <f>'[1]PL 14 CDV Media'!L17</f>
        <v>-----</v>
      </c>
      <c r="L20" t="str">
        <f>'[1]PL 14 CDV Media'!M17</f>
        <v>-----</v>
      </c>
      <c r="M20" t="str">
        <f>'[1]PL 14 CDV Media'!N17</f>
        <v>-----</v>
      </c>
      <c r="N20" t="str">
        <f>'[1]PL 14 CDV Media'!O17</f>
        <v>-----</v>
      </c>
      <c r="O20" t="str">
        <f>'[1]PL 14 CDV Media'!P17</f>
        <v>Quant.Range(Low)</v>
      </c>
      <c r="P20">
        <f>'[1]PL 14 CDV Media'!Q17</f>
        <v>0.41</v>
      </c>
      <c r="Q20">
        <f>'[1]PL 14 CDV Media'!R17</f>
        <v>42.95</v>
      </c>
      <c r="R20" t="str">
        <f>'[1]PL 14 CDV Media'!S17</f>
        <v>-----</v>
      </c>
      <c r="S20">
        <f>'[1]PL 14 CDV Media'!T17</f>
        <v>1</v>
      </c>
      <c r="T20">
        <f>'[1]PL 14 CDV Media'!U17</f>
        <v>292</v>
      </c>
      <c r="U20">
        <f>'[1]PL 14 CDV Media'!V17</f>
        <v>305</v>
      </c>
      <c r="V20" t="str">
        <f>'[1]PL 14 CDV Media'!W17</f>
        <v xml:space="preserve">   </v>
      </c>
      <c r="W20" s="77">
        <f>'[1]PL 14 CDV Media'!X17</f>
        <v>43335.891527777778</v>
      </c>
      <c r="X20">
        <v>663</v>
      </c>
      <c r="Y20" t="s">
        <v>4</v>
      </c>
      <c r="Z20" t="s">
        <v>27</v>
      </c>
      <c r="AA20">
        <v>72</v>
      </c>
    </row>
    <row r="21" spans="1:27" x14ac:dyDescent="0.25">
      <c r="A21" t="str">
        <f>'[1]PL 14 CDV Media'!B18</f>
        <v>201-107_PL14_CDV_663_T72_med2_CC-004-778_040.lcd</v>
      </c>
      <c r="B21" t="str">
        <f>'[1]PL 14 CDV Media'!C18</f>
        <v>Unknown</v>
      </c>
      <c r="C21">
        <f>'[1]PL 14 CDV Media'!D18</f>
        <v>0</v>
      </c>
      <c r="D21" t="str">
        <f>'[1]PL 14 CDV Media'!E18</f>
        <v>663_T72_med2</v>
      </c>
      <c r="E21">
        <f>'[1]PL 14 CDV Media'!F18</f>
        <v>1</v>
      </c>
      <c r="F21">
        <f>'[1]PL 14 CDV Media'!G18</f>
        <v>29</v>
      </c>
      <c r="G21" t="str">
        <f>'[1]PL 14 CDV Media'!H18</f>
        <v>-----</v>
      </c>
      <c r="H21">
        <f>'[1]PL 14 CDV Media'!I18</f>
        <v>983</v>
      </c>
      <c r="I21" t="str">
        <f>'[1]PL 14 CDV Media'!J18</f>
        <v>-----</v>
      </c>
      <c r="J21" t="str">
        <f>'[1]PL 14 CDV Media'!K18</f>
        <v>-----</v>
      </c>
      <c r="K21" t="str">
        <f>'[1]PL 14 CDV Media'!L18</f>
        <v>-----</v>
      </c>
      <c r="L21" t="str">
        <f>'[1]PL 14 CDV Media'!M18</f>
        <v>-----</v>
      </c>
      <c r="M21" t="str">
        <f>'[1]PL 14 CDV Media'!N18</f>
        <v>-----</v>
      </c>
      <c r="N21" t="str">
        <f>'[1]PL 14 CDV Media'!O18</f>
        <v>-----</v>
      </c>
      <c r="O21">
        <f>'[1]PL 14 CDV Media'!P18</f>
        <v>0</v>
      </c>
      <c r="P21" t="str">
        <f>'[1]PL 14 CDV Media'!Q18</f>
        <v>-----</v>
      </c>
      <c r="Q21">
        <f>'[1]PL 14 CDV Media'!R18</f>
        <v>21.42</v>
      </c>
      <c r="R21" t="str">
        <f>'[1]PL 14 CDV Media'!S18</f>
        <v>-----</v>
      </c>
      <c r="S21">
        <f>'[1]PL 14 CDV Media'!T18</f>
        <v>1</v>
      </c>
      <c r="T21">
        <f>'[1]PL 14 CDV Media'!U18</f>
        <v>508</v>
      </c>
      <c r="U21">
        <f>'[1]PL 14 CDV Media'!V18</f>
        <v>523</v>
      </c>
      <c r="V21" t="str">
        <f>'[1]PL 14 CDV Media'!W18</f>
        <v>-----</v>
      </c>
      <c r="W21" s="77">
        <f>'[1]PL 14 CDV Media'!X18</f>
        <v>43335.893946759257</v>
      </c>
      <c r="X21">
        <v>663</v>
      </c>
      <c r="Y21" t="s">
        <v>4</v>
      </c>
      <c r="Z21" t="s">
        <v>27</v>
      </c>
      <c r="AA21">
        <v>72</v>
      </c>
    </row>
    <row r="22" spans="1:27" x14ac:dyDescent="0.25">
      <c r="A22" t="str">
        <f>'[1]PL 14 CDV Media'!B19</f>
        <v>201-107_PL14_CDV_663_T72_med3_CC-004-778_041.lcd</v>
      </c>
      <c r="B22" t="str">
        <f>'[1]PL 14 CDV Media'!C19</f>
        <v>Unknown</v>
      </c>
      <c r="C22">
        <f>'[1]PL 14 CDV Media'!D19</f>
        <v>0</v>
      </c>
      <c r="D22" t="str">
        <f>'[1]PL 14 CDV Media'!E19</f>
        <v>663_T72_med3</v>
      </c>
      <c r="E22">
        <f>'[1]PL 14 CDV Media'!F19</f>
        <v>1</v>
      </c>
      <c r="F22">
        <f>'[1]PL 14 CDV Media'!G19</f>
        <v>30</v>
      </c>
      <c r="G22" t="str">
        <f>'[1]PL 14 CDV Media'!H19</f>
        <v>-----</v>
      </c>
      <c r="H22">
        <f>'[1]PL 14 CDV Media'!I19</f>
        <v>1093</v>
      </c>
      <c r="I22" t="str">
        <f>'[1]PL 14 CDV Media'!J19</f>
        <v>-----</v>
      </c>
      <c r="J22" t="str">
        <f>'[1]PL 14 CDV Media'!K19</f>
        <v>-----</v>
      </c>
      <c r="K22" t="str">
        <f>'[1]PL 14 CDV Media'!L19</f>
        <v>-----</v>
      </c>
      <c r="L22" t="str">
        <f>'[1]PL 14 CDV Media'!M19</f>
        <v>-----</v>
      </c>
      <c r="M22" t="str">
        <f>'[1]PL 14 CDV Media'!N19</f>
        <v>-----</v>
      </c>
      <c r="N22" t="str">
        <f>'[1]PL 14 CDV Media'!O19</f>
        <v>-----</v>
      </c>
      <c r="O22">
        <f>'[1]PL 14 CDV Media'!P19</f>
        <v>0</v>
      </c>
      <c r="P22" t="str">
        <f>'[1]PL 14 CDV Media'!Q19</f>
        <v>-----</v>
      </c>
      <c r="Q22">
        <f>'[1]PL 14 CDV Media'!R19</f>
        <v>0</v>
      </c>
      <c r="R22" t="str">
        <f>'[1]PL 14 CDV Media'!S19</f>
        <v>-----</v>
      </c>
      <c r="S22">
        <f>'[1]PL 14 CDV Media'!T19</f>
        <v>1</v>
      </c>
      <c r="T22">
        <f>'[1]PL 14 CDV Media'!U19</f>
        <v>276</v>
      </c>
      <c r="U22">
        <f>'[1]PL 14 CDV Media'!V19</f>
        <v>291</v>
      </c>
      <c r="V22" t="str">
        <f>'[1]PL 14 CDV Media'!W19</f>
        <v>-----</v>
      </c>
      <c r="W22" s="77">
        <f>'[1]PL 14 CDV Media'!X19</f>
        <v>43335.896377314813</v>
      </c>
      <c r="X22">
        <v>663</v>
      </c>
      <c r="Y22" t="s">
        <v>4</v>
      </c>
      <c r="Z22" t="s">
        <v>27</v>
      </c>
      <c r="AA22">
        <v>72</v>
      </c>
    </row>
    <row r="23" spans="1:27" ht="14.25" customHeight="1" x14ac:dyDescent="0.25">
      <c r="A23" t="str">
        <f>'[1]CDV Lysate'!B32</f>
        <v>201-107_PL12_CDV_Lysate_081718_663_T72_lys1_CC-004-773_031.lcd</v>
      </c>
      <c r="B23" t="str">
        <f>'[1]CDV Lysate'!C32</f>
        <v>Unknown</v>
      </c>
      <c r="C23">
        <f>'[1]CDV Lysate'!D32</f>
        <v>0</v>
      </c>
      <c r="D23" t="str">
        <f>'[1]CDV Lysate'!E32</f>
        <v>663_T72_lys1</v>
      </c>
      <c r="E23">
        <f>'[1]CDV Lysate'!F32</f>
        <v>1</v>
      </c>
      <c r="F23">
        <f>'[1]CDV Lysate'!G32</f>
        <v>4</v>
      </c>
      <c r="G23">
        <f>'[1]CDV Lysate'!H32</f>
        <v>1.264</v>
      </c>
      <c r="H23">
        <f>'[1]CDV Lysate'!I32</f>
        <v>28496</v>
      </c>
      <c r="I23" t="str">
        <f>'[1]CDV Lysate'!J32</f>
        <v>-----</v>
      </c>
      <c r="J23">
        <f>'[1]CDV Lysate'!K32</f>
        <v>190</v>
      </c>
      <c r="K23" t="str">
        <f>'[1]CDV Lysate'!L32</f>
        <v>-----</v>
      </c>
      <c r="L23" t="str">
        <f>'[1]CDV Lysate'!M32</f>
        <v>-----</v>
      </c>
      <c r="M23" t="str">
        <f>'[1]CDV Lysate'!N32</f>
        <v>-----</v>
      </c>
      <c r="N23" t="str">
        <f>'[1]CDV Lysate'!O32</f>
        <v>-----</v>
      </c>
      <c r="O23">
        <f>'[1]CDV Lysate'!P32</f>
        <v>0</v>
      </c>
      <c r="P23">
        <f>'[1]CDV Lysate'!Q32</f>
        <v>5.12</v>
      </c>
      <c r="Q23">
        <f>'[1]CDV Lysate'!R32</f>
        <v>40.909999999999997</v>
      </c>
      <c r="R23" t="str">
        <f>'[1]CDV Lysate'!S32</f>
        <v>-----</v>
      </c>
      <c r="S23">
        <f>'[1]CDV Lysate'!T32</f>
        <v>1</v>
      </c>
      <c r="T23">
        <f>'[1]CDV Lysate'!U32</f>
        <v>13339</v>
      </c>
      <c r="U23">
        <f>'[1]CDV Lysate'!V32</f>
        <v>13660</v>
      </c>
      <c r="V23" t="str">
        <f>'[1]CDV Lysate'!W32</f>
        <v xml:space="preserve">   </v>
      </c>
      <c r="W23" s="77">
        <f>'[1]CDV Lysate'!X32</f>
        <v>43329.668055555558</v>
      </c>
      <c r="X23">
        <v>663</v>
      </c>
      <c r="Y23" t="s">
        <v>4</v>
      </c>
      <c r="Z23" t="s">
        <v>28</v>
      </c>
      <c r="AA23">
        <v>72</v>
      </c>
    </row>
    <row r="24" spans="1:27" x14ac:dyDescent="0.25">
      <c r="A24" t="str">
        <f>'[1]CDV Lysate'!B33</f>
        <v>201-107_PL12_CDV_Lysate_081718_663_T72_lys2_CC-004-773_032.lcd</v>
      </c>
      <c r="B24" t="str">
        <f>'[1]CDV Lysate'!C33</f>
        <v>Unknown</v>
      </c>
      <c r="C24">
        <f>'[1]CDV Lysate'!D33</f>
        <v>0</v>
      </c>
      <c r="D24" t="str">
        <f>'[1]CDV Lysate'!E33</f>
        <v>663_T72_lys2</v>
      </c>
      <c r="E24">
        <f>'[1]CDV Lysate'!F33</f>
        <v>1</v>
      </c>
      <c r="F24">
        <f>'[1]CDV Lysate'!G33</f>
        <v>5</v>
      </c>
      <c r="G24">
        <f>'[1]CDV Lysate'!H33</f>
        <v>1.264</v>
      </c>
      <c r="H24">
        <f>'[1]CDV Lysate'!I33</f>
        <v>36739</v>
      </c>
      <c r="I24" t="str">
        <f>'[1]CDV Lysate'!J33</f>
        <v>-----</v>
      </c>
      <c r="J24">
        <f>'[1]CDV Lysate'!K33</f>
        <v>243.8</v>
      </c>
      <c r="K24" t="str">
        <f>'[1]CDV Lysate'!L33</f>
        <v>-----</v>
      </c>
      <c r="L24" t="str">
        <f>'[1]CDV Lysate'!M33</f>
        <v>-----</v>
      </c>
      <c r="M24" t="str">
        <f>'[1]CDV Lysate'!N33</f>
        <v>-----</v>
      </c>
      <c r="N24" t="str">
        <f>'[1]CDV Lysate'!O33</f>
        <v>-----</v>
      </c>
      <c r="O24">
        <f>'[1]CDV Lysate'!P33</f>
        <v>0</v>
      </c>
      <c r="P24">
        <f>'[1]CDV Lysate'!Q33</f>
        <v>12.96</v>
      </c>
      <c r="Q24">
        <f>'[1]CDV Lysate'!R33</f>
        <v>38.549999999999997</v>
      </c>
      <c r="R24" t="str">
        <f>'[1]CDV Lysate'!S33</f>
        <v>-----</v>
      </c>
      <c r="S24">
        <f>'[1]CDV Lysate'!T33</f>
        <v>1</v>
      </c>
      <c r="T24">
        <f>'[1]CDV Lysate'!U33</f>
        <v>18273</v>
      </c>
      <c r="U24">
        <f>'[1]CDV Lysate'!V33</f>
        <v>18715</v>
      </c>
      <c r="V24" t="str">
        <f>'[1]CDV Lysate'!W33</f>
        <v xml:space="preserve">   </v>
      </c>
      <c r="W24" s="77">
        <f>'[1]CDV Lysate'!X33</f>
        <v>43329.670486111114</v>
      </c>
      <c r="X24">
        <v>663</v>
      </c>
      <c r="Y24" t="s">
        <v>4</v>
      </c>
      <c r="Z24" t="s">
        <v>28</v>
      </c>
      <c r="AA24">
        <v>72</v>
      </c>
    </row>
    <row r="25" spans="1:27" x14ac:dyDescent="0.25">
      <c r="A25" t="str">
        <f>'[1]CDV Lysate'!B34</f>
        <v>201-107_PL12_CDV_Lysate_081718_663_T72_lys3_CC-004-773_033.lcd</v>
      </c>
      <c r="B25" t="str">
        <f>'[1]CDV Lysate'!C34</f>
        <v>Unknown</v>
      </c>
      <c r="C25">
        <f>'[1]CDV Lysate'!D34</f>
        <v>0</v>
      </c>
      <c r="D25" t="str">
        <f>'[1]CDV Lysate'!E34</f>
        <v>663_T72_lys3</v>
      </c>
      <c r="E25">
        <f>'[1]CDV Lysate'!F34</f>
        <v>1</v>
      </c>
      <c r="F25">
        <f>'[1]CDV Lysate'!G34</f>
        <v>6</v>
      </c>
      <c r="G25">
        <f>'[1]CDV Lysate'!H34</f>
        <v>1.2609999999999999</v>
      </c>
      <c r="H25">
        <f>'[1]CDV Lysate'!I34</f>
        <v>39128</v>
      </c>
      <c r="I25" t="str">
        <f>'[1]CDV Lysate'!J34</f>
        <v>-----</v>
      </c>
      <c r="J25">
        <f>'[1]CDV Lysate'!K34</f>
        <v>259.39999999999998</v>
      </c>
      <c r="K25" t="str">
        <f>'[1]CDV Lysate'!L34</f>
        <v>-----</v>
      </c>
      <c r="L25" t="str">
        <f>'[1]CDV Lysate'!M34</f>
        <v>-----</v>
      </c>
      <c r="M25" t="str">
        <f>'[1]CDV Lysate'!N34</f>
        <v>-----</v>
      </c>
      <c r="N25" t="str">
        <f>'[1]CDV Lysate'!O34</f>
        <v>-----</v>
      </c>
      <c r="O25">
        <f>'[1]CDV Lysate'!P34</f>
        <v>0</v>
      </c>
      <c r="P25">
        <f>'[1]CDV Lysate'!Q34</f>
        <v>14.05</v>
      </c>
      <c r="Q25">
        <f>'[1]CDV Lysate'!R34</f>
        <v>40.47</v>
      </c>
      <c r="R25" t="str">
        <f>'[1]CDV Lysate'!S34</f>
        <v>-----</v>
      </c>
      <c r="S25">
        <f>'[1]CDV Lysate'!T34</f>
        <v>1</v>
      </c>
      <c r="T25">
        <f>'[1]CDV Lysate'!U34</f>
        <v>18515</v>
      </c>
      <c r="U25">
        <f>'[1]CDV Lysate'!V34</f>
        <v>19014</v>
      </c>
      <c r="V25" t="str">
        <f>'[1]CDV Lysate'!W34</f>
        <v xml:space="preserve">   </v>
      </c>
      <c r="W25" s="77">
        <f>'[1]CDV Lysate'!X34</f>
        <v>43329.67292824074</v>
      </c>
      <c r="X25">
        <v>663</v>
      </c>
      <c r="Y25" t="s">
        <v>4</v>
      </c>
      <c r="Z25" t="s">
        <v>28</v>
      </c>
      <c r="AA25">
        <v>72</v>
      </c>
    </row>
    <row r="26" spans="1:27" x14ac:dyDescent="0.25">
      <c r="A26" t="str">
        <f>'[1]PL13 CDVPP Lysate'!B32</f>
        <v>201-107_PL13_CDVPP_Lysate_663_T72_lys1_CC-004-773_031.lcd</v>
      </c>
      <c r="B26" t="str">
        <f>'[1]PL13 CDVPP Lysate'!C32</f>
        <v>Unknown</v>
      </c>
      <c r="C26">
        <f>'[1]PL13 CDVPP Lysate'!D32</f>
        <v>0</v>
      </c>
      <c r="D26" t="str">
        <f>'[1]PL13 CDVPP Lysate'!E32</f>
        <v>663_T72_lys1</v>
      </c>
      <c r="E26">
        <f>'[1]PL13 CDVPP Lysate'!F32</f>
        <v>2</v>
      </c>
      <c r="F26">
        <f>'[1]PL13 CDVPP Lysate'!G32</f>
        <v>4</v>
      </c>
      <c r="G26">
        <f>'[1]PL13 CDVPP Lysate'!H32</f>
        <v>2.27</v>
      </c>
      <c r="H26">
        <f>'[1]PL13 CDVPP Lysate'!I32</f>
        <v>346596</v>
      </c>
      <c r="I26" t="str">
        <f>'[1]PL13 CDVPP Lysate'!J32</f>
        <v>-----</v>
      </c>
      <c r="J26">
        <f>'[1]PL13 CDVPP Lysate'!K32</f>
        <v>405.7</v>
      </c>
      <c r="K26" t="str">
        <f>'[1]PL13 CDVPP Lysate'!L32</f>
        <v>-----</v>
      </c>
      <c r="L26" t="str">
        <f>'[1]PL13 CDVPP Lysate'!M32</f>
        <v>-----</v>
      </c>
      <c r="M26" t="str">
        <f>'[1]PL13 CDVPP Lysate'!N32</f>
        <v>-----</v>
      </c>
      <c r="N26" t="str">
        <f>'[1]PL13 CDVPP Lysate'!O32</f>
        <v>-----</v>
      </c>
      <c r="O26">
        <f>'[1]PL13 CDVPP Lysate'!P32</f>
        <v>0</v>
      </c>
      <c r="P26">
        <f>'[1]PL13 CDVPP Lysate'!Q32</f>
        <v>1255.3399999999999</v>
      </c>
      <c r="Q26">
        <f>'[1]PL13 CDVPP Lysate'!R32</f>
        <v>26.68</v>
      </c>
      <c r="R26" t="str">
        <f>'[1]PL13 CDVPP Lysate'!S32</f>
        <v>-----</v>
      </c>
      <c r="S26">
        <f>'[1]PL13 CDVPP Lysate'!T32</f>
        <v>1</v>
      </c>
      <c r="T26">
        <f>'[1]PL13 CDVPP Lysate'!U32</f>
        <v>191718</v>
      </c>
      <c r="U26">
        <f>'[1]PL13 CDVPP Lysate'!V32</f>
        <v>178153</v>
      </c>
      <c r="V26" t="str">
        <f>'[1]PL13 CDVPP Lysate'!W32</f>
        <v xml:space="preserve">   </v>
      </c>
      <c r="W26" s="77">
        <f>'[1]PL13 CDVPP Lysate'!X32</f>
        <v>43333.733020833337</v>
      </c>
      <c r="X26">
        <v>663</v>
      </c>
      <c r="Y26" t="s">
        <v>96</v>
      </c>
      <c r="Z26" t="s">
        <v>28</v>
      </c>
      <c r="AA26">
        <v>72</v>
      </c>
    </row>
    <row r="27" spans="1:27" x14ac:dyDescent="0.25">
      <c r="A27" t="str">
        <f>'[1]PL13 CDVPP Lysate'!B33</f>
        <v>201-107_PL13_CDVPP_Lysate_663_T72_lys2_CC-004-773_032.lcd</v>
      </c>
      <c r="B27" t="str">
        <f>'[1]PL13 CDVPP Lysate'!C33</f>
        <v>Unknown</v>
      </c>
      <c r="C27">
        <f>'[1]PL13 CDVPP Lysate'!D33</f>
        <v>0</v>
      </c>
      <c r="D27" t="str">
        <f>'[1]PL13 CDVPP Lysate'!E33</f>
        <v>663_T72_lys2</v>
      </c>
      <c r="E27">
        <f>'[1]PL13 CDVPP Lysate'!F33</f>
        <v>2</v>
      </c>
      <c r="F27">
        <f>'[1]PL13 CDVPP Lysate'!G33</f>
        <v>5</v>
      </c>
      <c r="G27">
        <f>'[1]PL13 CDVPP Lysate'!H33</f>
        <v>2.27</v>
      </c>
      <c r="H27">
        <f>'[1]PL13 CDVPP Lysate'!I33</f>
        <v>366810</v>
      </c>
      <c r="I27" t="str">
        <f>'[1]PL13 CDVPP Lysate'!J33</f>
        <v>-----</v>
      </c>
      <c r="J27">
        <f>'[1]PL13 CDVPP Lysate'!K33</f>
        <v>429.4</v>
      </c>
      <c r="K27" t="str">
        <f>'[1]PL13 CDVPP Lysate'!L33</f>
        <v>-----</v>
      </c>
      <c r="L27" t="str">
        <f>'[1]PL13 CDVPP Lysate'!M33</f>
        <v>-----</v>
      </c>
      <c r="M27" t="str">
        <f>'[1]PL13 CDVPP Lysate'!N33</f>
        <v>-----</v>
      </c>
      <c r="N27" t="str">
        <f>'[1]PL13 CDVPP Lysate'!O33</f>
        <v>-----</v>
      </c>
      <c r="O27">
        <f>'[1]PL13 CDVPP Lysate'!P33</f>
        <v>0</v>
      </c>
      <c r="P27">
        <f>'[1]PL13 CDVPP Lysate'!Q33</f>
        <v>1156.51</v>
      </c>
      <c r="Q27">
        <f>'[1]PL13 CDVPP Lysate'!R33</f>
        <v>26.74</v>
      </c>
      <c r="R27" t="str">
        <f>'[1]PL13 CDVPP Lysate'!S33</f>
        <v>-----</v>
      </c>
      <c r="S27">
        <f>'[1]PL13 CDVPP Lysate'!T33</f>
        <v>1</v>
      </c>
      <c r="T27">
        <f>'[1]PL13 CDVPP Lysate'!U33</f>
        <v>203426</v>
      </c>
      <c r="U27">
        <f>'[1]PL13 CDVPP Lysate'!V33</f>
        <v>187491</v>
      </c>
      <c r="V27" t="str">
        <f>'[1]PL13 CDVPP Lysate'!W33</f>
        <v xml:space="preserve">   </v>
      </c>
      <c r="W27" s="77">
        <f>'[1]PL13 CDVPP Lysate'!X33</f>
        <v>43333.736597222225</v>
      </c>
      <c r="X27">
        <v>663</v>
      </c>
      <c r="Y27" t="s">
        <v>96</v>
      </c>
      <c r="Z27" t="s">
        <v>28</v>
      </c>
      <c r="AA27">
        <v>72</v>
      </c>
    </row>
    <row r="28" spans="1:27" x14ac:dyDescent="0.25">
      <c r="A28" t="str">
        <f>'[1]PL13 CDVPP Lysate'!B34</f>
        <v>201-107_PL13_CDVPP_Lysate_663_T72_lys3_CC-004-773_033.lcd</v>
      </c>
      <c r="B28" t="str">
        <f>'[1]PL13 CDVPP Lysate'!C34</f>
        <v>Unknown</v>
      </c>
      <c r="C28">
        <f>'[1]PL13 CDVPP Lysate'!D34</f>
        <v>0</v>
      </c>
      <c r="D28" t="str">
        <f>'[1]PL13 CDVPP Lysate'!E34</f>
        <v>663_T72_lys3</v>
      </c>
      <c r="E28">
        <f>'[1]PL13 CDVPP Lysate'!F34</f>
        <v>2</v>
      </c>
      <c r="F28">
        <f>'[1]PL13 CDVPP Lysate'!G34</f>
        <v>6</v>
      </c>
      <c r="G28">
        <f>'[1]PL13 CDVPP Lysate'!H34</f>
        <v>2.2719999999999998</v>
      </c>
      <c r="H28">
        <f>'[1]PL13 CDVPP Lysate'!I34</f>
        <v>331084</v>
      </c>
      <c r="I28" t="str">
        <f>'[1]PL13 CDVPP Lysate'!J34</f>
        <v>-----</v>
      </c>
      <c r="J28">
        <f>'[1]PL13 CDVPP Lysate'!K34</f>
        <v>387.6</v>
      </c>
      <c r="K28" t="str">
        <f>'[1]PL13 CDVPP Lysate'!L34</f>
        <v>-----</v>
      </c>
      <c r="L28" t="str">
        <f>'[1]PL13 CDVPP Lysate'!M34</f>
        <v>-----</v>
      </c>
      <c r="M28" t="str">
        <f>'[1]PL13 CDVPP Lysate'!N34</f>
        <v>-----</v>
      </c>
      <c r="N28" t="str">
        <f>'[1]PL13 CDVPP Lysate'!O34</f>
        <v>-----</v>
      </c>
      <c r="O28">
        <f>'[1]PL13 CDVPP Lysate'!P34</f>
        <v>0</v>
      </c>
      <c r="P28">
        <f>'[1]PL13 CDVPP Lysate'!Q34</f>
        <v>1531.27</v>
      </c>
      <c r="Q28">
        <f>'[1]PL13 CDVPP Lysate'!R34</f>
        <v>26.77</v>
      </c>
      <c r="R28" t="str">
        <f>'[1]PL13 CDVPP Lysate'!S34</f>
        <v>-----</v>
      </c>
      <c r="S28">
        <f>'[1]PL13 CDVPP Lysate'!T34</f>
        <v>1</v>
      </c>
      <c r="T28">
        <f>'[1]PL13 CDVPP Lysate'!U34</f>
        <v>178505</v>
      </c>
      <c r="U28">
        <f>'[1]PL13 CDVPP Lysate'!V34</f>
        <v>175615</v>
      </c>
      <c r="V28" t="str">
        <f>'[1]PL13 CDVPP Lysate'!W34</f>
        <v xml:space="preserve">   </v>
      </c>
      <c r="W28" s="77">
        <f>'[1]PL13 CDVPP Lysate'!X34</f>
        <v>43333.740162037036</v>
      </c>
      <c r="X28">
        <v>663</v>
      </c>
      <c r="Y28" t="s">
        <v>96</v>
      </c>
      <c r="Z28" t="s">
        <v>28</v>
      </c>
      <c r="AA28">
        <v>72</v>
      </c>
    </row>
    <row r="29" spans="1:27" x14ac:dyDescent="0.25">
      <c r="A29" t="str">
        <f>'[1]NPP-666 Media'!B32</f>
        <v>201-107_PL10_T0_ds1_CC-004-767_031.lcd</v>
      </c>
      <c r="B29" t="str">
        <f>'[1]NPP-666 Media'!C32</f>
        <v>Unknown</v>
      </c>
      <c r="C29">
        <f>'[1]NPP-666 Media'!D32</f>
        <v>0</v>
      </c>
      <c r="D29" t="str">
        <f>'[1]NPP-666 Media'!E32</f>
        <v>T0_ds1</v>
      </c>
      <c r="E29">
        <f>'[1]NPP-666 Media'!F32</f>
        <v>2</v>
      </c>
      <c r="F29">
        <f>'[1]NPP-666 Media'!G32</f>
        <v>10</v>
      </c>
      <c r="G29">
        <f>'[1]NPP-666 Media'!H32</f>
        <v>2.1419999999999999</v>
      </c>
      <c r="H29">
        <f>'[1]NPP-666 Media'!I32</f>
        <v>705900</v>
      </c>
      <c r="I29" t="str">
        <f>'[1]NPP-666 Media'!J32</f>
        <v>-----</v>
      </c>
      <c r="J29">
        <f>'[1]NPP-666 Media'!K32</f>
        <v>1268.4000000000001</v>
      </c>
      <c r="K29" t="str">
        <f>'[1]NPP-666 Media'!L32</f>
        <v>-----</v>
      </c>
      <c r="L29" t="str">
        <f>'[1]NPP-666 Media'!M32</f>
        <v>-----</v>
      </c>
      <c r="M29" t="str">
        <f>'[1]NPP-666 Media'!N32</f>
        <v>-----</v>
      </c>
      <c r="N29" t="str">
        <f>'[1]NPP-666 Media'!O32</f>
        <v>-----</v>
      </c>
      <c r="O29">
        <f>'[1]NPP-666 Media'!P32</f>
        <v>0</v>
      </c>
      <c r="P29">
        <f>'[1]NPP-666 Media'!Q32</f>
        <v>1026.1300000000001</v>
      </c>
      <c r="Q29">
        <f>'[1]NPP-666 Media'!R32</f>
        <v>108.52</v>
      </c>
      <c r="R29" t="str">
        <f>'[1]NPP-666 Media'!S32</f>
        <v>-----</v>
      </c>
      <c r="S29">
        <f>'[1]NPP-666 Media'!T32</f>
        <v>1</v>
      </c>
      <c r="T29">
        <f>'[1]NPP-666 Media'!U32</f>
        <v>177537</v>
      </c>
      <c r="U29">
        <f>'[1]NPP-666 Media'!V32</f>
        <v>150637</v>
      </c>
      <c r="V29" t="str">
        <f>'[1]NPP-666 Media'!W32</f>
        <v xml:space="preserve">   </v>
      </c>
      <c r="W29" s="77">
        <f>'[1]NPP-666 Media'!X32</f>
        <v>43327.062997685185</v>
      </c>
      <c r="X29">
        <v>666</v>
      </c>
      <c r="Y29" t="s">
        <v>43</v>
      </c>
      <c r="Z29" t="s">
        <v>27</v>
      </c>
      <c r="AA29">
        <v>0</v>
      </c>
    </row>
    <row r="30" spans="1:27" x14ac:dyDescent="0.25">
      <c r="A30" t="str">
        <f>'[1]NPP-666 Media'!B33</f>
        <v>201-107_PL10_T0_ds2_CC-004-767_032.lcd</v>
      </c>
      <c r="B30" t="str">
        <f>'[1]NPP-666 Media'!C33</f>
        <v>Unknown</v>
      </c>
      <c r="C30">
        <f>'[1]NPP-666 Media'!D33</f>
        <v>0</v>
      </c>
      <c r="D30" t="str">
        <f>'[1]NPP-666 Media'!E33</f>
        <v>T0_ds2</v>
      </c>
      <c r="E30">
        <f>'[1]NPP-666 Media'!F33</f>
        <v>2</v>
      </c>
      <c r="F30">
        <f>'[1]NPP-666 Media'!G33</f>
        <v>22</v>
      </c>
      <c r="G30">
        <f>'[1]NPP-666 Media'!H33</f>
        <v>2.141</v>
      </c>
      <c r="H30">
        <f>'[1]NPP-666 Media'!I33</f>
        <v>720149</v>
      </c>
      <c r="I30" t="str">
        <f>'[1]NPP-666 Media'!J33</f>
        <v>-----</v>
      </c>
      <c r="J30">
        <f>'[1]NPP-666 Media'!K33</f>
        <v>1294</v>
      </c>
      <c r="K30" t="str">
        <f>'[1]NPP-666 Media'!L33</f>
        <v>-----</v>
      </c>
      <c r="L30" t="str">
        <f>'[1]NPP-666 Media'!M33</f>
        <v>-----</v>
      </c>
      <c r="M30" t="str">
        <f>'[1]NPP-666 Media'!N33</f>
        <v>-----</v>
      </c>
      <c r="N30" t="str">
        <f>'[1]NPP-666 Media'!O33</f>
        <v>-----</v>
      </c>
      <c r="O30">
        <f>'[1]NPP-666 Media'!P33</f>
        <v>0</v>
      </c>
      <c r="P30">
        <f>'[1]NPP-666 Media'!Q33</f>
        <v>1113.08</v>
      </c>
      <c r="Q30">
        <f>'[1]NPP-666 Media'!R33</f>
        <v>109.81</v>
      </c>
      <c r="R30" t="str">
        <f>'[1]NPP-666 Media'!S33</f>
        <v>-----</v>
      </c>
      <c r="S30">
        <f>'[1]NPP-666 Media'!T33</f>
        <v>1</v>
      </c>
      <c r="T30">
        <f>'[1]NPP-666 Media'!U33</f>
        <v>182113</v>
      </c>
      <c r="U30">
        <f>'[1]NPP-666 Media'!V33</f>
        <v>155907</v>
      </c>
      <c r="V30" t="str">
        <f>'[1]NPP-666 Media'!W33</f>
        <v xml:space="preserve">   </v>
      </c>
      <c r="W30" s="77">
        <f>'[1]NPP-666 Media'!X33</f>
        <v>43327.066481481481</v>
      </c>
      <c r="X30">
        <v>666</v>
      </c>
      <c r="Y30" t="s">
        <v>43</v>
      </c>
      <c r="Z30" t="s">
        <v>27</v>
      </c>
      <c r="AA30">
        <v>0</v>
      </c>
    </row>
    <row r="31" spans="1:27" x14ac:dyDescent="0.25">
      <c r="A31" t="str">
        <f>'[1]NPP-666 Media'!B34</f>
        <v>201-107_PL10_T0_ds3_CC-004-767_033.lcd</v>
      </c>
      <c r="B31" t="str">
        <f>'[1]NPP-666 Media'!C34</f>
        <v>Unknown</v>
      </c>
      <c r="C31">
        <f>'[1]NPP-666 Media'!D34</f>
        <v>0</v>
      </c>
      <c r="D31" t="str">
        <f>'[1]NPP-666 Media'!E34</f>
        <v>T0_ds3</v>
      </c>
      <c r="E31">
        <f>'[1]NPP-666 Media'!F34</f>
        <v>2</v>
      </c>
      <c r="F31">
        <f>'[1]NPP-666 Media'!G34</f>
        <v>34</v>
      </c>
      <c r="G31">
        <f>'[1]NPP-666 Media'!H34</f>
        <v>2.141</v>
      </c>
      <c r="H31">
        <f>'[1]NPP-666 Media'!I34</f>
        <v>678761</v>
      </c>
      <c r="I31" t="str">
        <f>'[1]NPP-666 Media'!J34</f>
        <v>-----</v>
      </c>
      <c r="J31">
        <f>'[1]NPP-666 Media'!K34</f>
        <v>1219.7</v>
      </c>
      <c r="K31" t="str">
        <f>'[1]NPP-666 Media'!L34</f>
        <v>-----</v>
      </c>
      <c r="L31" t="str">
        <f>'[1]NPP-666 Media'!M34</f>
        <v>-----</v>
      </c>
      <c r="M31" t="str">
        <f>'[1]NPP-666 Media'!N34</f>
        <v>-----</v>
      </c>
      <c r="N31" t="str">
        <f>'[1]NPP-666 Media'!O34</f>
        <v>-----</v>
      </c>
      <c r="O31">
        <f>'[1]NPP-666 Media'!P34</f>
        <v>0</v>
      </c>
      <c r="P31">
        <f>'[1]NPP-666 Media'!Q34</f>
        <v>974.98</v>
      </c>
      <c r="Q31">
        <f>'[1]NPP-666 Media'!R34</f>
        <v>109.45</v>
      </c>
      <c r="R31" t="str">
        <f>'[1]NPP-666 Media'!S34</f>
        <v>-----</v>
      </c>
      <c r="S31">
        <f>'[1]NPP-666 Media'!T34</f>
        <v>1</v>
      </c>
      <c r="T31">
        <f>'[1]NPP-666 Media'!U34</f>
        <v>169240</v>
      </c>
      <c r="U31">
        <f>'[1]NPP-666 Media'!V34</f>
        <v>145433</v>
      </c>
      <c r="V31" t="str">
        <f>'[1]NPP-666 Media'!W34</f>
        <v xml:space="preserve">   </v>
      </c>
      <c r="W31" s="77">
        <f>'[1]NPP-666 Media'!X34</f>
        <v>43327.069965277777</v>
      </c>
      <c r="X31">
        <v>666</v>
      </c>
      <c r="Y31" t="s">
        <v>43</v>
      </c>
      <c r="Z31" t="s">
        <v>27</v>
      </c>
      <c r="AA31">
        <v>0</v>
      </c>
    </row>
    <row r="32" spans="1:27" x14ac:dyDescent="0.25">
      <c r="A32" t="str">
        <f>'[1]NPP-666 Media'!B36</f>
        <v>201-107_PL10_T72_ds1_CC-004-767_035.lcd</v>
      </c>
      <c r="B32" t="str">
        <f>'[1]NPP-666 Media'!C36</f>
        <v>Unknown</v>
      </c>
      <c r="C32">
        <f>'[1]NPP-666 Media'!D36</f>
        <v>0</v>
      </c>
      <c r="D32" t="str">
        <f>'[1]NPP-666 Media'!E36</f>
        <v>T72_ds1</v>
      </c>
      <c r="E32">
        <f>'[1]NPP-666 Media'!F36</f>
        <v>2</v>
      </c>
      <c r="F32">
        <f>'[1]NPP-666 Media'!G36</f>
        <v>11</v>
      </c>
      <c r="G32">
        <f>'[1]NPP-666 Media'!H36</f>
        <v>2.141</v>
      </c>
      <c r="H32">
        <f>'[1]NPP-666 Media'!I36</f>
        <v>735698</v>
      </c>
      <c r="I32" t="str">
        <f>'[1]NPP-666 Media'!J36</f>
        <v>-----</v>
      </c>
      <c r="J32">
        <f>'[1]NPP-666 Media'!K36</f>
        <v>1321.9</v>
      </c>
      <c r="K32" t="str">
        <f>'[1]NPP-666 Media'!L36</f>
        <v>-----</v>
      </c>
      <c r="L32" t="str">
        <f>'[1]NPP-666 Media'!M36</f>
        <v>-----</v>
      </c>
      <c r="M32" t="str">
        <f>'[1]NPP-666 Media'!N36</f>
        <v>-----</v>
      </c>
      <c r="N32" t="str">
        <f>'[1]NPP-666 Media'!O36</f>
        <v>-----</v>
      </c>
      <c r="O32">
        <f>'[1]NPP-666 Media'!P36</f>
        <v>0</v>
      </c>
      <c r="P32">
        <f>'[1]NPP-666 Media'!Q36</f>
        <v>1112.83</v>
      </c>
      <c r="Q32">
        <f>'[1]NPP-666 Media'!R36</f>
        <v>110.96</v>
      </c>
      <c r="R32" t="str">
        <f>'[1]NPP-666 Media'!S36</f>
        <v>-----</v>
      </c>
      <c r="S32">
        <f>'[1]NPP-666 Media'!T36</f>
        <v>1</v>
      </c>
      <c r="T32">
        <f>'[1]NPP-666 Media'!U36</f>
        <v>184907</v>
      </c>
      <c r="U32">
        <f>'[1]NPP-666 Media'!V36</f>
        <v>161342</v>
      </c>
      <c r="V32" t="str">
        <f>'[1]NPP-666 Media'!W36</f>
        <v xml:space="preserve">   </v>
      </c>
      <c r="W32" s="77">
        <f>'[1]NPP-666 Media'!X36</f>
        <v>43327.076909722222</v>
      </c>
      <c r="X32">
        <v>666</v>
      </c>
      <c r="Y32" t="s">
        <v>43</v>
      </c>
      <c r="Z32" t="s">
        <v>27</v>
      </c>
      <c r="AA32">
        <v>72</v>
      </c>
    </row>
    <row r="33" spans="1:27" x14ac:dyDescent="0.25">
      <c r="A33" t="str">
        <f>'[1]NPP-666 Media'!B37</f>
        <v>201-107_PL10_T72_ds2_CC-004-767_036.lcd</v>
      </c>
      <c r="B33" t="str">
        <f>'[1]NPP-666 Media'!C37</f>
        <v>Unknown</v>
      </c>
      <c r="C33">
        <f>'[1]NPP-666 Media'!D37</f>
        <v>0</v>
      </c>
      <c r="D33" t="str">
        <f>'[1]NPP-666 Media'!E37</f>
        <v>T72_ds2</v>
      </c>
      <c r="E33">
        <f>'[1]NPP-666 Media'!F37</f>
        <v>2</v>
      </c>
      <c r="F33">
        <f>'[1]NPP-666 Media'!G37</f>
        <v>23</v>
      </c>
      <c r="G33">
        <f>'[1]NPP-666 Media'!H37</f>
        <v>2.141</v>
      </c>
      <c r="H33">
        <f>'[1]NPP-666 Media'!I37</f>
        <v>724983</v>
      </c>
      <c r="I33" t="str">
        <f>'[1]NPP-666 Media'!J37</f>
        <v>-----</v>
      </c>
      <c r="J33">
        <f>'[1]NPP-666 Media'!K37</f>
        <v>1302.7</v>
      </c>
      <c r="K33" t="str">
        <f>'[1]NPP-666 Media'!L37</f>
        <v>-----</v>
      </c>
      <c r="L33" t="str">
        <f>'[1]NPP-666 Media'!M37</f>
        <v>-----</v>
      </c>
      <c r="M33" t="str">
        <f>'[1]NPP-666 Media'!N37</f>
        <v>-----</v>
      </c>
      <c r="N33" t="str">
        <f>'[1]NPP-666 Media'!O37</f>
        <v>-----</v>
      </c>
      <c r="O33">
        <f>'[1]NPP-666 Media'!P37</f>
        <v>0</v>
      </c>
      <c r="P33">
        <f>'[1]NPP-666 Media'!Q37</f>
        <v>943.06</v>
      </c>
      <c r="Q33">
        <f>'[1]NPP-666 Media'!R37</f>
        <v>108.59</v>
      </c>
      <c r="R33" t="str">
        <f>'[1]NPP-666 Media'!S37</f>
        <v>-----</v>
      </c>
      <c r="S33">
        <f>'[1]NPP-666 Media'!T37</f>
        <v>1</v>
      </c>
      <c r="T33">
        <f>'[1]NPP-666 Media'!U37</f>
        <v>180289</v>
      </c>
      <c r="U33">
        <f>'[1]NPP-666 Media'!V37</f>
        <v>156919</v>
      </c>
      <c r="V33" t="str">
        <f>'[1]NPP-666 Media'!W37</f>
        <v xml:space="preserve">   </v>
      </c>
      <c r="W33" s="77">
        <f>'[1]NPP-666 Media'!X37</f>
        <v>43327.080405092594</v>
      </c>
      <c r="X33">
        <v>666</v>
      </c>
      <c r="Y33" t="s">
        <v>43</v>
      </c>
      <c r="Z33" t="s">
        <v>27</v>
      </c>
      <c r="AA33">
        <v>72</v>
      </c>
    </row>
    <row r="34" spans="1:27" x14ac:dyDescent="0.25">
      <c r="A34" t="str">
        <f>'[1]NPP-666 Media'!B38</f>
        <v>201-107_PL10_T72_ds3_CC-004-767_037.lcd</v>
      </c>
      <c r="B34" t="str">
        <f>'[1]NPP-666 Media'!C38</f>
        <v>Unknown</v>
      </c>
      <c r="C34">
        <f>'[1]NPP-666 Media'!D38</f>
        <v>0</v>
      </c>
      <c r="D34" t="str">
        <f>'[1]NPP-666 Media'!E38</f>
        <v>T72_ds3</v>
      </c>
      <c r="E34">
        <f>'[1]NPP-666 Media'!F38</f>
        <v>2</v>
      </c>
      <c r="F34">
        <f>'[1]NPP-666 Media'!G38</f>
        <v>35</v>
      </c>
      <c r="G34">
        <f>'[1]NPP-666 Media'!H38</f>
        <v>2.141</v>
      </c>
      <c r="H34">
        <f>'[1]NPP-666 Media'!I38</f>
        <v>749257</v>
      </c>
      <c r="I34" t="str">
        <f>'[1]NPP-666 Media'!J38</f>
        <v>-----</v>
      </c>
      <c r="J34">
        <f>'[1]NPP-666 Media'!K38</f>
        <v>1346.3</v>
      </c>
      <c r="K34" t="str">
        <f>'[1]NPP-666 Media'!L38</f>
        <v>-----</v>
      </c>
      <c r="L34" t="str">
        <f>'[1]NPP-666 Media'!M38</f>
        <v>-----</v>
      </c>
      <c r="M34" t="str">
        <f>'[1]NPP-666 Media'!N38</f>
        <v>-----</v>
      </c>
      <c r="N34" t="str">
        <f>'[1]NPP-666 Media'!O38</f>
        <v>-----</v>
      </c>
      <c r="O34">
        <f>'[1]NPP-666 Media'!P38</f>
        <v>0</v>
      </c>
      <c r="P34">
        <f>'[1]NPP-666 Media'!Q38</f>
        <v>1123.49</v>
      </c>
      <c r="Q34">
        <f>'[1]NPP-666 Media'!R38</f>
        <v>108.04</v>
      </c>
      <c r="R34" t="str">
        <f>'[1]NPP-666 Media'!S38</f>
        <v>-----</v>
      </c>
      <c r="S34">
        <f>'[1]NPP-666 Media'!T38</f>
        <v>1</v>
      </c>
      <c r="T34">
        <f>'[1]NPP-666 Media'!U38</f>
        <v>193045</v>
      </c>
      <c r="U34">
        <f>'[1]NPP-666 Media'!V38</f>
        <v>163451</v>
      </c>
      <c r="V34" t="str">
        <f>'[1]NPP-666 Media'!W38</f>
        <v xml:space="preserve">   </v>
      </c>
      <c r="W34" s="77">
        <f>'[1]NPP-666 Media'!X38</f>
        <v>43327.08388888889</v>
      </c>
      <c r="X34">
        <v>666</v>
      </c>
      <c r="Y34" t="s">
        <v>43</v>
      </c>
      <c r="Z34" t="s">
        <v>27</v>
      </c>
      <c r="AA34">
        <v>72</v>
      </c>
    </row>
    <row r="35" spans="1:27" x14ac:dyDescent="0.25">
      <c r="A35" t="str">
        <f>'[1]NPP-666 Media'!B40</f>
        <v>201-107_PL10_T72_med1_CC-004-767_039.lcd</v>
      </c>
      <c r="B35" t="str">
        <f>'[1]NPP-666 Media'!C40</f>
        <v>Unknown</v>
      </c>
      <c r="C35">
        <f>'[1]NPP-666 Media'!D40</f>
        <v>0</v>
      </c>
      <c r="D35" t="str">
        <f>'[1]NPP-666 Media'!E40</f>
        <v>T72_med1</v>
      </c>
      <c r="E35">
        <f>'[1]NPP-666 Media'!F40</f>
        <v>2</v>
      </c>
      <c r="F35">
        <f>'[1]NPP-666 Media'!G40</f>
        <v>46</v>
      </c>
      <c r="G35">
        <f>'[1]NPP-666 Media'!H40</f>
        <v>2.141</v>
      </c>
      <c r="H35">
        <f>'[1]NPP-666 Media'!I40</f>
        <v>132839</v>
      </c>
      <c r="I35" t="str">
        <f>'[1]NPP-666 Media'!J40</f>
        <v>-----</v>
      </c>
      <c r="J35">
        <f>'[1]NPP-666 Media'!K40</f>
        <v>239.4</v>
      </c>
      <c r="K35" t="str">
        <f>'[1]NPP-666 Media'!L40</f>
        <v>-----</v>
      </c>
      <c r="L35" t="str">
        <f>'[1]NPP-666 Media'!M40</f>
        <v>-----</v>
      </c>
      <c r="M35" t="str">
        <f>'[1]NPP-666 Media'!N40</f>
        <v>-----</v>
      </c>
      <c r="N35" t="str">
        <f>'[1]NPP-666 Media'!O40</f>
        <v>-----</v>
      </c>
      <c r="O35">
        <f>'[1]NPP-666 Media'!P40</f>
        <v>0</v>
      </c>
      <c r="P35">
        <f>'[1]NPP-666 Media'!Q40</f>
        <v>700.03</v>
      </c>
      <c r="Q35">
        <f>'[1]NPP-666 Media'!R40</f>
        <v>116.38</v>
      </c>
      <c r="R35" t="str">
        <f>'[1]NPP-666 Media'!S40</f>
        <v>-----</v>
      </c>
      <c r="S35">
        <f>'[1]NPP-666 Media'!T40</f>
        <v>1</v>
      </c>
      <c r="T35">
        <f>'[1]NPP-666 Media'!U40</f>
        <v>32492</v>
      </c>
      <c r="U35">
        <f>'[1]NPP-666 Media'!V40</f>
        <v>28095</v>
      </c>
      <c r="V35" t="str">
        <f>'[1]NPP-666 Media'!W40</f>
        <v xml:space="preserve">   </v>
      </c>
      <c r="W35" s="77">
        <f>'[1]NPP-666 Media'!X40</f>
        <v>43327.090879629628</v>
      </c>
      <c r="X35">
        <v>666</v>
      </c>
      <c r="Y35" t="s">
        <v>43</v>
      </c>
      <c r="Z35" t="s">
        <v>27</v>
      </c>
      <c r="AA35">
        <v>72</v>
      </c>
    </row>
    <row r="36" spans="1:27" x14ac:dyDescent="0.25">
      <c r="A36" t="str">
        <f>'[1]NPP-666 Media'!B41</f>
        <v>201-107_PL10_T72_med2_CC-004-767_040.lcd</v>
      </c>
      <c r="B36" t="str">
        <f>'[1]NPP-666 Media'!C41</f>
        <v>Unknown</v>
      </c>
      <c r="C36">
        <f>'[1]NPP-666 Media'!D41</f>
        <v>0</v>
      </c>
      <c r="D36" t="str">
        <f>'[1]NPP-666 Media'!E41</f>
        <v>T72_med2</v>
      </c>
      <c r="E36">
        <f>'[1]NPP-666 Media'!F41</f>
        <v>2</v>
      </c>
      <c r="F36">
        <f>'[1]NPP-666 Media'!G41</f>
        <v>47</v>
      </c>
      <c r="G36">
        <f>'[1]NPP-666 Media'!H41</f>
        <v>2.141</v>
      </c>
      <c r="H36">
        <f>'[1]NPP-666 Media'!I41</f>
        <v>160514</v>
      </c>
      <c r="I36" t="str">
        <f>'[1]NPP-666 Media'!J41</f>
        <v>-----</v>
      </c>
      <c r="J36">
        <f>'[1]NPP-666 Media'!K41</f>
        <v>289.10000000000002</v>
      </c>
      <c r="K36" t="str">
        <f>'[1]NPP-666 Media'!L41</f>
        <v>-----</v>
      </c>
      <c r="L36" t="str">
        <f>'[1]NPP-666 Media'!M41</f>
        <v>-----</v>
      </c>
      <c r="M36" t="str">
        <f>'[1]NPP-666 Media'!N41</f>
        <v>-----</v>
      </c>
      <c r="N36" t="str">
        <f>'[1]NPP-666 Media'!O41</f>
        <v>-----</v>
      </c>
      <c r="O36">
        <f>'[1]NPP-666 Media'!P41</f>
        <v>0</v>
      </c>
      <c r="P36">
        <f>'[1]NPP-666 Media'!Q41</f>
        <v>753.8</v>
      </c>
      <c r="Q36">
        <f>'[1]NPP-666 Media'!R41</f>
        <v>106.36</v>
      </c>
      <c r="R36" t="str">
        <f>'[1]NPP-666 Media'!S41</f>
        <v>-----</v>
      </c>
      <c r="S36">
        <f>'[1]NPP-666 Media'!T41</f>
        <v>1</v>
      </c>
      <c r="T36">
        <f>'[1]NPP-666 Media'!U41</f>
        <v>40426</v>
      </c>
      <c r="U36">
        <f>'[1]NPP-666 Media'!V41</f>
        <v>34790</v>
      </c>
      <c r="V36" t="str">
        <f>'[1]NPP-666 Media'!W41</f>
        <v xml:space="preserve">   </v>
      </c>
      <c r="W36" s="77">
        <f>'[1]NPP-666 Media'!X41</f>
        <v>43327.094351851854</v>
      </c>
      <c r="X36">
        <v>666</v>
      </c>
      <c r="Y36" t="s">
        <v>43</v>
      </c>
      <c r="Z36" t="s">
        <v>27</v>
      </c>
      <c r="AA36">
        <v>72</v>
      </c>
    </row>
    <row r="37" spans="1:27" x14ac:dyDescent="0.25">
      <c r="A37" t="str">
        <f>'[1]NPP-666 Media'!B42</f>
        <v>201-107_PL10_T72_med3_CC-004-767_041.lcd</v>
      </c>
      <c r="B37" t="str">
        <f>'[1]NPP-666 Media'!C42</f>
        <v>Unknown</v>
      </c>
      <c r="C37">
        <f>'[1]NPP-666 Media'!D42</f>
        <v>0</v>
      </c>
      <c r="D37" t="str">
        <f>'[1]NPP-666 Media'!E42</f>
        <v>T72_med3</v>
      </c>
      <c r="E37">
        <f>'[1]NPP-666 Media'!F42</f>
        <v>2</v>
      </c>
      <c r="F37">
        <f>'[1]NPP-666 Media'!G42</f>
        <v>48</v>
      </c>
      <c r="G37">
        <f>'[1]NPP-666 Media'!H42</f>
        <v>2.141</v>
      </c>
      <c r="H37">
        <f>'[1]NPP-666 Media'!I42</f>
        <v>150147</v>
      </c>
      <c r="I37" t="str">
        <f>'[1]NPP-666 Media'!J42</f>
        <v>-----</v>
      </c>
      <c r="J37">
        <f>'[1]NPP-666 Media'!K42</f>
        <v>270.39999999999998</v>
      </c>
      <c r="K37" t="str">
        <f>'[1]NPP-666 Media'!L42</f>
        <v>-----</v>
      </c>
      <c r="L37" t="str">
        <f>'[1]NPP-666 Media'!M42</f>
        <v>-----</v>
      </c>
      <c r="M37" t="str">
        <f>'[1]NPP-666 Media'!N42</f>
        <v>-----</v>
      </c>
      <c r="N37" t="str">
        <f>'[1]NPP-666 Media'!O42</f>
        <v>-----</v>
      </c>
      <c r="O37">
        <f>'[1]NPP-666 Media'!P42</f>
        <v>0</v>
      </c>
      <c r="P37">
        <f>'[1]NPP-666 Media'!Q42</f>
        <v>816.13</v>
      </c>
      <c r="Q37">
        <f>'[1]NPP-666 Media'!R42</f>
        <v>113.13</v>
      </c>
      <c r="R37" t="str">
        <f>'[1]NPP-666 Media'!S42</f>
        <v>-----</v>
      </c>
      <c r="S37">
        <f>'[1]NPP-666 Media'!T42</f>
        <v>1</v>
      </c>
      <c r="T37">
        <f>'[1]NPP-666 Media'!U42</f>
        <v>37884</v>
      </c>
      <c r="U37">
        <f>'[1]NPP-666 Media'!V42</f>
        <v>32731</v>
      </c>
      <c r="V37" t="str">
        <f>'[1]NPP-666 Media'!W42</f>
        <v xml:space="preserve">   </v>
      </c>
      <c r="W37" s="77">
        <f>'[1]NPP-666 Media'!X42</f>
        <v>43327.097824074073</v>
      </c>
      <c r="X37">
        <v>666</v>
      </c>
      <c r="Y37" t="s">
        <v>43</v>
      </c>
      <c r="Z37" t="s">
        <v>27</v>
      </c>
      <c r="AA37">
        <v>72</v>
      </c>
    </row>
    <row r="38" spans="1:27" x14ac:dyDescent="0.25">
      <c r="A38" t="str">
        <f>'[1]NPP-666 Lysate'!B32</f>
        <v>201-107_PL11_T72_lys1_CC-004-770_031.lcd</v>
      </c>
      <c r="B38" t="str">
        <f>'[1]NPP-666 Lysate'!C32</f>
        <v>Unknown</v>
      </c>
      <c r="C38">
        <f>'[1]NPP-666 Lysate'!D32</f>
        <v>0</v>
      </c>
      <c r="D38" t="str">
        <f>'[1]NPP-666 Lysate'!E32</f>
        <v>T72_lys1</v>
      </c>
      <c r="E38">
        <f>'[1]NPP-666 Lysate'!F32</f>
        <v>2</v>
      </c>
      <c r="F38">
        <f>'[1]NPP-666 Lysate'!G32</f>
        <v>10</v>
      </c>
      <c r="G38">
        <f>'[1]NPP-666 Lysate'!H32</f>
        <v>2.2050000000000001</v>
      </c>
      <c r="H38">
        <f>'[1]NPP-666 Lysate'!I32</f>
        <v>2424580</v>
      </c>
      <c r="I38" t="str">
        <f>'[1]NPP-666 Lysate'!J32</f>
        <v>-----</v>
      </c>
      <c r="J38">
        <f>'[1]NPP-666 Lysate'!K32</f>
        <v>946</v>
      </c>
      <c r="K38" t="str">
        <f>'[1]NPP-666 Lysate'!L32</f>
        <v>-----</v>
      </c>
      <c r="L38" t="str">
        <f>'[1]NPP-666 Lysate'!M32</f>
        <v>-----</v>
      </c>
      <c r="M38" t="str">
        <f>'[1]NPP-666 Lysate'!N32</f>
        <v>-----</v>
      </c>
      <c r="N38" t="str">
        <f>'[1]NPP-666 Lysate'!O32</f>
        <v>-----</v>
      </c>
      <c r="O38">
        <f>'[1]NPP-666 Lysate'!P32</f>
        <v>0</v>
      </c>
      <c r="P38">
        <f>'[1]NPP-666 Lysate'!Q32</f>
        <v>1121.1400000000001</v>
      </c>
      <c r="Q38">
        <f>'[1]NPP-666 Lysate'!R32</f>
        <v>112.45</v>
      </c>
      <c r="R38" t="str">
        <f>'[1]NPP-666 Lysate'!S32</f>
        <v>-----</v>
      </c>
      <c r="S38">
        <f>'[1]NPP-666 Lysate'!T32</f>
        <v>1</v>
      </c>
      <c r="T38">
        <f>'[1]NPP-666 Lysate'!U32</f>
        <v>697596</v>
      </c>
      <c r="U38">
        <f>'[1]NPP-666 Lysate'!V32</f>
        <v>644500</v>
      </c>
      <c r="V38" t="str">
        <f>'[1]NPP-666 Lysate'!W32</f>
        <v xml:space="preserve">   </v>
      </c>
      <c r="W38" s="77">
        <f>'[1]NPP-666 Lysate'!X32</f>
        <v>43327.931423611109</v>
      </c>
      <c r="X38">
        <v>666</v>
      </c>
      <c r="Y38" t="s">
        <v>43</v>
      </c>
      <c r="Z38" t="s">
        <v>28</v>
      </c>
      <c r="AA38">
        <v>72</v>
      </c>
    </row>
    <row r="39" spans="1:27" x14ac:dyDescent="0.25">
      <c r="A39" t="str">
        <f>'[1]NPP-666 Lysate'!B33</f>
        <v>201-107_PL11_T72_lys2_CC-004-770_032.lcd</v>
      </c>
      <c r="B39" t="str">
        <f>'[1]NPP-666 Lysate'!C33</f>
        <v>Unknown</v>
      </c>
      <c r="C39">
        <f>'[1]NPP-666 Lysate'!D33</f>
        <v>0</v>
      </c>
      <c r="D39" t="str">
        <f>'[1]NPP-666 Lysate'!E33</f>
        <v>T72_lys2</v>
      </c>
      <c r="E39">
        <f>'[1]NPP-666 Lysate'!F33</f>
        <v>2</v>
      </c>
      <c r="F39">
        <f>'[1]NPP-666 Lysate'!G33</f>
        <v>11</v>
      </c>
      <c r="G39">
        <f>'[1]NPP-666 Lysate'!H33</f>
        <v>2.2050000000000001</v>
      </c>
      <c r="H39">
        <f>'[1]NPP-666 Lysate'!I33</f>
        <v>2209232</v>
      </c>
      <c r="I39" t="str">
        <f>'[1]NPP-666 Lysate'!J33</f>
        <v>-----</v>
      </c>
      <c r="J39">
        <f>'[1]NPP-666 Lysate'!K33</f>
        <v>862</v>
      </c>
      <c r="K39" t="str">
        <f>'[1]NPP-666 Lysate'!L33</f>
        <v>-----</v>
      </c>
      <c r="L39" t="str">
        <f>'[1]NPP-666 Lysate'!M33</f>
        <v>-----</v>
      </c>
      <c r="M39" t="str">
        <f>'[1]NPP-666 Lysate'!N33</f>
        <v>-----</v>
      </c>
      <c r="N39" t="str">
        <f>'[1]NPP-666 Lysate'!O33</f>
        <v>-----</v>
      </c>
      <c r="O39">
        <f>'[1]NPP-666 Lysate'!P33</f>
        <v>0</v>
      </c>
      <c r="P39">
        <f>'[1]NPP-666 Lysate'!Q33</f>
        <v>1039.4100000000001</v>
      </c>
      <c r="Q39">
        <f>'[1]NPP-666 Lysate'!R33</f>
        <v>111.78</v>
      </c>
      <c r="R39" t="str">
        <f>'[1]NPP-666 Lysate'!S33</f>
        <v>-----</v>
      </c>
      <c r="S39">
        <f>'[1]NPP-666 Lysate'!T33</f>
        <v>1</v>
      </c>
      <c r="T39">
        <f>'[1]NPP-666 Lysate'!U33</f>
        <v>636510</v>
      </c>
      <c r="U39">
        <f>'[1]NPP-666 Lysate'!V33</f>
        <v>587969</v>
      </c>
      <c r="V39" t="str">
        <f>'[1]NPP-666 Lysate'!W33</f>
        <v xml:space="preserve">   </v>
      </c>
      <c r="W39" s="77">
        <f>'[1]NPP-666 Lysate'!X33</f>
        <v>43327.934884259259</v>
      </c>
      <c r="X39">
        <v>666</v>
      </c>
      <c r="Y39" t="s">
        <v>43</v>
      </c>
      <c r="Z39" t="s">
        <v>28</v>
      </c>
      <c r="AA39">
        <v>72</v>
      </c>
    </row>
    <row r="40" spans="1:27" x14ac:dyDescent="0.25">
      <c r="A40" t="str">
        <f>'[1]NPP-666 Lysate'!B34</f>
        <v>201-107_PL11_T72_lys3_CC-004-770_033.lcd</v>
      </c>
      <c r="B40" t="str">
        <f>'[1]NPP-666 Lysate'!C34</f>
        <v>Unknown</v>
      </c>
      <c r="C40">
        <f>'[1]NPP-666 Lysate'!D34</f>
        <v>0</v>
      </c>
      <c r="D40" t="str">
        <f>'[1]NPP-666 Lysate'!E34</f>
        <v>T72_lys3</v>
      </c>
      <c r="E40">
        <f>'[1]NPP-666 Lysate'!F34</f>
        <v>2</v>
      </c>
      <c r="F40">
        <f>'[1]NPP-666 Lysate'!G34</f>
        <v>12</v>
      </c>
      <c r="G40">
        <f>'[1]NPP-666 Lysate'!H34</f>
        <v>2.206</v>
      </c>
      <c r="H40">
        <f>'[1]NPP-666 Lysate'!I34</f>
        <v>2245378</v>
      </c>
      <c r="I40" t="str">
        <f>'[1]NPP-666 Lysate'!J34</f>
        <v>-----</v>
      </c>
      <c r="J40">
        <f>'[1]NPP-666 Lysate'!K34</f>
        <v>876.1</v>
      </c>
      <c r="K40" t="str">
        <f>'[1]NPP-666 Lysate'!L34</f>
        <v>-----</v>
      </c>
      <c r="L40" t="str">
        <f>'[1]NPP-666 Lysate'!M34</f>
        <v>-----</v>
      </c>
      <c r="M40" t="str">
        <f>'[1]NPP-666 Lysate'!N34</f>
        <v>-----</v>
      </c>
      <c r="N40" t="str">
        <f>'[1]NPP-666 Lysate'!O34</f>
        <v>-----</v>
      </c>
      <c r="O40">
        <f>'[1]NPP-666 Lysate'!P34</f>
        <v>0</v>
      </c>
      <c r="P40">
        <f>'[1]NPP-666 Lysate'!Q34</f>
        <v>1093.94</v>
      </c>
      <c r="Q40">
        <f>'[1]NPP-666 Lysate'!R34</f>
        <v>111.84</v>
      </c>
      <c r="R40" t="str">
        <f>'[1]NPP-666 Lysate'!S34</f>
        <v>-----</v>
      </c>
      <c r="S40">
        <f>'[1]NPP-666 Lysate'!T34</f>
        <v>1</v>
      </c>
      <c r="T40">
        <f>'[1]NPP-666 Lysate'!U34</f>
        <v>647517</v>
      </c>
      <c r="U40">
        <f>'[1]NPP-666 Lysate'!V34</f>
        <v>598949</v>
      </c>
      <c r="V40" t="str">
        <f>'[1]NPP-666 Lysate'!W34</f>
        <v xml:space="preserve">   </v>
      </c>
      <c r="W40" s="77">
        <f>'[1]NPP-666 Lysate'!X34</f>
        <v>43327.938391203701</v>
      </c>
      <c r="X40">
        <v>666</v>
      </c>
      <c r="Y40" t="s">
        <v>43</v>
      </c>
      <c r="Z40" t="s">
        <v>28</v>
      </c>
      <c r="AA40">
        <v>72</v>
      </c>
    </row>
    <row r="41" spans="1:27" x14ac:dyDescent="0.25">
      <c r="A41" t="str">
        <f>'[1]PL 14 CDV Media'!B20</f>
        <v>201-107_PL14_CDV_666_T0_ds1_CC-004-778_043.lcd</v>
      </c>
      <c r="B41" t="str">
        <f>'[1]PL 14 CDV Media'!C20</f>
        <v>Unknown</v>
      </c>
      <c r="C41">
        <f>'[1]PL 14 CDV Media'!D20</f>
        <v>0</v>
      </c>
      <c r="D41" t="str">
        <f>'[1]PL 14 CDV Media'!E20</f>
        <v>666_T0_ds1</v>
      </c>
      <c r="E41">
        <f>'[1]PL 14 CDV Media'!F20</f>
        <v>1</v>
      </c>
      <c r="F41">
        <f>'[1]PL 14 CDV Media'!G20</f>
        <v>7</v>
      </c>
      <c r="G41" t="str">
        <f>'[1]PL 14 CDV Media'!H20</f>
        <v>-----</v>
      </c>
      <c r="H41">
        <f>'[1]PL 14 CDV Media'!I20</f>
        <v>390</v>
      </c>
      <c r="I41" t="str">
        <f>'[1]PL 14 CDV Media'!J20</f>
        <v>-----</v>
      </c>
      <c r="J41" t="str">
        <f>'[1]PL 14 CDV Media'!K20</f>
        <v>-----</v>
      </c>
      <c r="K41" t="str">
        <f>'[1]PL 14 CDV Media'!L20</f>
        <v>-----</v>
      </c>
      <c r="L41" t="str">
        <f>'[1]PL 14 CDV Media'!M20</f>
        <v>-----</v>
      </c>
      <c r="M41" t="str">
        <f>'[1]PL 14 CDV Media'!N20</f>
        <v>-----</v>
      </c>
      <c r="N41" t="str">
        <f>'[1]PL 14 CDV Media'!O20</f>
        <v>-----</v>
      </c>
      <c r="O41">
        <f>'[1]PL 14 CDV Media'!P20</f>
        <v>0</v>
      </c>
      <c r="P41" t="str">
        <f>'[1]PL 14 CDV Media'!Q20</f>
        <v>-----</v>
      </c>
      <c r="Q41">
        <f>'[1]PL 14 CDV Media'!R20</f>
        <v>13.82</v>
      </c>
      <c r="R41" t="str">
        <f>'[1]PL 14 CDV Media'!S20</f>
        <v>-----</v>
      </c>
      <c r="S41">
        <f>'[1]PL 14 CDV Media'!T20</f>
        <v>1</v>
      </c>
      <c r="T41">
        <f>'[1]PL 14 CDV Media'!U20</f>
        <v>118</v>
      </c>
      <c r="U41">
        <f>'[1]PL 14 CDV Media'!V20</f>
        <v>123</v>
      </c>
      <c r="V41" t="str">
        <f>'[1]PL 14 CDV Media'!W20</f>
        <v>-----</v>
      </c>
      <c r="W41" s="77">
        <f>'[1]PL 14 CDV Media'!X20</f>
        <v>43335.901238425926</v>
      </c>
      <c r="X41">
        <v>666</v>
      </c>
      <c r="Y41" t="s">
        <v>4</v>
      </c>
      <c r="Z41" t="s">
        <v>27</v>
      </c>
      <c r="AA41">
        <v>0</v>
      </c>
    </row>
    <row r="42" spans="1:27" x14ac:dyDescent="0.25">
      <c r="A42" t="str">
        <f>'[1]PL 14 CDV Media'!B21</f>
        <v>201-107_PL14_CDV_666_T0_ds2_CC-004-778_044.lcd</v>
      </c>
      <c r="B42" t="str">
        <f>'[1]PL 14 CDV Media'!C21</f>
        <v>Unknown</v>
      </c>
      <c r="C42">
        <f>'[1]PL 14 CDV Media'!D21</f>
        <v>0</v>
      </c>
      <c r="D42" t="str">
        <f>'[1]PL 14 CDV Media'!E21</f>
        <v>666_T0_ds2</v>
      </c>
      <c r="E42">
        <f>'[1]PL 14 CDV Media'!F21</f>
        <v>1</v>
      </c>
      <c r="F42">
        <f>'[1]PL 14 CDV Media'!G21</f>
        <v>8</v>
      </c>
      <c r="G42" t="str">
        <f>'[1]PL 14 CDV Media'!H21</f>
        <v>-----</v>
      </c>
      <c r="H42">
        <f>'[1]PL 14 CDV Media'!I21</f>
        <v>399</v>
      </c>
      <c r="I42" t="str">
        <f>'[1]PL 14 CDV Media'!J21</f>
        <v>-----</v>
      </c>
      <c r="J42" t="str">
        <f>'[1]PL 14 CDV Media'!K21</f>
        <v>-----</v>
      </c>
      <c r="K42" t="str">
        <f>'[1]PL 14 CDV Media'!L21</f>
        <v>-----</v>
      </c>
      <c r="L42" t="str">
        <f>'[1]PL 14 CDV Media'!M21</f>
        <v>-----</v>
      </c>
      <c r="M42" t="str">
        <f>'[1]PL 14 CDV Media'!N21</f>
        <v>-----</v>
      </c>
      <c r="N42" t="str">
        <f>'[1]PL 14 CDV Media'!O21</f>
        <v>-----</v>
      </c>
      <c r="O42">
        <f>'[1]PL 14 CDV Media'!P21</f>
        <v>0</v>
      </c>
      <c r="P42" t="str">
        <f>'[1]PL 14 CDV Media'!Q21</f>
        <v>-----</v>
      </c>
      <c r="Q42">
        <f>'[1]PL 14 CDV Media'!R21</f>
        <v>6.25</v>
      </c>
      <c r="R42" t="str">
        <f>'[1]PL 14 CDV Media'!S21</f>
        <v>-----</v>
      </c>
      <c r="S42">
        <f>'[1]PL 14 CDV Media'!T21</f>
        <v>1</v>
      </c>
      <c r="T42">
        <f>'[1]PL 14 CDV Media'!U21</f>
        <v>207</v>
      </c>
      <c r="U42">
        <f>'[1]PL 14 CDV Media'!V21</f>
        <v>224</v>
      </c>
      <c r="V42" t="str">
        <f>'[1]PL 14 CDV Media'!W21</f>
        <v>-----</v>
      </c>
      <c r="W42" s="77">
        <f>'[1]PL 14 CDV Media'!X21</f>
        <v>43335.903645833336</v>
      </c>
      <c r="X42">
        <v>666</v>
      </c>
      <c r="Y42" t="s">
        <v>4</v>
      </c>
      <c r="Z42" t="s">
        <v>27</v>
      </c>
      <c r="AA42">
        <v>0</v>
      </c>
    </row>
    <row r="43" spans="1:27" x14ac:dyDescent="0.25">
      <c r="A43" t="str">
        <f>'[1]PL 14 CDV Media'!B22</f>
        <v>201-107_PL14_CDV_666_T0_ds3_CC-004-778_045.lcd</v>
      </c>
      <c r="B43" t="str">
        <f>'[1]PL 14 CDV Media'!C22</f>
        <v>Unknown</v>
      </c>
      <c r="C43">
        <f>'[1]PL 14 CDV Media'!D22</f>
        <v>0</v>
      </c>
      <c r="D43" t="str">
        <f>'[1]PL 14 CDV Media'!E22</f>
        <v>666_T0_ds3</v>
      </c>
      <c r="E43">
        <f>'[1]PL 14 CDV Media'!F22</f>
        <v>1</v>
      </c>
      <c r="F43">
        <f>'[1]PL 14 CDV Media'!G22</f>
        <v>9</v>
      </c>
      <c r="G43" t="str">
        <f>'[1]PL 14 CDV Media'!H22</f>
        <v>-----</v>
      </c>
      <c r="H43">
        <f>'[1]PL 14 CDV Media'!I22</f>
        <v>324</v>
      </c>
      <c r="I43" t="str">
        <f>'[1]PL 14 CDV Media'!J22</f>
        <v>-----</v>
      </c>
      <c r="J43" t="str">
        <f>'[1]PL 14 CDV Media'!K22</f>
        <v>-----</v>
      </c>
      <c r="K43" t="str">
        <f>'[1]PL 14 CDV Media'!L22</f>
        <v>-----</v>
      </c>
      <c r="L43" t="str">
        <f>'[1]PL 14 CDV Media'!M22</f>
        <v>-----</v>
      </c>
      <c r="M43" t="str">
        <f>'[1]PL 14 CDV Media'!N22</f>
        <v>-----</v>
      </c>
      <c r="N43" t="str">
        <f>'[1]PL 14 CDV Media'!O22</f>
        <v>-----</v>
      </c>
      <c r="O43">
        <f>'[1]PL 14 CDV Media'!P22</f>
        <v>0</v>
      </c>
      <c r="P43" t="str">
        <f>'[1]PL 14 CDV Media'!Q22</f>
        <v>-----</v>
      </c>
      <c r="Q43">
        <f>'[1]PL 14 CDV Media'!R22</f>
        <v>0</v>
      </c>
      <c r="R43" t="str">
        <f>'[1]PL 14 CDV Media'!S22</f>
        <v>-----</v>
      </c>
      <c r="S43">
        <f>'[1]PL 14 CDV Media'!T22</f>
        <v>1</v>
      </c>
      <c r="T43">
        <f>'[1]PL 14 CDV Media'!U22</f>
        <v>140</v>
      </c>
      <c r="U43">
        <f>'[1]PL 14 CDV Media'!V22</f>
        <v>151</v>
      </c>
      <c r="V43" t="str">
        <f>'[1]PL 14 CDV Media'!W22</f>
        <v>-----</v>
      </c>
      <c r="W43" s="77">
        <f>'[1]PL 14 CDV Media'!X22</f>
        <v>43335.906099537038</v>
      </c>
      <c r="X43">
        <v>666</v>
      </c>
      <c r="Y43" t="s">
        <v>4</v>
      </c>
      <c r="Z43" t="s">
        <v>27</v>
      </c>
      <c r="AA43">
        <v>0</v>
      </c>
    </row>
    <row r="44" spans="1:27" x14ac:dyDescent="0.25">
      <c r="A44" t="str">
        <f>'[1]PL 14 CDV Media'!B23</f>
        <v>201-107_PL14_CDV_666_T72_ds1_CC-004-778_047.lcd</v>
      </c>
      <c r="B44" t="str">
        <f>'[1]PL 14 CDV Media'!C23</f>
        <v>Unknown</v>
      </c>
      <c r="C44">
        <f>'[1]PL 14 CDV Media'!D23</f>
        <v>0</v>
      </c>
      <c r="D44" t="str">
        <f>'[1]PL 14 CDV Media'!E23</f>
        <v>666_T72_ds1</v>
      </c>
      <c r="E44">
        <f>'[1]PL 14 CDV Media'!F23</f>
        <v>1</v>
      </c>
      <c r="F44">
        <f>'[1]PL 14 CDV Media'!G23</f>
        <v>19</v>
      </c>
      <c r="G44" t="str">
        <f>'[1]PL 14 CDV Media'!H23</f>
        <v>-----</v>
      </c>
      <c r="H44">
        <f>'[1]PL 14 CDV Media'!I23</f>
        <v>826</v>
      </c>
      <c r="I44" t="str">
        <f>'[1]PL 14 CDV Media'!J23</f>
        <v>-----</v>
      </c>
      <c r="J44" t="str">
        <f>'[1]PL 14 CDV Media'!K23</f>
        <v>-----</v>
      </c>
      <c r="K44" t="str">
        <f>'[1]PL 14 CDV Media'!L23</f>
        <v>-----</v>
      </c>
      <c r="L44" t="str">
        <f>'[1]PL 14 CDV Media'!M23</f>
        <v>-----</v>
      </c>
      <c r="M44" t="str">
        <f>'[1]PL 14 CDV Media'!N23</f>
        <v>-----</v>
      </c>
      <c r="N44" t="str">
        <f>'[1]PL 14 CDV Media'!O23</f>
        <v>-----</v>
      </c>
      <c r="O44">
        <f>'[1]PL 14 CDV Media'!P23</f>
        <v>0</v>
      </c>
      <c r="P44" t="str">
        <f>'[1]PL 14 CDV Media'!Q23</f>
        <v>-----</v>
      </c>
      <c r="Q44">
        <f>'[1]PL 14 CDV Media'!R23</f>
        <v>1.3</v>
      </c>
      <c r="R44" t="str">
        <f>'[1]PL 14 CDV Media'!S23</f>
        <v>-----</v>
      </c>
      <c r="S44">
        <f>'[1]PL 14 CDV Media'!T23</f>
        <v>1</v>
      </c>
      <c r="T44">
        <f>'[1]PL 14 CDV Media'!U23</f>
        <v>363</v>
      </c>
      <c r="U44">
        <f>'[1]PL 14 CDV Media'!V23</f>
        <v>384</v>
      </c>
      <c r="V44" t="str">
        <f>'[1]PL 14 CDV Media'!W23</f>
        <v>-----</v>
      </c>
      <c r="W44" s="77">
        <f>'[1]PL 14 CDV Media'!X23</f>
        <v>43335.910960648151</v>
      </c>
      <c r="X44">
        <v>666</v>
      </c>
      <c r="Y44" t="s">
        <v>4</v>
      </c>
      <c r="Z44" t="s">
        <v>27</v>
      </c>
      <c r="AA44">
        <v>72</v>
      </c>
    </row>
    <row r="45" spans="1:27" x14ac:dyDescent="0.25">
      <c r="A45" t="str">
        <f>'[1]PL 14 CDV Media'!B24</f>
        <v>201-107_PL14_CDV_666_T72_ds2_CC-004-778_048.lcd</v>
      </c>
      <c r="B45" t="str">
        <f>'[1]PL 14 CDV Media'!C24</f>
        <v>Unknown</v>
      </c>
      <c r="C45">
        <f>'[1]PL 14 CDV Media'!D24</f>
        <v>0</v>
      </c>
      <c r="D45" t="str">
        <f>'[1]PL 14 CDV Media'!E24</f>
        <v>666_T72_ds2</v>
      </c>
      <c r="E45">
        <f>'[1]PL 14 CDV Media'!F24</f>
        <v>1</v>
      </c>
      <c r="F45">
        <f>'[1]PL 14 CDV Media'!G24</f>
        <v>20</v>
      </c>
      <c r="G45" t="str">
        <f>'[1]PL 14 CDV Media'!H24</f>
        <v>-----</v>
      </c>
      <c r="H45">
        <f>'[1]PL 14 CDV Media'!I24</f>
        <v>493</v>
      </c>
      <c r="I45" t="str">
        <f>'[1]PL 14 CDV Media'!J24</f>
        <v>-----</v>
      </c>
      <c r="J45" t="str">
        <f>'[1]PL 14 CDV Media'!K24</f>
        <v>-----</v>
      </c>
      <c r="K45" t="str">
        <f>'[1]PL 14 CDV Media'!L24</f>
        <v>-----</v>
      </c>
      <c r="L45" t="str">
        <f>'[1]PL 14 CDV Media'!M24</f>
        <v>-----</v>
      </c>
      <c r="M45" t="str">
        <f>'[1]PL 14 CDV Media'!N24</f>
        <v>-----</v>
      </c>
      <c r="N45" t="str">
        <f>'[1]PL 14 CDV Media'!O24</f>
        <v>-----</v>
      </c>
      <c r="O45">
        <f>'[1]PL 14 CDV Media'!P24</f>
        <v>0</v>
      </c>
      <c r="P45" t="str">
        <f>'[1]PL 14 CDV Media'!Q24</f>
        <v>-----</v>
      </c>
      <c r="Q45">
        <f>'[1]PL 14 CDV Media'!R24</f>
        <v>0</v>
      </c>
      <c r="R45" t="str">
        <f>'[1]PL 14 CDV Media'!S24</f>
        <v>-----</v>
      </c>
      <c r="S45">
        <f>'[1]PL 14 CDV Media'!T24</f>
        <v>1</v>
      </c>
      <c r="T45">
        <f>'[1]PL 14 CDV Media'!U24</f>
        <v>258</v>
      </c>
      <c r="U45">
        <f>'[1]PL 14 CDV Media'!V24</f>
        <v>277</v>
      </c>
      <c r="V45" t="str">
        <f>'[1]PL 14 CDV Media'!W24</f>
        <v>-----</v>
      </c>
      <c r="W45" s="77">
        <f>'[1]PL 14 CDV Media'!X24</f>
        <v>43335.91337962963</v>
      </c>
      <c r="X45">
        <v>666</v>
      </c>
      <c r="Y45" t="s">
        <v>4</v>
      </c>
      <c r="Z45" t="s">
        <v>27</v>
      </c>
      <c r="AA45">
        <v>72</v>
      </c>
    </row>
    <row r="46" spans="1:27" x14ac:dyDescent="0.25">
      <c r="A46" t="str">
        <f>'[1]PL 14 CDV Media'!B25</f>
        <v>201-107_PL14_CDV_666_T72_ds3_CC-004-778_049.lcd</v>
      </c>
      <c r="B46" t="str">
        <f>'[1]PL 14 CDV Media'!C25</f>
        <v>Unknown</v>
      </c>
      <c r="C46">
        <f>'[1]PL 14 CDV Media'!D25</f>
        <v>0</v>
      </c>
      <c r="D46" t="str">
        <f>'[1]PL 14 CDV Media'!E25</f>
        <v>666_T72_ds3</v>
      </c>
      <c r="E46">
        <f>'[1]PL 14 CDV Media'!F25</f>
        <v>1</v>
      </c>
      <c r="F46">
        <f>'[1]PL 14 CDV Media'!G25</f>
        <v>21</v>
      </c>
      <c r="G46" t="str">
        <f>'[1]PL 14 CDV Media'!H25</f>
        <v>-----</v>
      </c>
      <c r="H46">
        <f>'[1]PL 14 CDV Media'!I25</f>
        <v>642</v>
      </c>
      <c r="I46" t="str">
        <f>'[1]PL 14 CDV Media'!J25</f>
        <v>-----</v>
      </c>
      <c r="J46" t="str">
        <f>'[1]PL 14 CDV Media'!K25</f>
        <v>-----</v>
      </c>
      <c r="K46" t="str">
        <f>'[1]PL 14 CDV Media'!L25</f>
        <v>-----</v>
      </c>
      <c r="L46" t="str">
        <f>'[1]PL 14 CDV Media'!M25</f>
        <v>-----</v>
      </c>
      <c r="M46" t="str">
        <f>'[1]PL 14 CDV Media'!N25</f>
        <v>-----</v>
      </c>
      <c r="N46" t="str">
        <f>'[1]PL 14 CDV Media'!O25</f>
        <v>-----</v>
      </c>
      <c r="O46">
        <f>'[1]PL 14 CDV Media'!P25</f>
        <v>0</v>
      </c>
      <c r="P46" t="str">
        <f>'[1]PL 14 CDV Media'!Q25</f>
        <v>-----</v>
      </c>
      <c r="Q46">
        <f>'[1]PL 14 CDV Media'!R25</f>
        <v>0</v>
      </c>
      <c r="R46" t="str">
        <f>'[1]PL 14 CDV Media'!S25</f>
        <v>-----</v>
      </c>
      <c r="S46">
        <f>'[1]PL 14 CDV Media'!T25</f>
        <v>1</v>
      </c>
      <c r="T46">
        <f>'[1]PL 14 CDV Media'!U25</f>
        <v>305</v>
      </c>
      <c r="U46">
        <f>'[1]PL 14 CDV Media'!V25</f>
        <v>332</v>
      </c>
      <c r="V46" t="str">
        <f>'[1]PL 14 CDV Media'!W25</f>
        <v>-----</v>
      </c>
      <c r="W46" s="77">
        <f>'[1]PL 14 CDV Media'!X25</f>
        <v>43335.915821759256</v>
      </c>
      <c r="X46">
        <v>666</v>
      </c>
      <c r="Y46" t="s">
        <v>4</v>
      </c>
      <c r="Z46" t="s">
        <v>27</v>
      </c>
      <c r="AA46">
        <v>72</v>
      </c>
    </row>
    <row r="47" spans="1:27" x14ac:dyDescent="0.25">
      <c r="A47" t="str">
        <f>'[1]PL 14 CDV Media'!B26</f>
        <v>201-107_PL14_CDV_666_T72_med1_CC-004-778_051.lcd</v>
      </c>
      <c r="B47" t="str">
        <f>'[1]PL 14 CDV Media'!C26</f>
        <v>Unknown</v>
      </c>
      <c r="C47">
        <f>'[1]PL 14 CDV Media'!D26</f>
        <v>0</v>
      </c>
      <c r="D47" t="str">
        <f>'[1]PL 14 CDV Media'!E26</f>
        <v>666_T72_med1</v>
      </c>
      <c r="E47">
        <f>'[1]PL 14 CDV Media'!F26</f>
        <v>1</v>
      </c>
      <c r="F47">
        <f>'[1]PL 14 CDV Media'!G26</f>
        <v>31</v>
      </c>
      <c r="G47" t="str">
        <f>'[1]PL 14 CDV Media'!H26</f>
        <v>-----</v>
      </c>
      <c r="H47">
        <f>'[1]PL 14 CDV Media'!I26</f>
        <v>1214</v>
      </c>
      <c r="I47" t="str">
        <f>'[1]PL 14 CDV Media'!J26</f>
        <v>-----</v>
      </c>
      <c r="J47" t="str">
        <f>'[1]PL 14 CDV Media'!K26</f>
        <v>-----</v>
      </c>
      <c r="K47" t="str">
        <f>'[1]PL 14 CDV Media'!L26</f>
        <v>-----</v>
      </c>
      <c r="L47" t="str">
        <f>'[1]PL 14 CDV Media'!M26</f>
        <v>-----</v>
      </c>
      <c r="M47" t="str">
        <f>'[1]PL 14 CDV Media'!N26</f>
        <v>-----</v>
      </c>
      <c r="N47" t="str">
        <f>'[1]PL 14 CDV Media'!O26</f>
        <v>-----</v>
      </c>
      <c r="O47">
        <f>'[1]PL 14 CDV Media'!P26</f>
        <v>0</v>
      </c>
      <c r="P47" t="str">
        <f>'[1]PL 14 CDV Media'!Q26</f>
        <v>-----</v>
      </c>
      <c r="Q47">
        <f>'[1]PL 14 CDV Media'!R26</f>
        <v>109.26</v>
      </c>
      <c r="R47" t="str">
        <f>'[1]PL 14 CDV Media'!S26</f>
        <v>-----</v>
      </c>
      <c r="S47">
        <f>'[1]PL 14 CDV Media'!T26</f>
        <v>1</v>
      </c>
      <c r="T47">
        <f>'[1]PL 14 CDV Media'!U26</f>
        <v>472</v>
      </c>
      <c r="U47">
        <f>'[1]PL 14 CDV Media'!V26</f>
        <v>486</v>
      </c>
      <c r="V47" t="str">
        <f>'[1]PL 14 CDV Media'!W26</f>
        <v>-----</v>
      </c>
      <c r="W47" s="77">
        <f>'[1]PL 14 CDV Media'!X26</f>
        <v>43335.920671296299</v>
      </c>
      <c r="X47">
        <v>666</v>
      </c>
      <c r="Y47" t="s">
        <v>4</v>
      </c>
      <c r="Z47" t="s">
        <v>27</v>
      </c>
      <c r="AA47">
        <v>72</v>
      </c>
    </row>
    <row r="48" spans="1:27" x14ac:dyDescent="0.25">
      <c r="A48" t="str">
        <f>'[1]PL 14 CDV Media'!B27</f>
        <v>201-107_PL14_CDV_666_T72_med2_CC-004-778_052.lcd</v>
      </c>
      <c r="B48" t="str">
        <f>'[1]PL 14 CDV Media'!C27</f>
        <v>Unknown</v>
      </c>
      <c r="C48">
        <f>'[1]PL 14 CDV Media'!D27</f>
        <v>0</v>
      </c>
      <c r="D48" t="str">
        <f>'[1]PL 14 CDV Media'!E27</f>
        <v>666_T72_med2</v>
      </c>
      <c r="E48">
        <f>'[1]PL 14 CDV Media'!F27</f>
        <v>1</v>
      </c>
      <c r="F48">
        <f>'[1]PL 14 CDV Media'!G27</f>
        <v>32</v>
      </c>
      <c r="G48" t="str">
        <f>'[1]PL 14 CDV Media'!H27</f>
        <v>-----</v>
      </c>
      <c r="H48">
        <f>'[1]PL 14 CDV Media'!I27</f>
        <v>1596</v>
      </c>
      <c r="I48" t="str">
        <f>'[1]PL 14 CDV Media'!J27</f>
        <v>-----</v>
      </c>
      <c r="J48" t="str">
        <f>'[1]PL 14 CDV Media'!K27</f>
        <v>-----</v>
      </c>
      <c r="K48" t="str">
        <f>'[1]PL 14 CDV Media'!L27</f>
        <v>-----</v>
      </c>
      <c r="L48" t="str">
        <f>'[1]PL 14 CDV Media'!M27</f>
        <v>-----</v>
      </c>
      <c r="M48" t="str">
        <f>'[1]PL 14 CDV Media'!N27</f>
        <v>-----</v>
      </c>
      <c r="N48" t="str">
        <f>'[1]PL 14 CDV Media'!O27</f>
        <v>-----</v>
      </c>
      <c r="O48">
        <f>'[1]PL 14 CDV Media'!P27</f>
        <v>0</v>
      </c>
      <c r="P48" t="str">
        <f>'[1]PL 14 CDV Media'!Q27</f>
        <v>-----</v>
      </c>
      <c r="Q48">
        <f>'[1]PL 14 CDV Media'!R27</f>
        <v>17.09</v>
      </c>
      <c r="R48" t="str">
        <f>'[1]PL 14 CDV Media'!S27</f>
        <v>-----</v>
      </c>
      <c r="S48">
        <f>'[1]PL 14 CDV Media'!T27</f>
        <v>1</v>
      </c>
      <c r="T48">
        <f>'[1]PL 14 CDV Media'!U27</f>
        <v>572</v>
      </c>
      <c r="U48">
        <f>'[1]PL 14 CDV Media'!V27</f>
        <v>597</v>
      </c>
      <c r="V48" t="str">
        <f>'[1]PL 14 CDV Media'!W27</f>
        <v>-----</v>
      </c>
      <c r="W48" s="77">
        <f>'[1]PL 14 CDV Media'!X27</f>
        <v>43335.923090277778</v>
      </c>
      <c r="X48">
        <v>666</v>
      </c>
      <c r="Y48" t="s">
        <v>4</v>
      </c>
      <c r="Z48" t="s">
        <v>27</v>
      </c>
      <c r="AA48">
        <v>72</v>
      </c>
    </row>
    <row r="49" spans="1:27" x14ac:dyDescent="0.25">
      <c r="A49" t="str">
        <f>'[1]PL 14 CDV Media'!B28</f>
        <v>201-107_PL14_CDV_666_T72_med3_CC-004-778_053.lcd</v>
      </c>
      <c r="B49" t="str">
        <f>'[1]PL 14 CDV Media'!C28</f>
        <v>Unknown</v>
      </c>
      <c r="C49">
        <f>'[1]PL 14 CDV Media'!D28</f>
        <v>0</v>
      </c>
      <c r="D49" t="str">
        <f>'[1]PL 14 CDV Media'!E28</f>
        <v>666_T72_med3</v>
      </c>
      <c r="E49">
        <f>'[1]PL 14 CDV Media'!F28</f>
        <v>1</v>
      </c>
      <c r="F49">
        <f>'[1]PL 14 CDV Media'!G28</f>
        <v>33</v>
      </c>
      <c r="G49">
        <f>'[1]PL 14 CDV Media'!H28</f>
        <v>1.252</v>
      </c>
      <c r="H49">
        <f>'[1]PL 14 CDV Media'!I28</f>
        <v>1333</v>
      </c>
      <c r="I49" t="str">
        <f>'[1]PL 14 CDV Media'!J28</f>
        <v>-----</v>
      </c>
      <c r="J49">
        <f>'[1]PL 14 CDV Media'!K28</f>
        <v>219.4</v>
      </c>
      <c r="K49" t="str">
        <f>'[1]PL 14 CDV Media'!L28</f>
        <v>-----</v>
      </c>
      <c r="L49" t="str">
        <f>'[1]PL 14 CDV Media'!M28</f>
        <v>-----</v>
      </c>
      <c r="M49" t="str">
        <f>'[1]PL 14 CDV Media'!N28</f>
        <v>-----</v>
      </c>
      <c r="N49" t="str">
        <f>'[1]PL 14 CDV Media'!O28</f>
        <v>-----</v>
      </c>
      <c r="O49" t="str">
        <f>'[1]PL 14 CDV Media'!P28</f>
        <v>Quant.Range(Low)</v>
      </c>
      <c r="P49">
        <f>'[1]PL 14 CDV Media'!Q28</f>
        <v>1.02</v>
      </c>
      <c r="Q49">
        <f>'[1]PL 14 CDV Media'!R28</f>
        <v>34.26</v>
      </c>
      <c r="R49" t="str">
        <f>'[1]PL 14 CDV Media'!S28</f>
        <v>-----</v>
      </c>
      <c r="S49">
        <f>'[1]PL 14 CDV Media'!T28</f>
        <v>1</v>
      </c>
      <c r="T49">
        <f>'[1]PL 14 CDV Media'!U28</f>
        <v>482</v>
      </c>
      <c r="U49">
        <f>'[1]PL 14 CDV Media'!V28</f>
        <v>502</v>
      </c>
      <c r="V49" t="str">
        <f>'[1]PL 14 CDV Media'!W28</f>
        <v xml:space="preserve">   </v>
      </c>
      <c r="W49" s="77">
        <f>'[1]PL 14 CDV Media'!X28</f>
        <v>43335.925543981481</v>
      </c>
      <c r="X49">
        <v>666</v>
      </c>
      <c r="Y49" t="s">
        <v>4</v>
      </c>
      <c r="Z49" t="s">
        <v>27</v>
      </c>
      <c r="AA49">
        <v>72</v>
      </c>
    </row>
    <row r="50" spans="1:27" x14ac:dyDescent="0.25">
      <c r="A50" t="str">
        <f>'[1]CDV Lysate'!B36</f>
        <v>201-107_PL12_CDV_Lysate_081718_666_T72_lys1_CC-004-773_035.lcd</v>
      </c>
      <c r="B50" t="str">
        <f>'[1]CDV Lysate'!C36</f>
        <v>Unknown</v>
      </c>
      <c r="C50">
        <f>'[1]CDV Lysate'!D36</f>
        <v>0</v>
      </c>
      <c r="D50" t="str">
        <f>'[1]CDV Lysate'!E36</f>
        <v>666_T72_lys1</v>
      </c>
      <c r="E50">
        <f>'[1]CDV Lysate'!F36</f>
        <v>1</v>
      </c>
      <c r="F50">
        <f>'[1]CDV Lysate'!G36</f>
        <v>16</v>
      </c>
      <c r="G50">
        <f>'[1]CDV Lysate'!H36</f>
        <v>1.262</v>
      </c>
      <c r="H50">
        <f>'[1]CDV Lysate'!I36</f>
        <v>158110</v>
      </c>
      <c r="I50" t="str">
        <f>'[1]CDV Lysate'!J36</f>
        <v>-----</v>
      </c>
      <c r="J50">
        <f>'[1]CDV Lysate'!K36</f>
        <v>1035.8</v>
      </c>
      <c r="K50" t="str">
        <f>'[1]CDV Lysate'!L36</f>
        <v>-----</v>
      </c>
      <c r="L50" t="str">
        <f>'[1]CDV Lysate'!M36</f>
        <v>-----</v>
      </c>
      <c r="M50" t="str">
        <f>'[1]CDV Lysate'!N36</f>
        <v>-----</v>
      </c>
      <c r="N50" t="str">
        <f>'[1]CDV Lysate'!O36</f>
        <v>-----</v>
      </c>
      <c r="O50">
        <f>'[1]CDV Lysate'!P36</f>
        <v>0</v>
      </c>
      <c r="P50">
        <f>'[1]CDV Lysate'!Q36</f>
        <v>15.55</v>
      </c>
      <c r="Q50">
        <f>'[1]CDV Lysate'!R36</f>
        <v>38.840000000000003</v>
      </c>
      <c r="R50" t="str">
        <f>'[1]CDV Lysate'!S36</f>
        <v>-----</v>
      </c>
      <c r="S50">
        <f>'[1]CDV Lysate'!T36</f>
        <v>1</v>
      </c>
      <c r="T50">
        <f>'[1]CDV Lysate'!U36</f>
        <v>77928</v>
      </c>
      <c r="U50">
        <f>'[1]CDV Lysate'!V36</f>
        <v>79392</v>
      </c>
      <c r="V50" t="str">
        <f>'[1]CDV Lysate'!W36</f>
        <v xml:space="preserve">   </v>
      </c>
      <c r="W50" s="77">
        <f>'[1]CDV Lysate'!X36</f>
        <v>43329.677766203706</v>
      </c>
      <c r="X50">
        <v>666</v>
      </c>
      <c r="Y50" t="s">
        <v>4</v>
      </c>
      <c r="Z50" t="s">
        <v>28</v>
      </c>
      <c r="AA50">
        <v>72</v>
      </c>
    </row>
    <row r="51" spans="1:27" x14ac:dyDescent="0.25">
      <c r="A51" t="str">
        <f>'[1]CDV Lysate'!B37</f>
        <v>201-107_PL12_CDV_Lysate_081718_666_T72_lys2_CC-004-773_036.lcd</v>
      </c>
      <c r="B51" t="str">
        <f>'[1]CDV Lysate'!C37</f>
        <v>Unknown</v>
      </c>
      <c r="C51">
        <f>'[1]CDV Lysate'!D37</f>
        <v>0</v>
      </c>
      <c r="D51" t="str">
        <f>'[1]CDV Lysate'!E37</f>
        <v>666_T72_lys2</v>
      </c>
      <c r="E51">
        <f>'[1]CDV Lysate'!F37</f>
        <v>1</v>
      </c>
      <c r="F51">
        <f>'[1]CDV Lysate'!G37</f>
        <v>17</v>
      </c>
      <c r="G51">
        <f>'[1]CDV Lysate'!H37</f>
        <v>1.2609999999999999</v>
      </c>
      <c r="H51">
        <f>'[1]CDV Lysate'!I37</f>
        <v>112575</v>
      </c>
      <c r="I51" t="str">
        <f>'[1]CDV Lysate'!J37</f>
        <v>-----</v>
      </c>
      <c r="J51">
        <f>'[1]CDV Lysate'!K37</f>
        <v>738.6</v>
      </c>
      <c r="K51" t="str">
        <f>'[1]CDV Lysate'!L37</f>
        <v>-----</v>
      </c>
      <c r="L51" t="str">
        <f>'[1]CDV Lysate'!M37</f>
        <v>-----</v>
      </c>
      <c r="M51" t="str">
        <f>'[1]CDV Lysate'!N37</f>
        <v>-----</v>
      </c>
      <c r="N51" t="str">
        <f>'[1]CDV Lysate'!O37</f>
        <v>-----</v>
      </c>
      <c r="O51">
        <f>'[1]CDV Lysate'!P37</f>
        <v>0</v>
      </c>
      <c r="P51">
        <f>'[1]CDV Lysate'!Q37</f>
        <v>15.94</v>
      </c>
      <c r="Q51">
        <f>'[1]CDV Lysate'!R37</f>
        <v>38.32</v>
      </c>
      <c r="R51" t="str">
        <f>'[1]CDV Lysate'!S37</f>
        <v>-----</v>
      </c>
      <c r="S51">
        <f>'[1]CDV Lysate'!T37</f>
        <v>1</v>
      </c>
      <c r="T51">
        <f>'[1]CDV Lysate'!U37</f>
        <v>61054</v>
      </c>
      <c r="U51">
        <f>'[1]CDV Lysate'!V37</f>
        <v>63462</v>
      </c>
      <c r="V51" t="str">
        <f>'[1]CDV Lysate'!W37</f>
        <v xml:space="preserve">   </v>
      </c>
      <c r="W51" s="77">
        <f>'[1]CDV Lysate'!X37</f>
        <v>43329.680196759262</v>
      </c>
      <c r="X51">
        <v>666</v>
      </c>
      <c r="Y51" t="s">
        <v>4</v>
      </c>
      <c r="Z51" t="s">
        <v>28</v>
      </c>
      <c r="AA51">
        <v>72</v>
      </c>
    </row>
    <row r="52" spans="1:27" x14ac:dyDescent="0.25">
      <c r="A52" t="str">
        <f>'[1]CDV Lysate'!B38</f>
        <v>201-107_PL12_CDV_Lysate_081718_666_T72_lys3_CC-004-773_037.lcd</v>
      </c>
      <c r="B52" t="str">
        <f>'[1]CDV Lysate'!C38</f>
        <v>Unknown</v>
      </c>
      <c r="C52">
        <f>'[1]CDV Lysate'!D38</f>
        <v>0</v>
      </c>
      <c r="D52" t="str">
        <f>'[1]CDV Lysate'!E38</f>
        <v>666_T72_lys3</v>
      </c>
      <c r="E52">
        <f>'[1]CDV Lysate'!F38</f>
        <v>1</v>
      </c>
      <c r="F52">
        <f>'[1]CDV Lysate'!G38</f>
        <v>18</v>
      </c>
      <c r="G52">
        <f>'[1]CDV Lysate'!H38</f>
        <v>1.2609999999999999</v>
      </c>
      <c r="H52">
        <f>'[1]CDV Lysate'!I38</f>
        <v>128320</v>
      </c>
      <c r="I52" t="str">
        <f>'[1]CDV Lysate'!J38</f>
        <v>-----</v>
      </c>
      <c r="J52">
        <f>'[1]CDV Lysate'!K38</f>
        <v>841.4</v>
      </c>
      <c r="K52" t="str">
        <f>'[1]CDV Lysate'!L38</f>
        <v>-----</v>
      </c>
      <c r="L52" t="str">
        <f>'[1]CDV Lysate'!M38</f>
        <v>-----</v>
      </c>
      <c r="M52" t="str">
        <f>'[1]CDV Lysate'!N38</f>
        <v>-----</v>
      </c>
      <c r="N52" t="str">
        <f>'[1]CDV Lysate'!O38</f>
        <v>-----</v>
      </c>
      <c r="O52">
        <f>'[1]CDV Lysate'!P38</f>
        <v>0</v>
      </c>
      <c r="P52">
        <f>'[1]CDV Lysate'!Q38</f>
        <v>19.11</v>
      </c>
      <c r="Q52">
        <f>'[1]CDV Lysate'!R38</f>
        <v>40.58</v>
      </c>
      <c r="R52" t="str">
        <f>'[1]CDV Lysate'!S38</f>
        <v>-----</v>
      </c>
      <c r="S52">
        <f>'[1]CDV Lysate'!T38</f>
        <v>1</v>
      </c>
      <c r="T52">
        <f>'[1]CDV Lysate'!U38</f>
        <v>65396</v>
      </c>
      <c r="U52">
        <f>'[1]CDV Lysate'!V38</f>
        <v>67569</v>
      </c>
      <c r="V52" t="str">
        <f>'[1]CDV Lysate'!W38</f>
        <v xml:space="preserve">   </v>
      </c>
      <c r="W52" s="77">
        <f>'[1]CDV Lysate'!X38</f>
        <v>43329.682638888888</v>
      </c>
      <c r="X52">
        <v>666</v>
      </c>
      <c r="Y52" t="s">
        <v>4</v>
      </c>
      <c r="Z52" t="s">
        <v>28</v>
      </c>
      <c r="AA52">
        <v>72</v>
      </c>
    </row>
    <row r="53" spans="1:27" x14ac:dyDescent="0.25">
      <c r="A53" t="str">
        <f>'[1]PL13 CDVPP Lysate'!B36</f>
        <v>201-107_PL13_CDVPP_Lysate_666_T72_lys1_CC-004-773_035.lcd</v>
      </c>
      <c r="B53" t="str">
        <f>'[1]PL13 CDVPP Lysate'!C36</f>
        <v>Unknown</v>
      </c>
      <c r="C53">
        <f>'[1]PL13 CDVPP Lysate'!D36</f>
        <v>0</v>
      </c>
      <c r="D53" t="str">
        <f>'[1]PL13 CDVPP Lysate'!E36</f>
        <v>666_T72_lys1</v>
      </c>
      <c r="E53">
        <f>'[1]PL13 CDVPP Lysate'!F36</f>
        <v>2</v>
      </c>
      <c r="F53">
        <f>'[1]PL13 CDVPP Lysate'!G36</f>
        <v>16</v>
      </c>
      <c r="G53">
        <f>'[1]PL13 CDVPP Lysate'!H36</f>
        <v>2.274</v>
      </c>
      <c r="H53">
        <f>'[1]PL13 CDVPP Lysate'!I36</f>
        <v>1174291</v>
      </c>
      <c r="I53" t="str">
        <f>'[1]PL13 CDVPP Lysate'!J36</f>
        <v>-----</v>
      </c>
      <c r="J53">
        <f>'[1]PL13 CDVPP Lysate'!K36</f>
        <v>1373.4</v>
      </c>
      <c r="K53" t="str">
        <f>'[1]PL13 CDVPP Lysate'!L36</f>
        <v>-----</v>
      </c>
      <c r="L53" t="str">
        <f>'[1]PL13 CDVPP Lysate'!M36</f>
        <v>-----</v>
      </c>
      <c r="M53" t="str">
        <f>'[1]PL13 CDVPP Lysate'!N36</f>
        <v>-----</v>
      </c>
      <c r="N53" t="str">
        <f>'[1]PL13 CDVPP Lysate'!O36</f>
        <v>-----</v>
      </c>
      <c r="O53">
        <f>'[1]PL13 CDVPP Lysate'!P36</f>
        <v>0</v>
      </c>
      <c r="P53">
        <f>'[1]PL13 CDVPP Lysate'!Q36</f>
        <v>1185.1500000000001</v>
      </c>
      <c r="Q53">
        <f>'[1]PL13 CDVPP Lysate'!R36</f>
        <v>25.47</v>
      </c>
      <c r="R53" t="str">
        <f>'[1]PL13 CDVPP Lysate'!S36</f>
        <v>-----</v>
      </c>
      <c r="S53">
        <f>'[1]PL13 CDVPP Lysate'!T36</f>
        <v>1</v>
      </c>
      <c r="T53">
        <f>'[1]PL13 CDVPP Lysate'!U36</f>
        <v>631097</v>
      </c>
      <c r="U53">
        <f>'[1]PL13 CDVPP Lysate'!V36</f>
        <v>616462</v>
      </c>
      <c r="V53" t="str">
        <f>'[1]PL13 CDVPP Lysate'!W36</f>
        <v xml:space="preserve">   </v>
      </c>
      <c r="W53" s="77">
        <f>'[1]PL13 CDVPP Lysate'!X36</f>
        <v>43333.74732638889</v>
      </c>
      <c r="X53">
        <v>666</v>
      </c>
      <c r="Y53" t="s">
        <v>96</v>
      </c>
      <c r="Z53" t="s">
        <v>28</v>
      </c>
      <c r="AA53">
        <v>72</v>
      </c>
    </row>
    <row r="54" spans="1:27" x14ac:dyDescent="0.25">
      <c r="A54" t="str">
        <f>'[1]PL13 CDVPP Lysate'!B37</f>
        <v>201-107_PL13_CDVPP_Lysate_666_T72_lys2_CC-004-773_036.lcd</v>
      </c>
      <c r="B54" t="str">
        <f>'[1]PL13 CDVPP Lysate'!C37</f>
        <v>Unknown</v>
      </c>
      <c r="C54">
        <f>'[1]PL13 CDVPP Lysate'!D37</f>
        <v>0</v>
      </c>
      <c r="D54" t="str">
        <f>'[1]PL13 CDVPP Lysate'!E37</f>
        <v>666_T72_lys2</v>
      </c>
      <c r="E54">
        <f>'[1]PL13 CDVPP Lysate'!F37</f>
        <v>2</v>
      </c>
      <c r="F54">
        <f>'[1]PL13 CDVPP Lysate'!G37</f>
        <v>17</v>
      </c>
      <c r="G54">
        <f>'[1]PL13 CDVPP Lysate'!H37</f>
        <v>2.2759999999999998</v>
      </c>
      <c r="H54">
        <f>'[1]PL13 CDVPP Lysate'!I37</f>
        <v>1190612</v>
      </c>
      <c r="I54" t="str">
        <f>'[1]PL13 CDVPP Lysate'!J37</f>
        <v>-----</v>
      </c>
      <c r="J54">
        <f>'[1]PL13 CDVPP Lysate'!K37</f>
        <v>1392.5</v>
      </c>
      <c r="K54" t="str">
        <f>'[1]PL13 CDVPP Lysate'!L37</f>
        <v>-----</v>
      </c>
      <c r="L54" t="str">
        <f>'[1]PL13 CDVPP Lysate'!M37</f>
        <v>-----</v>
      </c>
      <c r="M54" t="str">
        <f>'[1]PL13 CDVPP Lysate'!N37</f>
        <v>-----</v>
      </c>
      <c r="N54" t="str">
        <f>'[1]PL13 CDVPP Lysate'!O37</f>
        <v>-----</v>
      </c>
      <c r="O54">
        <f>'[1]PL13 CDVPP Lysate'!P37</f>
        <v>0</v>
      </c>
      <c r="P54">
        <f>'[1]PL13 CDVPP Lysate'!Q37</f>
        <v>1380.31</v>
      </c>
      <c r="Q54">
        <f>'[1]PL13 CDVPP Lysate'!R37</f>
        <v>26.55</v>
      </c>
      <c r="R54" t="str">
        <f>'[1]PL13 CDVPP Lysate'!S37</f>
        <v>-----</v>
      </c>
      <c r="S54">
        <f>'[1]PL13 CDVPP Lysate'!T37</f>
        <v>1</v>
      </c>
      <c r="T54">
        <f>'[1]PL13 CDVPP Lysate'!U37</f>
        <v>647616</v>
      </c>
      <c r="U54">
        <f>'[1]PL13 CDVPP Lysate'!V37</f>
        <v>594244</v>
      </c>
      <c r="V54" t="str">
        <f>'[1]PL13 CDVPP Lysate'!W37</f>
        <v xml:space="preserve">   </v>
      </c>
      <c r="W54" s="77">
        <f>'[1]PL13 CDVPP Lysate'!X37</f>
        <v>43333.750914351855</v>
      </c>
      <c r="X54">
        <v>666</v>
      </c>
      <c r="Y54" t="s">
        <v>96</v>
      </c>
      <c r="Z54" t="s">
        <v>28</v>
      </c>
      <c r="AA54">
        <v>72</v>
      </c>
    </row>
    <row r="55" spans="1:27" x14ac:dyDescent="0.25">
      <c r="A55" t="str">
        <f>'[1]PL13 CDVPP Lysate'!B38</f>
        <v>201-107_PL13_CDVPP_Lysate_666_T72_lys3_CC-004-773_037.lcd</v>
      </c>
      <c r="B55" t="str">
        <f>'[1]PL13 CDVPP Lysate'!C38</f>
        <v>Unknown</v>
      </c>
      <c r="C55">
        <f>'[1]PL13 CDVPP Lysate'!D38</f>
        <v>0</v>
      </c>
      <c r="D55" t="str">
        <f>'[1]PL13 CDVPP Lysate'!E38</f>
        <v>666_T72_lys3</v>
      </c>
      <c r="E55">
        <f>'[1]PL13 CDVPP Lysate'!F38</f>
        <v>2</v>
      </c>
      <c r="F55">
        <f>'[1]PL13 CDVPP Lysate'!G38</f>
        <v>18</v>
      </c>
      <c r="G55">
        <f>'[1]PL13 CDVPP Lysate'!H38</f>
        <v>2.2759999999999998</v>
      </c>
      <c r="H55">
        <f>'[1]PL13 CDVPP Lysate'!I38</f>
        <v>1154512</v>
      </c>
      <c r="I55" t="str">
        <f>'[1]PL13 CDVPP Lysate'!J38</f>
        <v>-----</v>
      </c>
      <c r="J55">
        <f>'[1]PL13 CDVPP Lysate'!K38</f>
        <v>1350.3</v>
      </c>
      <c r="K55" t="str">
        <f>'[1]PL13 CDVPP Lysate'!L38</f>
        <v>-----</v>
      </c>
      <c r="L55" t="str">
        <f>'[1]PL13 CDVPP Lysate'!M38</f>
        <v>-----</v>
      </c>
      <c r="M55" t="str">
        <f>'[1]PL13 CDVPP Lysate'!N38</f>
        <v>-----</v>
      </c>
      <c r="N55" t="str">
        <f>'[1]PL13 CDVPP Lysate'!O38</f>
        <v>-----</v>
      </c>
      <c r="O55">
        <f>'[1]PL13 CDVPP Lysate'!P38</f>
        <v>0</v>
      </c>
      <c r="P55">
        <f>'[1]PL13 CDVPP Lysate'!Q38</f>
        <v>1219.71</v>
      </c>
      <c r="Q55">
        <f>'[1]PL13 CDVPP Lysate'!R38</f>
        <v>27</v>
      </c>
      <c r="R55" t="str">
        <f>'[1]PL13 CDVPP Lysate'!S38</f>
        <v>-----</v>
      </c>
      <c r="S55">
        <f>'[1]PL13 CDVPP Lysate'!T38</f>
        <v>1</v>
      </c>
      <c r="T55">
        <f>'[1]PL13 CDVPP Lysate'!U38</f>
        <v>621709</v>
      </c>
      <c r="U55">
        <f>'[1]PL13 CDVPP Lysate'!V38</f>
        <v>611728</v>
      </c>
      <c r="V55" t="str">
        <f>'[1]PL13 CDVPP Lysate'!W38</f>
        <v xml:space="preserve">   </v>
      </c>
      <c r="W55" s="77">
        <f>'[1]PL13 CDVPP Lysate'!X38</f>
        <v>43333.754525462966</v>
      </c>
      <c r="X55">
        <v>666</v>
      </c>
      <c r="Y55" t="s">
        <v>96</v>
      </c>
      <c r="Z55" t="s">
        <v>28</v>
      </c>
      <c r="AA55">
        <v>72</v>
      </c>
    </row>
    <row r="56" spans="1:27" x14ac:dyDescent="0.25">
      <c r="A56" t="str">
        <f>'[1]NPP-669 Media'!B32</f>
        <v>201-107_PL10_T0_ds1_CC-004-768_031.lcd</v>
      </c>
      <c r="B56" t="str">
        <f>'[1]NPP-669 Media'!C32</f>
        <v>Unknown</v>
      </c>
      <c r="C56">
        <f>'[1]NPP-669 Media'!D32</f>
        <v>0</v>
      </c>
      <c r="D56" t="str">
        <f>'[1]NPP-669 Media'!E32</f>
        <v>T0_ds1</v>
      </c>
      <c r="E56">
        <f>'[1]NPP-669 Media'!F32</f>
        <v>2</v>
      </c>
      <c r="F56">
        <f>'[1]NPP-669 Media'!G32</f>
        <v>4</v>
      </c>
      <c r="G56">
        <f>'[1]NPP-669 Media'!H32</f>
        <v>2.2400000000000002</v>
      </c>
      <c r="H56">
        <f>'[1]NPP-669 Media'!I32</f>
        <v>623243</v>
      </c>
      <c r="I56" t="str">
        <f>'[1]NPP-669 Media'!J32</f>
        <v>-----</v>
      </c>
      <c r="J56">
        <f>'[1]NPP-669 Media'!K32</f>
        <v>963.4</v>
      </c>
      <c r="K56" t="str">
        <f>'[1]NPP-669 Media'!L32</f>
        <v>-----</v>
      </c>
      <c r="L56" t="str">
        <f>'[1]NPP-669 Media'!M32</f>
        <v>-----</v>
      </c>
      <c r="M56" t="str">
        <f>'[1]NPP-669 Media'!N32</f>
        <v>-----</v>
      </c>
      <c r="N56" t="str">
        <f>'[1]NPP-669 Media'!O32</f>
        <v>-----</v>
      </c>
      <c r="O56">
        <f>'[1]NPP-669 Media'!P32</f>
        <v>0</v>
      </c>
      <c r="P56">
        <f>'[1]NPP-669 Media'!Q32</f>
        <v>1145.47</v>
      </c>
      <c r="Q56">
        <f>'[1]NPP-669 Media'!R32</f>
        <v>94.47</v>
      </c>
      <c r="R56" t="str">
        <f>'[1]NPP-669 Media'!S32</f>
        <v>-----</v>
      </c>
      <c r="S56">
        <f>'[1]NPP-669 Media'!T32</f>
        <v>1</v>
      </c>
      <c r="T56">
        <f>'[1]NPP-669 Media'!U32</f>
        <v>154156</v>
      </c>
      <c r="U56">
        <f>'[1]NPP-669 Media'!V32</f>
        <v>143281</v>
      </c>
      <c r="V56" t="str">
        <f>'[1]NPP-669 Media'!W32</f>
        <v xml:space="preserve">   </v>
      </c>
      <c r="W56" s="77">
        <f>'[1]NPP-669 Media'!X32</f>
        <v>43327.271168981482</v>
      </c>
      <c r="X56">
        <v>669</v>
      </c>
      <c r="Y56" t="s">
        <v>43</v>
      </c>
      <c r="Z56" t="s">
        <v>27</v>
      </c>
      <c r="AA56">
        <v>0</v>
      </c>
    </row>
    <row r="57" spans="1:27" x14ac:dyDescent="0.25">
      <c r="A57" t="str">
        <f>'[1]NPP-669 Media'!B33</f>
        <v>201-107_PL10_T0_ds2_CC-004-768_032.lcd</v>
      </c>
      <c r="B57" t="str">
        <f>'[1]NPP-669 Media'!C33</f>
        <v>Unknown</v>
      </c>
      <c r="C57">
        <f>'[1]NPP-669 Media'!D33</f>
        <v>0</v>
      </c>
      <c r="D57" t="str">
        <f>'[1]NPP-669 Media'!E33</f>
        <v>T0_ds2</v>
      </c>
      <c r="E57">
        <f>'[1]NPP-669 Media'!F33</f>
        <v>2</v>
      </c>
      <c r="F57">
        <f>'[1]NPP-669 Media'!G33</f>
        <v>16</v>
      </c>
      <c r="G57">
        <f>'[1]NPP-669 Media'!H33</f>
        <v>2.2389999999999999</v>
      </c>
      <c r="H57">
        <f>'[1]NPP-669 Media'!I33</f>
        <v>634129</v>
      </c>
      <c r="I57" t="str">
        <f>'[1]NPP-669 Media'!J33</f>
        <v>-----</v>
      </c>
      <c r="J57">
        <f>'[1]NPP-669 Media'!K33</f>
        <v>980.2</v>
      </c>
      <c r="K57" t="str">
        <f>'[1]NPP-669 Media'!L33</f>
        <v>-----</v>
      </c>
      <c r="L57" t="str">
        <f>'[1]NPP-669 Media'!M33</f>
        <v>-----</v>
      </c>
      <c r="M57" t="str">
        <f>'[1]NPP-669 Media'!N33</f>
        <v>-----</v>
      </c>
      <c r="N57" t="str">
        <f>'[1]NPP-669 Media'!O33</f>
        <v>-----</v>
      </c>
      <c r="O57">
        <f>'[1]NPP-669 Media'!P33</f>
        <v>0</v>
      </c>
      <c r="P57">
        <f>'[1]NPP-669 Media'!Q33</f>
        <v>904.56</v>
      </c>
      <c r="Q57">
        <f>'[1]NPP-669 Media'!R33</f>
        <v>97.7</v>
      </c>
      <c r="R57" t="str">
        <f>'[1]NPP-669 Media'!S33</f>
        <v>-----</v>
      </c>
      <c r="S57">
        <f>'[1]NPP-669 Media'!T33</f>
        <v>1</v>
      </c>
      <c r="T57">
        <f>'[1]NPP-669 Media'!U33</f>
        <v>159380</v>
      </c>
      <c r="U57">
        <f>'[1]NPP-669 Media'!V33</f>
        <v>147802</v>
      </c>
      <c r="V57" t="str">
        <f>'[1]NPP-669 Media'!W33</f>
        <v xml:space="preserve">   </v>
      </c>
      <c r="W57" s="77">
        <f>'[1]NPP-669 Media'!X33</f>
        <v>43327.274652777778</v>
      </c>
      <c r="X57">
        <v>669</v>
      </c>
      <c r="Y57" t="s">
        <v>43</v>
      </c>
      <c r="Z57" t="s">
        <v>27</v>
      </c>
      <c r="AA57">
        <v>0</v>
      </c>
    </row>
    <row r="58" spans="1:27" x14ac:dyDescent="0.25">
      <c r="A58" t="str">
        <f>'[1]NPP-669 Media'!B34</f>
        <v>201-107_PL10_T0_ds3_CC-004-768_033.lcd</v>
      </c>
      <c r="B58" t="str">
        <f>'[1]NPP-669 Media'!C34</f>
        <v>Unknown</v>
      </c>
      <c r="C58">
        <f>'[1]NPP-669 Media'!D34</f>
        <v>0</v>
      </c>
      <c r="D58" t="str">
        <f>'[1]NPP-669 Media'!E34</f>
        <v>T0_ds3</v>
      </c>
      <c r="E58">
        <f>'[1]NPP-669 Media'!F34</f>
        <v>2</v>
      </c>
      <c r="F58">
        <f>'[1]NPP-669 Media'!G34</f>
        <v>28</v>
      </c>
      <c r="G58">
        <f>'[1]NPP-669 Media'!H34</f>
        <v>2.2389999999999999</v>
      </c>
      <c r="H58">
        <f>'[1]NPP-669 Media'!I34</f>
        <v>663639</v>
      </c>
      <c r="I58" t="str">
        <f>'[1]NPP-669 Media'!J34</f>
        <v>-----</v>
      </c>
      <c r="J58">
        <f>'[1]NPP-669 Media'!K34</f>
        <v>1025.8</v>
      </c>
      <c r="K58" t="str">
        <f>'[1]NPP-669 Media'!L34</f>
        <v>-----</v>
      </c>
      <c r="L58" t="str">
        <f>'[1]NPP-669 Media'!M34</f>
        <v>-----</v>
      </c>
      <c r="M58" t="str">
        <f>'[1]NPP-669 Media'!N34</f>
        <v>-----</v>
      </c>
      <c r="N58" t="str">
        <f>'[1]NPP-669 Media'!O34</f>
        <v>-----</v>
      </c>
      <c r="O58">
        <f>'[1]NPP-669 Media'!P34</f>
        <v>0</v>
      </c>
      <c r="P58">
        <f>'[1]NPP-669 Media'!Q34</f>
        <v>1030.02</v>
      </c>
      <c r="Q58">
        <f>'[1]NPP-669 Media'!R34</f>
        <v>97.41</v>
      </c>
      <c r="R58" t="str">
        <f>'[1]NPP-669 Media'!S34</f>
        <v>-----</v>
      </c>
      <c r="S58">
        <f>'[1]NPP-669 Media'!T34</f>
        <v>1</v>
      </c>
      <c r="T58">
        <f>'[1]NPP-669 Media'!U34</f>
        <v>165731</v>
      </c>
      <c r="U58">
        <f>'[1]NPP-669 Media'!V34</f>
        <v>153660</v>
      </c>
      <c r="V58" t="str">
        <f>'[1]NPP-669 Media'!W34</f>
        <v xml:space="preserve">   </v>
      </c>
      <c r="W58" s="77">
        <f>'[1]NPP-669 Media'!X34</f>
        <v>43327.278148148151</v>
      </c>
      <c r="X58">
        <v>669</v>
      </c>
      <c r="Y58" t="s">
        <v>43</v>
      </c>
      <c r="Z58" t="s">
        <v>27</v>
      </c>
      <c r="AA58">
        <v>0</v>
      </c>
    </row>
    <row r="59" spans="1:27" x14ac:dyDescent="0.25">
      <c r="A59" t="str">
        <f>'[1]NPP-669 Media'!B36</f>
        <v>201-107_PL10_T72_ds1_CC-004-768_035.lcd</v>
      </c>
      <c r="B59" t="str">
        <f>'[1]NPP-669 Media'!C36</f>
        <v>Unknown</v>
      </c>
      <c r="C59">
        <f>'[1]NPP-669 Media'!D36</f>
        <v>0</v>
      </c>
      <c r="D59" t="str">
        <f>'[1]NPP-669 Media'!E36</f>
        <v>T72_ds1</v>
      </c>
      <c r="E59">
        <f>'[1]NPP-669 Media'!F36</f>
        <v>2</v>
      </c>
      <c r="F59">
        <f>'[1]NPP-669 Media'!G36</f>
        <v>5</v>
      </c>
      <c r="G59">
        <f>'[1]NPP-669 Media'!H36</f>
        <v>2.2370000000000001</v>
      </c>
      <c r="H59">
        <f>'[1]NPP-669 Media'!I36</f>
        <v>701517</v>
      </c>
      <c r="I59" t="str">
        <f>'[1]NPP-669 Media'!J36</f>
        <v>-----</v>
      </c>
      <c r="J59">
        <f>'[1]NPP-669 Media'!K36</f>
        <v>1084.3</v>
      </c>
      <c r="K59" t="str">
        <f>'[1]NPP-669 Media'!L36</f>
        <v>-----</v>
      </c>
      <c r="L59" t="str">
        <f>'[1]NPP-669 Media'!M36</f>
        <v>-----</v>
      </c>
      <c r="M59" t="str">
        <f>'[1]NPP-669 Media'!N36</f>
        <v>-----</v>
      </c>
      <c r="N59" t="str">
        <f>'[1]NPP-669 Media'!O36</f>
        <v>-----</v>
      </c>
      <c r="O59">
        <f>'[1]NPP-669 Media'!P36</f>
        <v>0</v>
      </c>
      <c r="P59">
        <f>'[1]NPP-669 Media'!Q36</f>
        <v>1078.4100000000001</v>
      </c>
      <c r="Q59">
        <f>'[1]NPP-669 Media'!R36</f>
        <v>96.83</v>
      </c>
      <c r="R59" t="str">
        <f>'[1]NPP-669 Media'!S36</f>
        <v>-----</v>
      </c>
      <c r="S59">
        <f>'[1]NPP-669 Media'!T36</f>
        <v>1</v>
      </c>
      <c r="T59">
        <f>'[1]NPP-669 Media'!U36</f>
        <v>180936</v>
      </c>
      <c r="U59">
        <f>'[1]NPP-669 Media'!V36</f>
        <v>166969</v>
      </c>
      <c r="V59" t="str">
        <f>'[1]NPP-669 Media'!W36</f>
        <v xml:space="preserve">   </v>
      </c>
      <c r="W59" s="77">
        <f>'[1]NPP-669 Media'!X36</f>
        <v>43327.285115740742</v>
      </c>
      <c r="X59">
        <v>669</v>
      </c>
      <c r="Y59" t="s">
        <v>43</v>
      </c>
      <c r="Z59" t="s">
        <v>27</v>
      </c>
      <c r="AA59">
        <v>72</v>
      </c>
    </row>
    <row r="60" spans="1:27" x14ac:dyDescent="0.25">
      <c r="A60" t="str">
        <f>'[1]NPP-669 Media'!B37</f>
        <v>201-107_PL10_T72_ds2_CC-004-768_036.lcd</v>
      </c>
      <c r="B60" t="str">
        <f>'[1]NPP-669 Media'!C37</f>
        <v>Unknown</v>
      </c>
      <c r="C60">
        <f>'[1]NPP-669 Media'!D37</f>
        <v>0</v>
      </c>
      <c r="D60" t="str">
        <f>'[1]NPP-669 Media'!E37</f>
        <v>T72_ds2</v>
      </c>
      <c r="E60">
        <f>'[1]NPP-669 Media'!F37</f>
        <v>2</v>
      </c>
      <c r="F60">
        <f>'[1]NPP-669 Media'!G37</f>
        <v>17</v>
      </c>
      <c r="G60">
        <f>'[1]NPP-669 Media'!H37</f>
        <v>2.2389999999999999</v>
      </c>
      <c r="H60">
        <f>'[1]NPP-669 Media'!I37</f>
        <v>670443</v>
      </c>
      <c r="I60" t="str">
        <f>'[1]NPP-669 Media'!J37</f>
        <v>-----</v>
      </c>
      <c r="J60">
        <f>'[1]NPP-669 Media'!K37</f>
        <v>1036.3</v>
      </c>
      <c r="K60" t="str">
        <f>'[1]NPP-669 Media'!L37</f>
        <v>-----</v>
      </c>
      <c r="L60" t="str">
        <f>'[1]NPP-669 Media'!M37</f>
        <v>-----</v>
      </c>
      <c r="M60" t="str">
        <f>'[1]NPP-669 Media'!N37</f>
        <v>-----</v>
      </c>
      <c r="N60" t="str">
        <f>'[1]NPP-669 Media'!O37</f>
        <v>-----</v>
      </c>
      <c r="O60">
        <f>'[1]NPP-669 Media'!P37</f>
        <v>0</v>
      </c>
      <c r="P60">
        <f>'[1]NPP-669 Media'!Q37</f>
        <v>961.96</v>
      </c>
      <c r="Q60">
        <f>'[1]NPP-669 Media'!R37</f>
        <v>95.02</v>
      </c>
      <c r="R60" t="str">
        <f>'[1]NPP-669 Media'!S37</f>
        <v>-----</v>
      </c>
      <c r="S60">
        <f>'[1]NPP-669 Media'!T37</f>
        <v>1</v>
      </c>
      <c r="T60">
        <f>'[1]NPP-669 Media'!U37</f>
        <v>165101</v>
      </c>
      <c r="U60">
        <f>'[1]NPP-669 Media'!V37</f>
        <v>153469</v>
      </c>
      <c r="V60" t="str">
        <f>'[1]NPP-669 Media'!W37</f>
        <v xml:space="preserve">   </v>
      </c>
      <c r="W60" s="77">
        <f>'[1]NPP-669 Media'!X37</f>
        <v>43327.288599537038</v>
      </c>
      <c r="X60">
        <v>669</v>
      </c>
      <c r="Y60" t="s">
        <v>43</v>
      </c>
      <c r="Z60" t="s">
        <v>27</v>
      </c>
      <c r="AA60">
        <v>72</v>
      </c>
    </row>
    <row r="61" spans="1:27" x14ac:dyDescent="0.25">
      <c r="A61" t="str">
        <f>'[1]NPP-669 Media'!B38</f>
        <v>201-107_PL10_T72_ds3_CC-004-768_037.lcd</v>
      </c>
      <c r="B61" t="str">
        <f>'[1]NPP-669 Media'!C38</f>
        <v>Unknown</v>
      </c>
      <c r="C61">
        <f>'[1]NPP-669 Media'!D38</f>
        <v>0</v>
      </c>
      <c r="D61" t="str">
        <f>'[1]NPP-669 Media'!E38</f>
        <v>T72_ds3</v>
      </c>
      <c r="E61">
        <f>'[1]NPP-669 Media'!F38</f>
        <v>2</v>
      </c>
      <c r="F61">
        <f>'[1]NPP-669 Media'!G38</f>
        <v>29</v>
      </c>
      <c r="G61">
        <f>'[1]NPP-669 Media'!H38</f>
        <v>2.2400000000000002</v>
      </c>
      <c r="H61">
        <f>'[1]NPP-669 Media'!I38</f>
        <v>686658</v>
      </c>
      <c r="I61" t="str">
        <f>'[1]NPP-669 Media'!J38</f>
        <v>-----</v>
      </c>
      <c r="J61">
        <f>'[1]NPP-669 Media'!K38</f>
        <v>1061.3</v>
      </c>
      <c r="K61" t="str">
        <f>'[1]NPP-669 Media'!L38</f>
        <v>-----</v>
      </c>
      <c r="L61" t="str">
        <f>'[1]NPP-669 Media'!M38</f>
        <v>-----</v>
      </c>
      <c r="M61" t="str">
        <f>'[1]NPP-669 Media'!N38</f>
        <v>-----</v>
      </c>
      <c r="N61" t="str">
        <f>'[1]NPP-669 Media'!O38</f>
        <v>-----</v>
      </c>
      <c r="O61">
        <f>'[1]NPP-669 Media'!P38</f>
        <v>0</v>
      </c>
      <c r="P61">
        <f>'[1]NPP-669 Media'!Q38</f>
        <v>1028.0899999999999</v>
      </c>
      <c r="Q61">
        <f>'[1]NPP-669 Media'!R38</f>
        <v>93.8</v>
      </c>
      <c r="R61" t="str">
        <f>'[1]NPP-669 Media'!S38</f>
        <v>-----</v>
      </c>
      <c r="S61">
        <f>'[1]NPP-669 Media'!T38</f>
        <v>1</v>
      </c>
      <c r="T61">
        <f>'[1]NPP-669 Media'!U38</f>
        <v>169177</v>
      </c>
      <c r="U61">
        <f>'[1]NPP-669 Media'!V38</f>
        <v>157271</v>
      </c>
      <c r="V61" t="str">
        <f>'[1]NPP-669 Media'!W38</f>
        <v xml:space="preserve">   </v>
      </c>
      <c r="W61" s="77">
        <f>'[1]NPP-669 Media'!X38</f>
        <v>43327.292094907411</v>
      </c>
      <c r="X61">
        <v>669</v>
      </c>
      <c r="Y61" t="s">
        <v>43</v>
      </c>
      <c r="Z61" t="s">
        <v>27</v>
      </c>
      <c r="AA61">
        <v>72</v>
      </c>
    </row>
    <row r="62" spans="1:27" x14ac:dyDescent="0.25">
      <c r="A62" t="str">
        <f>'[1]NPP-669 Media'!B40</f>
        <v>201-107_PL10_T72_med1_CC-004-768_039.lcd</v>
      </c>
      <c r="B62" t="str">
        <f>'[1]NPP-669 Media'!C40</f>
        <v>Unknown</v>
      </c>
      <c r="C62">
        <f>'[1]NPP-669 Media'!D40</f>
        <v>0</v>
      </c>
      <c r="D62" t="str">
        <f>'[1]NPP-669 Media'!E40</f>
        <v>T72_med1</v>
      </c>
      <c r="E62">
        <f>'[1]NPP-669 Media'!F40</f>
        <v>2</v>
      </c>
      <c r="F62">
        <f>'[1]NPP-669 Media'!G40</f>
        <v>6</v>
      </c>
      <c r="G62">
        <f>'[1]NPP-669 Media'!H40</f>
        <v>2.2370000000000001</v>
      </c>
      <c r="H62">
        <f>'[1]NPP-669 Media'!I40</f>
        <v>173004</v>
      </c>
      <c r="I62" t="str">
        <f>'[1]NPP-669 Media'!J40</f>
        <v>-----</v>
      </c>
      <c r="J62">
        <f>'[1]NPP-669 Media'!K40</f>
        <v>268.10000000000002</v>
      </c>
      <c r="K62" t="str">
        <f>'[1]NPP-669 Media'!L40</f>
        <v>-----</v>
      </c>
      <c r="L62" t="str">
        <f>'[1]NPP-669 Media'!M40</f>
        <v>-----</v>
      </c>
      <c r="M62" t="str">
        <f>'[1]NPP-669 Media'!N40</f>
        <v>-----</v>
      </c>
      <c r="N62" t="str">
        <f>'[1]NPP-669 Media'!O40</f>
        <v>-----</v>
      </c>
      <c r="O62">
        <f>'[1]NPP-669 Media'!P40</f>
        <v>0</v>
      </c>
      <c r="P62">
        <f>'[1]NPP-669 Media'!Q40</f>
        <v>996.28</v>
      </c>
      <c r="Q62">
        <f>'[1]NPP-669 Media'!R40</f>
        <v>96.47</v>
      </c>
      <c r="R62" t="str">
        <f>'[1]NPP-669 Media'!S40</f>
        <v>-----</v>
      </c>
      <c r="S62">
        <f>'[1]NPP-669 Media'!T40</f>
        <v>1</v>
      </c>
      <c r="T62">
        <f>'[1]NPP-669 Media'!U40</f>
        <v>44298</v>
      </c>
      <c r="U62">
        <f>'[1]NPP-669 Media'!V40</f>
        <v>40887</v>
      </c>
      <c r="V62" t="str">
        <f>'[1]NPP-669 Media'!W40</f>
        <v xml:space="preserve">   </v>
      </c>
      <c r="W62" s="77">
        <f>'[1]NPP-669 Media'!X40</f>
        <v>43327.300104166665</v>
      </c>
      <c r="X62">
        <v>669</v>
      </c>
      <c r="Y62" t="s">
        <v>43</v>
      </c>
      <c r="Z62" t="s">
        <v>27</v>
      </c>
      <c r="AA62">
        <v>72</v>
      </c>
    </row>
    <row r="63" spans="1:27" x14ac:dyDescent="0.25">
      <c r="A63" t="str">
        <f>'[1]NPP-669 Media'!B41</f>
        <v>201-107_PL10_T72_med2_CC-004-768_040.lcd</v>
      </c>
      <c r="B63" t="str">
        <f>'[1]NPP-669 Media'!C41</f>
        <v>Unknown</v>
      </c>
      <c r="C63">
        <f>'[1]NPP-669 Media'!D41</f>
        <v>0</v>
      </c>
      <c r="D63" t="str">
        <f>'[1]NPP-669 Media'!E41</f>
        <v>T72_med2</v>
      </c>
      <c r="E63">
        <f>'[1]NPP-669 Media'!F41</f>
        <v>2</v>
      </c>
      <c r="F63">
        <f>'[1]NPP-669 Media'!G41</f>
        <v>18</v>
      </c>
      <c r="G63">
        <f>'[1]NPP-669 Media'!H41</f>
        <v>2.238</v>
      </c>
      <c r="H63">
        <f>'[1]NPP-669 Media'!I41</f>
        <v>178952</v>
      </c>
      <c r="I63" t="str">
        <f>'[1]NPP-669 Media'!J41</f>
        <v>-----</v>
      </c>
      <c r="J63">
        <f>'[1]NPP-669 Media'!K41</f>
        <v>277.3</v>
      </c>
      <c r="K63" t="str">
        <f>'[1]NPP-669 Media'!L41</f>
        <v>-----</v>
      </c>
      <c r="L63" t="str">
        <f>'[1]NPP-669 Media'!M41</f>
        <v>-----</v>
      </c>
      <c r="M63" t="str">
        <f>'[1]NPP-669 Media'!N41</f>
        <v>-----</v>
      </c>
      <c r="N63" t="str">
        <f>'[1]NPP-669 Media'!O41</f>
        <v>-----</v>
      </c>
      <c r="O63">
        <f>'[1]NPP-669 Media'!P41</f>
        <v>0</v>
      </c>
      <c r="P63">
        <f>'[1]NPP-669 Media'!Q41</f>
        <v>789.88</v>
      </c>
      <c r="Q63">
        <f>'[1]NPP-669 Media'!R41</f>
        <v>94.73</v>
      </c>
      <c r="R63" t="str">
        <f>'[1]NPP-669 Media'!S41</f>
        <v>-----</v>
      </c>
      <c r="S63">
        <f>'[1]NPP-669 Media'!T41</f>
        <v>1</v>
      </c>
      <c r="T63">
        <f>'[1]NPP-669 Media'!U41</f>
        <v>44884</v>
      </c>
      <c r="U63">
        <f>'[1]NPP-669 Media'!V41</f>
        <v>41538</v>
      </c>
      <c r="V63" t="str">
        <f>'[1]NPP-669 Media'!W41</f>
        <v xml:space="preserve">   </v>
      </c>
      <c r="W63" s="77">
        <f>'[1]NPP-669 Media'!X41</f>
        <v>43327.303587962961</v>
      </c>
      <c r="X63">
        <v>669</v>
      </c>
      <c r="Y63" t="s">
        <v>43</v>
      </c>
      <c r="Z63" t="s">
        <v>27</v>
      </c>
      <c r="AA63">
        <v>72</v>
      </c>
    </row>
    <row r="64" spans="1:27" x14ac:dyDescent="0.25">
      <c r="A64" t="str">
        <f>'[1]NPP-669 Media'!B42</f>
        <v>201-107_PL10_T72_med3_CC-004-768_041.lcd</v>
      </c>
      <c r="B64" t="str">
        <f>'[1]NPP-669 Media'!C42</f>
        <v>Unknown</v>
      </c>
      <c r="C64">
        <f>'[1]NPP-669 Media'!D42</f>
        <v>0</v>
      </c>
      <c r="D64" t="str">
        <f>'[1]NPP-669 Media'!E42</f>
        <v>T72_med3</v>
      </c>
      <c r="E64">
        <f>'[1]NPP-669 Media'!F42</f>
        <v>2</v>
      </c>
      <c r="F64">
        <f>'[1]NPP-669 Media'!G42</f>
        <v>30</v>
      </c>
      <c r="G64">
        <f>'[1]NPP-669 Media'!H42</f>
        <v>2.2370000000000001</v>
      </c>
      <c r="H64">
        <f>'[1]NPP-669 Media'!I42</f>
        <v>233089</v>
      </c>
      <c r="I64" t="str">
        <f>'[1]NPP-669 Media'!J42</f>
        <v>-----</v>
      </c>
      <c r="J64">
        <f>'[1]NPP-669 Media'!K42</f>
        <v>360.9</v>
      </c>
      <c r="K64" t="str">
        <f>'[1]NPP-669 Media'!L42</f>
        <v>-----</v>
      </c>
      <c r="L64" t="str">
        <f>'[1]NPP-669 Media'!M42</f>
        <v>-----</v>
      </c>
      <c r="M64" t="str">
        <f>'[1]NPP-669 Media'!N42</f>
        <v>-----</v>
      </c>
      <c r="N64" t="str">
        <f>'[1]NPP-669 Media'!O42</f>
        <v>-----</v>
      </c>
      <c r="O64">
        <f>'[1]NPP-669 Media'!P42</f>
        <v>0</v>
      </c>
      <c r="P64">
        <f>'[1]NPP-669 Media'!Q42</f>
        <v>945.09</v>
      </c>
      <c r="Q64">
        <f>'[1]NPP-669 Media'!R42</f>
        <v>91.7</v>
      </c>
      <c r="R64" t="str">
        <f>'[1]NPP-669 Media'!S42</f>
        <v>-----</v>
      </c>
      <c r="S64">
        <f>'[1]NPP-669 Media'!T42</f>
        <v>1</v>
      </c>
      <c r="T64">
        <f>'[1]NPP-669 Media'!U42</f>
        <v>60156</v>
      </c>
      <c r="U64">
        <f>'[1]NPP-669 Media'!V42</f>
        <v>55482</v>
      </c>
      <c r="V64" t="str">
        <f>'[1]NPP-669 Media'!W42</f>
        <v xml:space="preserve">   </v>
      </c>
      <c r="W64" s="77">
        <f>'[1]NPP-669 Media'!X42</f>
        <v>43327.30709490741</v>
      </c>
      <c r="X64">
        <v>669</v>
      </c>
      <c r="Y64" t="s">
        <v>43</v>
      </c>
      <c r="Z64" t="s">
        <v>27</v>
      </c>
      <c r="AA64">
        <v>72</v>
      </c>
    </row>
    <row r="65" spans="1:27" x14ac:dyDescent="0.25">
      <c r="A65" t="str">
        <f>'[1]NPP-669 Lysate'!B32</f>
        <v>201-107_PL11_T72_lys1_CC-004-771_031.lcd</v>
      </c>
      <c r="B65" t="str">
        <f>'[1]NPP-669 Lysate'!C32</f>
        <v>Unknown</v>
      </c>
      <c r="C65">
        <f>'[1]NPP-669 Lysate'!D32</f>
        <v>0</v>
      </c>
      <c r="D65" t="str">
        <f>'[1]NPP-669 Lysate'!E32</f>
        <v>T72_lys1</v>
      </c>
      <c r="E65">
        <f>'[1]NPP-669 Lysate'!F32</f>
        <v>2</v>
      </c>
      <c r="F65">
        <f>'[1]NPP-669 Lysate'!G32</f>
        <v>4</v>
      </c>
      <c r="G65">
        <f>'[1]NPP-669 Lysate'!H32</f>
        <v>2.3029999999999999</v>
      </c>
      <c r="H65">
        <f>'[1]NPP-669 Lysate'!I32</f>
        <v>3839117</v>
      </c>
      <c r="I65" t="str">
        <f>'[1]NPP-669 Lysate'!J32</f>
        <v>-----</v>
      </c>
      <c r="J65">
        <f>'[1]NPP-669 Lysate'!K32</f>
        <v>1280.5</v>
      </c>
      <c r="K65" t="str">
        <f>'[1]NPP-669 Lysate'!L32</f>
        <v>-----</v>
      </c>
      <c r="L65" t="str">
        <f>'[1]NPP-669 Lysate'!M32</f>
        <v>-----</v>
      </c>
      <c r="M65" t="str">
        <f>'[1]NPP-669 Lysate'!N32</f>
        <v>-----</v>
      </c>
      <c r="N65" t="str">
        <f>'[1]NPP-669 Lysate'!O32</f>
        <v>-----</v>
      </c>
      <c r="O65">
        <f>'[1]NPP-669 Lysate'!P32</f>
        <v>0</v>
      </c>
      <c r="P65">
        <f>'[1]NPP-669 Lysate'!Q32</f>
        <v>1171.32</v>
      </c>
      <c r="Q65">
        <f>'[1]NPP-669 Lysate'!R32</f>
        <v>90.84</v>
      </c>
      <c r="R65" t="str">
        <f>'[1]NPP-669 Lysate'!S32</f>
        <v>-----</v>
      </c>
      <c r="S65">
        <f>'[1]NPP-669 Lysate'!T32</f>
        <v>1</v>
      </c>
      <c r="T65">
        <f>'[1]NPP-669 Lysate'!U32</f>
        <v>1069546</v>
      </c>
      <c r="U65">
        <f>'[1]NPP-669 Lysate'!V32</f>
        <v>987635</v>
      </c>
      <c r="V65" t="str">
        <f>'[1]NPP-669 Lysate'!W32</f>
        <v xml:space="preserve">   </v>
      </c>
      <c r="W65" s="77">
        <f>'[1]NPP-669 Lysate'!X32</f>
        <v>43328.109548611108</v>
      </c>
      <c r="X65">
        <v>669</v>
      </c>
      <c r="Y65" t="s">
        <v>43</v>
      </c>
      <c r="Z65" t="s">
        <v>28</v>
      </c>
      <c r="AA65">
        <v>72</v>
      </c>
    </row>
    <row r="66" spans="1:27" x14ac:dyDescent="0.25">
      <c r="A66" t="str">
        <f>'[1]NPP-669 Lysate'!B33</f>
        <v>201-107_PL11_T72_lys2_CC-004-771_032.lcd</v>
      </c>
      <c r="B66" t="str">
        <f>'[1]NPP-669 Lysate'!C33</f>
        <v>Unknown</v>
      </c>
      <c r="C66">
        <f>'[1]NPP-669 Lysate'!D33</f>
        <v>0</v>
      </c>
      <c r="D66" t="str">
        <f>'[1]NPP-669 Lysate'!E33</f>
        <v>T72_lys2</v>
      </c>
      <c r="E66">
        <f>'[1]NPP-669 Lysate'!F33</f>
        <v>2</v>
      </c>
      <c r="F66">
        <f>'[1]NPP-669 Lysate'!G33</f>
        <v>5</v>
      </c>
      <c r="G66">
        <f>'[1]NPP-669 Lysate'!H33</f>
        <v>2.3029999999999999</v>
      </c>
      <c r="H66">
        <f>'[1]NPP-669 Lysate'!I33</f>
        <v>4101605</v>
      </c>
      <c r="I66" t="str">
        <f>'[1]NPP-669 Lysate'!J33</f>
        <v>-----</v>
      </c>
      <c r="J66">
        <f>'[1]NPP-669 Lysate'!K33</f>
        <v>1368</v>
      </c>
      <c r="K66" t="str">
        <f>'[1]NPP-669 Lysate'!L33</f>
        <v>-----</v>
      </c>
      <c r="L66" t="str">
        <f>'[1]NPP-669 Lysate'!M33</f>
        <v>-----</v>
      </c>
      <c r="M66" t="str">
        <f>'[1]NPP-669 Lysate'!N33</f>
        <v>-----</v>
      </c>
      <c r="N66" t="str">
        <f>'[1]NPP-669 Lysate'!O33</f>
        <v>-----</v>
      </c>
      <c r="O66">
        <f>'[1]NPP-669 Lysate'!P33</f>
        <v>0</v>
      </c>
      <c r="P66">
        <f>'[1]NPP-669 Lysate'!Q33</f>
        <v>1202.55</v>
      </c>
      <c r="Q66">
        <f>'[1]NPP-669 Lysate'!R33</f>
        <v>93.05</v>
      </c>
      <c r="R66" t="str">
        <f>'[1]NPP-669 Lysate'!S33</f>
        <v>-----</v>
      </c>
      <c r="S66">
        <f>'[1]NPP-669 Lysate'!T33</f>
        <v>1</v>
      </c>
      <c r="T66">
        <f>'[1]NPP-669 Lysate'!U33</f>
        <v>1131636</v>
      </c>
      <c r="U66">
        <f>'[1]NPP-669 Lysate'!V33</f>
        <v>1055793</v>
      </c>
      <c r="V66" t="str">
        <f>'[1]NPP-669 Lysate'!W33</f>
        <v xml:space="preserve">   </v>
      </c>
      <c r="W66" s="77">
        <f>'[1]NPP-669 Lysate'!X33</f>
        <v>43328.113032407404</v>
      </c>
      <c r="X66">
        <v>669</v>
      </c>
      <c r="Y66" t="s">
        <v>43</v>
      </c>
      <c r="Z66" t="s">
        <v>28</v>
      </c>
      <c r="AA66">
        <v>72</v>
      </c>
    </row>
    <row r="67" spans="1:27" x14ac:dyDescent="0.25">
      <c r="A67" t="str">
        <f>'[1]NPP-669 Lysate'!B34</f>
        <v>201-107_PL11_T72_lys3_CC-004-771_033.lcd</v>
      </c>
      <c r="B67" t="str">
        <f>'[1]NPP-669 Lysate'!C34</f>
        <v>Unknown</v>
      </c>
      <c r="C67">
        <f>'[1]NPP-669 Lysate'!D34</f>
        <v>0</v>
      </c>
      <c r="D67" t="str">
        <f>'[1]NPP-669 Lysate'!E34</f>
        <v>T72_lys3</v>
      </c>
      <c r="E67">
        <f>'[1]NPP-669 Lysate'!F34</f>
        <v>2</v>
      </c>
      <c r="F67">
        <f>'[1]NPP-669 Lysate'!G34</f>
        <v>6</v>
      </c>
      <c r="G67">
        <f>'[1]NPP-669 Lysate'!H34</f>
        <v>2.3039999999999998</v>
      </c>
      <c r="H67">
        <f>'[1]NPP-669 Lysate'!I34</f>
        <v>5350619</v>
      </c>
      <c r="I67" t="str">
        <f>'[1]NPP-669 Lysate'!J34</f>
        <v>-----</v>
      </c>
      <c r="J67">
        <f>'[1]NPP-669 Lysate'!K34</f>
        <v>1784.5</v>
      </c>
      <c r="K67" t="str">
        <f>'[1]NPP-669 Lysate'!L34</f>
        <v>-----</v>
      </c>
      <c r="L67" t="str">
        <f>'[1]NPP-669 Lysate'!M34</f>
        <v>-----</v>
      </c>
      <c r="M67" t="str">
        <f>'[1]NPP-669 Lysate'!N34</f>
        <v>-----</v>
      </c>
      <c r="N67" t="str">
        <f>'[1]NPP-669 Lysate'!O34</f>
        <v>-----</v>
      </c>
      <c r="O67">
        <f>'[1]NPP-669 Lysate'!P34</f>
        <v>0</v>
      </c>
      <c r="P67">
        <f>'[1]NPP-669 Lysate'!Q34</f>
        <v>1252.51</v>
      </c>
      <c r="Q67">
        <f>'[1]NPP-669 Lysate'!R34</f>
        <v>89.74</v>
      </c>
      <c r="R67" t="str">
        <f>'[1]NPP-669 Lysate'!S34</f>
        <v>-----</v>
      </c>
      <c r="S67">
        <f>'[1]NPP-669 Lysate'!T34</f>
        <v>1</v>
      </c>
      <c r="T67">
        <f>'[1]NPP-669 Lysate'!U34</f>
        <v>1509684</v>
      </c>
      <c r="U67">
        <f>'[1]NPP-669 Lysate'!V34</f>
        <v>1382036</v>
      </c>
      <c r="V67" t="str">
        <f>'[1]NPP-669 Lysate'!W34</f>
        <v xml:space="preserve">   </v>
      </c>
      <c r="W67" s="77">
        <f>'[1]NPP-669 Lysate'!X34</f>
        <v>43328.11650462963</v>
      </c>
      <c r="X67">
        <v>669</v>
      </c>
      <c r="Y67" t="s">
        <v>43</v>
      </c>
      <c r="Z67" t="s">
        <v>28</v>
      </c>
      <c r="AA67">
        <v>72</v>
      </c>
    </row>
    <row r="68" spans="1:27" x14ac:dyDescent="0.25">
      <c r="A68" t="str">
        <f>'[1]PL 14 CDV Media'!B29</f>
        <v>201-107_PL14_CDV_669_T0_ds1_CC-004-778_055.lcd</v>
      </c>
      <c r="B68" t="str">
        <f>'[1]PL 14 CDV Media'!C29</f>
        <v>Unknown</v>
      </c>
      <c r="C68">
        <f>'[1]PL 14 CDV Media'!D29</f>
        <v>0</v>
      </c>
      <c r="D68" t="str">
        <f>'[1]PL 14 CDV Media'!E29</f>
        <v>669_T0_ds1</v>
      </c>
      <c r="E68">
        <f>'[1]PL 14 CDV Media'!F29</f>
        <v>1</v>
      </c>
      <c r="F68">
        <f>'[1]PL 14 CDV Media'!G29</f>
        <v>10</v>
      </c>
      <c r="G68" t="str">
        <f>'[1]PL 14 CDV Media'!H29</f>
        <v>-----</v>
      </c>
      <c r="H68">
        <f>'[1]PL 14 CDV Media'!I29</f>
        <v>319</v>
      </c>
      <c r="I68" t="str">
        <f>'[1]PL 14 CDV Media'!J29</f>
        <v>-----</v>
      </c>
      <c r="J68" t="str">
        <f>'[1]PL 14 CDV Media'!K29</f>
        <v>-----</v>
      </c>
      <c r="K68" t="str">
        <f>'[1]PL 14 CDV Media'!L29</f>
        <v>-----</v>
      </c>
      <c r="L68" t="str">
        <f>'[1]PL 14 CDV Media'!M29</f>
        <v>-----</v>
      </c>
      <c r="M68" t="str">
        <f>'[1]PL 14 CDV Media'!N29</f>
        <v>-----</v>
      </c>
      <c r="N68" t="str">
        <f>'[1]PL 14 CDV Media'!O29</f>
        <v>-----</v>
      </c>
      <c r="O68">
        <f>'[1]PL 14 CDV Media'!P29</f>
        <v>0</v>
      </c>
      <c r="P68" t="str">
        <f>'[1]PL 14 CDV Media'!Q29</f>
        <v>-----</v>
      </c>
      <c r="Q68">
        <f>'[1]PL 14 CDV Media'!R29</f>
        <v>0</v>
      </c>
      <c r="R68" t="str">
        <f>'[1]PL 14 CDV Media'!S29</f>
        <v>-----</v>
      </c>
      <c r="S68">
        <f>'[1]PL 14 CDV Media'!T29</f>
        <v>1</v>
      </c>
      <c r="T68">
        <f>'[1]PL 14 CDV Media'!U29</f>
        <v>156</v>
      </c>
      <c r="U68">
        <f>'[1]PL 14 CDV Media'!V29</f>
        <v>173</v>
      </c>
      <c r="V68" t="str">
        <f>'[1]PL 14 CDV Media'!W29</f>
        <v>-----</v>
      </c>
      <c r="W68" s="77">
        <f>'[1]PL 14 CDV Media'!X29</f>
        <v>43335.93037037037</v>
      </c>
      <c r="X68">
        <v>669</v>
      </c>
      <c r="Y68" t="s">
        <v>4</v>
      </c>
      <c r="Z68" t="s">
        <v>27</v>
      </c>
      <c r="AA68">
        <v>0</v>
      </c>
    </row>
    <row r="69" spans="1:27" x14ac:dyDescent="0.25">
      <c r="A69" t="str">
        <f>'[1]PL 14 CDV Media'!B30</f>
        <v>201-107_PL14_CDV_669_T0_ds2_CC-004-778_056.lcd</v>
      </c>
      <c r="B69" t="str">
        <f>'[1]PL 14 CDV Media'!C30</f>
        <v>Unknown</v>
      </c>
      <c r="C69">
        <f>'[1]PL 14 CDV Media'!D30</f>
        <v>0</v>
      </c>
      <c r="D69" t="str">
        <f>'[1]PL 14 CDV Media'!E30</f>
        <v>669_T0_ds2</v>
      </c>
      <c r="E69">
        <f>'[1]PL 14 CDV Media'!F30</f>
        <v>1</v>
      </c>
      <c r="F69">
        <f>'[1]PL 14 CDV Media'!G30</f>
        <v>11</v>
      </c>
      <c r="G69" t="str">
        <f>'[1]PL 14 CDV Media'!H30</f>
        <v>-----</v>
      </c>
      <c r="H69">
        <f>'[1]PL 14 CDV Media'!I30</f>
        <v>378</v>
      </c>
      <c r="I69" t="str">
        <f>'[1]PL 14 CDV Media'!J30</f>
        <v>-----</v>
      </c>
      <c r="J69" t="str">
        <f>'[1]PL 14 CDV Media'!K30</f>
        <v>-----</v>
      </c>
      <c r="K69" t="str">
        <f>'[1]PL 14 CDV Media'!L30</f>
        <v>-----</v>
      </c>
      <c r="L69" t="str">
        <f>'[1]PL 14 CDV Media'!M30</f>
        <v>-----</v>
      </c>
      <c r="M69" t="str">
        <f>'[1]PL 14 CDV Media'!N30</f>
        <v>-----</v>
      </c>
      <c r="N69" t="str">
        <f>'[1]PL 14 CDV Media'!O30</f>
        <v>-----</v>
      </c>
      <c r="O69">
        <f>'[1]PL 14 CDV Media'!P30</f>
        <v>0</v>
      </c>
      <c r="P69" t="str">
        <f>'[1]PL 14 CDV Media'!Q30</f>
        <v>-----</v>
      </c>
      <c r="Q69">
        <f>'[1]PL 14 CDV Media'!R30</f>
        <v>11.95</v>
      </c>
      <c r="R69" t="str">
        <f>'[1]PL 14 CDV Media'!S30</f>
        <v>-----</v>
      </c>
      <c r="S69">
        <f>'[1]PL 14 CDV Media'!T30</f>
        <v>1</v>
      </c>
      <c r="T69">
        <f>'[1]PL 14 CDV Media'!U30</f>
        <v>146</v>
      </c>
      <c r="U69">
        <f>'[1]PL 14 CDV Media'!V30</f>
        <v>159</v>
      </c>
      <c r="V69" t="str">
        <f>'[1]PL 14 CDV Media'!W30</f>
        <v>-----</v>
      </c>
      <c r="W69" s="77">
        <f>'[1]PL 14 CDV Media'!X30</f>
        <v>43335.932824074072</v>
      </c>
      <c r="X69">
        <v>669</v>
      </c>
      <c r="Y69" t="s">
        <v>4</v>
      </c>
      <c r="Z69" t="s">
        <v>27</v>
      </c>
      <c r="AA69">
        <v>0</v>
      </c>
    </row>
    <row r="70" spans="1:27" x14ac:dyDescent="0.25">
      <c r="A70" t="str">
        <f>'[1]PL 14 CDV Media'!B31</f>
        <v>201-107_PL14_CDV_669_T0_ds3_CC-004-778_057.lcd</v>
      </c>
      <c r="B70" t="str">
        <f>'[1]PL 14 CDV Media'!C31</f>
        <v>Unknown</v>
      </c>
      <c r="C70">
        <f>'[1]PL 14 CDV Media'!D31</f>
        <v>0</v>
      </c>
      <c r="D70" t="str">
        <f>'[1]PL 14 CDV Media'!E31</f>
        <v>669_T0_ds3</v>
      </c>
      <c r="E70">
        <f>'[1]PL 14 CDV Media'!F31</f>
        <v>1</v>
      </c>
      <c r="F70">
        <f>'[1]PL 14 CDV Media'!G31</f>
        <v>12</v>
      </c>
      <c r="G70" t="str">
        <f>'[1]PL 14 CDV Media'!H31</f>
        <v>-----</v>
      </c>
      <c r="H70">
        <f>'[1]PL 14 CDV Media'!I31</f>
        <v>493</v>
      </c>
      <c r="I70" t="str">
        <f>'[1]PL 14 CDV Media'!J31</f>
        <v>-----</v>
      </c>
      <c r="J70" t="str">
        <f>'[1]PL 14 CDV Media'!K31</f>
        <v>-----</v>
      </c>
      <c r="K70" t="str">
        <f>'[1]PL 14 CDV Media'!L31</f>
        <v>-----</v>
      </c>
      <c r="L70" t="str">
        <f>'[1]PL 14 CDV Media'!M31</f>
        <v>-----</v>
      </c>
      <c r="M70" t="str">
        <f>'[1]PL 14 CDV Media'!N31</f>
        <v>-----</v>
      </c>
      <c r="N70" t="str">
        <f>'[1]PL 14 CDV Media'!O31</f>
        <v>-----</v>
      </c>
      <c r="O70">
        <f>'[1]PL 14 CDV Media'!P31</f>
        <v>0</v>
      </c>
      <c r="P70" t="str">
        <f>'[1]PL 14 CDV Media'!Q31</f>
        <v>-----</v>
      </c>
      <c r="Q70">
        <f>'[1]PL 14 CDV Media'!R31</f>
        <v>0</v>
      </c>
      <c r="R70" t="str">
        <f>'[1]PL 14 CDV Media'!S31</f>
        <v>-----</v>
      </c>
      <c r="S70">
        <f>'[1]PL 14 CDV Media'!T31</f>
        <v>1</v>
      </c>
      <c r="T70">
        <f>'[1]PL 14 CDV Media'!U31</f>
        <v>332</v>
      </c>
      <c r="U70">
        <f>'[1]PL 14 CDV Media'!V31</f>
        <v>336</v>
      </c>
      <c r="V70" t="str">
        <f>'[1]PL 14 CDV Media'!W31</f>
        <v>-----</v>
      </c>
      <c r="W70" s="77">
        <f>'[1]PL 14 CDV Media'!X31</f>
        <v>43335.935266203705</v>
      </c>
      <c r="X70">
        <v>669</v>
      </c>
      <c r="Y70" t="s">
        <v>4</v>
      </c>
      <c r="Z70" t="s">
        <v>27</v>
      </c>
      <c r="AA70">
        <v>0</v>
      </c>
    </row>
    <row r="71" spans="1:27" x14ac:dyDescent="0.25">
      <c r="A71" t="str">
        <f>'[1]PL 14 CDV Media'!B32</f>
        <v>201-107_PL14_CDV_669_T72_ds1_CC-004-778_059.lcd</v>
      </c>
      <c r="B71" t="str">
        <f>'[1]PL 14 CDV Media'!C32</f>
        <v>Unknown</v>
      </c>
      <c r="C71">
        <f>'[1]PL 14 CDV Media'!D32</f>
        <v>0</v>
      </c>
      <c r="D71" t="str">
        <f>'[1]PL 14 CDV Media'!E32</f>
        <v>669_T72_ds1</v>
      </c>
      <c r="E71">
        <f>'[1]PL 14 CDV Media'!F32</f>
        <v>1</v>
      </c>
      <c r="F71">
        <f>'[1]PL 14 CDV Media'!G32</f>
        <v>22</v>
      </c>
      <c r="G71" t="str">
        <f>'[1]PL 14 CDV Media'!H32</f>
        <v>-----</v>
      </c>
      <c r="H71">
        <f>'[1]PL 14 CDV Media'!I32</f>
        <v>585</v>
      </c>
      <c r="I71" t="str">
        <f>'[1]PL 14 CDV Media'!J32</f>
        <v>-----</v>
      </c>
      <c r="J71" t="str">
        <f>'[1]PL 14 CDV Media'!K32</f>
        <v>-----</v>
      </c>
      <c r="K71" t="str">
        <f>'[1]PL 14 CDV Media'!L32</f>
        <v>-----</v>
      </c>
      <c r="L71" t="str">
        <f>'[1]PL 14 CDV Media'!M32</f>
        <v>-----</v>
      </c>
      <c r="M71" t="str">
        <f>'[1]PL 14 CDV Media'!N32</f>
        <v>-----</v>
      </c>
      <c r="N71" t="str">
        <f>'[1]PL 14 CDV Media'!O32</f>
        <v>-----</v>
      </c>
      <c r="O71">
        <f>'[1]PL 14 CDV Media'!P32</f>
        <v>0</v>
      </c>
      <c r="P71" t="str">
        <f>'[1]PL 14 CDV Media'!Q32</f>
        <v>-----</v>
      </c>
      <c r="Q71">
        <f>'[1]PL 14 CDV Media'!R32</f>
        <v>8.36</v>
      </c>
      <c r="R71" t="str">
        <f>'[1]PL 14 CDV Media'!S32</f>
        <v>-----</v>
      </c>
      <c r="S71">
        <f>'[1]PL 14 CDV Media'!T32</f>
        <v>1</v>
      </c>
      <c r="T71">
        <f>'[1]PL 14 CDV Media'!U32</f>
        <v>261</v>
      </c>
      <c r="U71">
        <f>'[1]PL 14 CDV Media'!V32</f>
        <v>299</v>
      </c>
      <c r="V71" t="str">
        <f>'[1]PL 14 CDV Media'!W32</f>
        <v>-----</v>
      </c>
      <c r="W71" s="77">
        <f>'[1]PL 14 CDV Media'!X32</f>
        <v>43335.940104166664</v>
      </c>
      <c r="X71">
        <v>669</v>
      </c>
      <c r="Y71" t="s">
        <v>4</v>
      </c>
      <c r="Z71" t="s">
        <v>27</v>
      </c>
      <c r="AA71">
        <v>72</v>
      </c>
    </row>
    <row r="72" spans="1:27" x14ac:dyDescent="0.25">
      <c r="A72" t="str">
        <f>'[1]PL 14 CDV Media'!B33</f>
        <v>201-107_PL14_CDV_669_T72_ds2_CC-004-778_060.lcd</v>
      </c>
      <c r="B72" t="str">
        <f>'[1]PL 14 CDV Media'!C33</f>
        <v>Unknown</v>
      </c>
      <c r="C72">
        <f>'[1]PL 14 CDV Media'!D33</f>
        <v>0</v>
      </c>
      <c r="D72" t="str">
        <f>'[1]PL 14 CDV Media'!E33</f>
        <v>669_T72_ds2</v>
      </c>
      <c r="E72">
        <f>'[1]PL 14 CDV Media'!F33</f>
        <v>1</v>
      </c>
      <c r="F72">
        <f>'[1]PL 14 CDV Media'!G33</f>
        <v>23</v>
      </c>
      <c r="G72" t="str">
        <f>'[1]PL 14 CDV Media'!H33</f>
        <v>-----</v>
      </c>
      <c r="H72">
        <f>'[1]PL 14 CDV Media'!I33</f>
        <v>411</v>
      </c>
      <c r="I72" t="str">
        <f>'[1]PL 14 CDV Media'!J33</f>
        <v>-----</v>
      </c>
      <c r="J72" t="str">
        <f>'[1]PL 14 CDV Media'!K33</f>
        <v>-----</v>
      </c>
      <c r="K72" t="str">
        <f>'[1]PL 14 CDV Media'!L33</f>
        <v>-----</v>
      </c>
      <c r="L72" t="str">
        <f>'[1]PL 14 CDV Media'!M33</f>
        <v>-----</v>
      </c>
      <c r="M72" t="str">
        <f>'[1]PL 14 CDV Media'!N33</f>
        <v>-----</v>
      </c>
      <c r="N72" t="str">
        <f>'[1]PL 14 CDV Media'!O33</f>
        <v>-----</v>
      </c>
      <c r="O72">
        <f>'[1]PL 14 CDV Media'!P33</f>
        <v>0</v>
      </c>
      <c r="P72" t="str">
        <f>'[1]PL 14 CDV Media'!Q33</f>
        <v>-----</v>
      </c>
      <c r="Q72">
        <f>'[1]PL 14 CDV Media'!R33</f>
        <v>1.25</v>
      </c>
      <c r="R72" t="str">
        <f>'[1]PL 14 CDV Media'!S33</f>
        <v>-----</v>
      </c>
      <c r="S72">
        <f>'[1]PL 14 CDV Media'!T33</f>
        <v>1</v>
      </c>
      <c r="T72">
        <f>'[1]PL 14 CDV Media'!U33</f>
        <v>225</v>
      </c>
      <c r="U72">
        <f>'[1]PL 14 CDV Media'!V33</f>
        <v>241</v>
      </c>
      <c r="V72" t="str">
        <f>'[1]PL 14 CDV Media'!W33</f>
        <v>-----</v>
      </c>
      <c r="W72" s="77">
        <f>'[1]PL 14 CDV Media'!X33</f>
        <v>43335.942546296297</v>
      </c>
      <c r="X72">
        <v>669</v>
      </c>
      <c r="Y72" t="s">
        <v>4</v>
      </c>
      <c r="Z72" t="s">
        <v>27</v>
      </c>
      <c r="AA72">
        <v>72</v>
      </c>
    </row>
    <row r="73" spans="1:27" x14ac:dyDescent="0.25">
      <c r="A73" t="str">
        <f>'[1]PL 14 CDV Media'!B34</f>
        <v>201-107_PL14_CDV_669_T72_ds3_CC-004-778_061.lcd</v>
      </c>
      <c r="B73" t="str">
        <f>'[1]PL 14 CDV Media'!C34</f>
        <v>Unknown</v>
      </c>
      <c r="C73">
        <f>'[1]PL 14 CDV Media'!D34</f>
        <v>0</v>
      </c>
      <c r="D73" t="str">
        <f>'[1]PL 14 CDV Media'!E34</f>
        <v>669_T72_ds3</v>
      </c>
      <c r="E73">
        <f>'[1]PL 14 CDV Media'!F34</f>
        <v>1</v>
      </c>
      <c r="F73">
        <f>'[1]PL 14 CDV Media'!G34</f>
        <v>24</v>
      </c>
      <c r="G73" t="str">
        <f>'[1]PL 14 CDV Media'!H34</f>
        <v>-----</v>
      </c>
      <c r="H73">
        <f>'[1]PL 14 CDV Media'!I34</f>
        <v>515</v>
      </c>
      <c r="I73" t="str">
        <f>'[1]PL 14 CDV Media'!J34</f>
        <v>-----</v>
      </c>
      <c r="J73" t="str">
        <f>'[1]PL 14 CDV Media'!K34</f>
        <v>-----</v>
      </c>
      <c r="K73" t="str">
        <f>'[1]PL 14 CDV Media'!L34</f>
        <v>-----</v>
      </c>
      <c r="L73" t="str">
        <f>'[1]PL 14 CDV Media'!M34</f>
        <v>-----</v>
      </c>
      <c r="M73" t="str">
        <f>'[1]PL 14 CDV Media'!N34</f>
        <v>-----</v>
      </c>
      <c r="N73" t="str">
        <f>'[1]PL 14 CDV Media'!O34</f>
        <v>-----</v>
      </c>
      <c r="O73">
        <f>'[1]PL 14 CDV Media'!P34</f>
        <v>0</v>
      </c>
      <c r="P73" t="str">
        <f>'[1]PL 14 CDV Media'!Q34</f>
        <v>-----</v>
      </c>
      <c r="Q73">
        <f>'[1]PL 14 CDV Media'!R34</f>
        <v>9.7100000000000009</v>
      </c>
      <c r="R73" t="str">
        <f>'[1]PL 14 CDV Media'!S34</f>
        <v>-----</v>
      </c>
      <c r="S73">
        <f>'[1]PL 14 CDV Media'!T34</f>
        <v>1</v>
      </c>
      <c r="T73">
        <f>'[1]PL 14 CDV Media'!U34</f>
        <v>250</v>
      </c>
      <c r="U73">
        <f>'[1]PL 14 CDV Media'!V34</f>
        <v>278</v>
      </c>
      <c r="V73" t="str">
        <f>'[1]PL 14 CDV Media'!W34</f>
        <v>-----</v>
      </c>
      <c r="W73" s="77">
        <f>'[1]PL 14 CDV Media'!X34</f>
        <v>43335.944988425923</v>
      </c>
      <c r="X73">
        <v>669</v>
      </c>
      <c r="Y73" t="s">
        <v>4</v>
      </c>
      <c r="Z73" t="s">
        <v>27</v>
      </c>
      <c r="AA73">
        <v>72</v>
      </c>
    </row>
    <row r="74" spans="1:27" x14ac:dyDescent="0.25">
      <c r="A74" t="str">
        <f>'[1]PL 14 CDV Media'!B35</f>
        <v>201-107_PL14_CDV_669_T72_med1_CC-004-778_063.lcd</v>
      </c>
      <c r="B74" t="str">
        <f>'[1]PL 14 CDV Media'!C35</f>
        <v>Unknown</v>
      </c>
      <c r="C74">
        <f>'[1]PL 14 CDV Media'!D35</f>
        <v>0</v>
      </c>
      <c r="D74" t="str">
        <f>'[1]PL 14 CDV Media'!E35</f>
        <v>669_T72_med1</v>
      </c>
      <c r="E74">
        <f>'[1]PL 14 CDV Media'!F35</f>
        <v>1</v>
      </c>
      <c r="F74">
        <f>'[1]PL 14 CDV Media'!G35</f>
        <v>34</v>
      </c>
      <c r="G74">
        <f>'[1]PL 14 CDV Media'!H35</f>
        <v>1.2509999999999999</v>
      </c>
      <c r="H74">
        <f>'[1]PL 14 CDV Media'!I35</f>
        <v>1240</v>
      </c>
      <c r="I74" t="str">
        <f>'[1]PL 14 CDV Media'!J35</f>
        <v>-----</v>
      </c>
      <c r="J74">
        <f>'[1]PL 14 CDV Media'!K35</f>
        <v>204.2</v>
      </c>
      <c r="K74" t="str">
        <f>'[1]PL 14 CDV Media'!L35</f>
        <v>-----</v>
      </c>
      <c r="L74" t="str">
        <f>'[1]PL 14 CDV Media'!M35</f>
        <v>-----</v>
      </c>
      <c r="M74" t="str">
        <f>'[1]PL 14 CDV Media'!N35</f>
        <v>-----</v>
      </c>
      <c r="N74" t="str">
        <f>'[1]PL 14 CDV Media'!O35</f>
        <v>-----</v>
      </c>
      <c r="O74" t="str">
        <f>'[1]PL 14 CDV Media'!P35</f>
        <v>Quant.Range(Low)</v>
      </c>
      <c r="P74">
        <f>'[1]PL 14 CDV Media'!Q35</f>
        <v>0.84</v>
      </c>
      <c r="Q74">
        <f>'[1]PL 14 CDV Media'!R35</f>
        <v>37.04</v>
      </c>
      <c r="R74" t="str">
        <f>'[1]PL 14 CDV Media'!S35</f>
        <v>-----</v>
      </c>
      <c r="S74">
        <f>'[1]PL 14 CDV Media'!T35</f>
        <v>1</v>
      </c>
      <c r="T74">
        <f>'[1]PL 14 CDV Media'!U35</f>
        <v>401</v>
      </c>
      <c r="U74">
        <f>'[1]PL 14 CDV Media'!V35</f>
        <v>405</v>
      </c>
      <c r="V74" t="str">
        <f>'[1]PL 14 CDV Media'!W35</f>
        <v xml:space="preserve">   </v>
      </c>
      <c r="W74" s="77">
        <f>'[1]PL 14 CDV Media'!X35</f>
        <v>43335.949861111112</v>
      </c>
      <c r="X74">
        <v>669</v>
      </c>
      <c r="Y74" t="s">
        <v>4</v>
      </c>
      <c r="Z74" t="s">
        <v>27</v>
      </c>
      <c r="AA74">
        <v>72</v>
      </c>
    </row>
    <row r="75" spans="1:27" x14ac:dyDescent="0.25">
      <c r="A75" t="str">
        <f>'[1]PL 14 CDV Media'!B36</f>
        <v>201-107_PL14_CDV_669_T72_med2_CC-004-778_064.lcd</v>
      </c>
      <c r="B75" t="str">
        <f>'[1]PL 14 CDV Media'!C36</f>
        <v>Unknown</v>
      </c>
      <c r="C75">
        <f>'[1]PL 14 CDV Media'!D36</f>
        <v>0</v>
      </c>
      <c r="D75" t="str">
        <f>'[1]PL 14 CDV Media'!E36</f>
        <v>669_T72_med2</v>
      </c>
      <c r="E75">
        <f>'[1]PL 14 CDV Media'!F36</f>
        <v>1</v>
      </c>
      <c r="F75">
        <f>'[1]PL 14 CDV Media'!G36</f>
        <v>35</v>
      </c>
      <c r="G75">
        <f>'[1]PL 14 CDV Media'!H36</f>
        <v>1.276</v>
      </c>
      <c r="H75">
        <f>'[1]PL 14 CDV Media'!I36</f>
        <v>1604</v>
      </c>
      <c r="I75" t="str">
        <f>'[1]PL 14 CDV Media'!J36</f>
        <v>-----</v>
      </c>
      <c r="J75">
        <f>'[1]PL 14 CDV Media'!K36</f>
        <v>263.5</v>
      </c>
      <c r="K75" t="str">
        <f>'[1]PL 14 CDV Media'!L36</f>
        <v>-----</v>
      </c>
      <c r="L75" t="str">
        <f>'[1]PL 14 CDV Media'!M36</f>
        <v>-----</v>
      </c>
      <c r="M75" t="str">
        <f>'[1]PL 14 CDV Media'!N36</f>
        <v>-----</v>
      </c>
      <c r="N75" t="str">
        <f>'[1]PL 14 CDV Media'!O36</f>
        <v>-----</v>
      </c>
      <c r="O75" t="str">
        <f>'[1]PL 14 CDV Media'!P36</f>
        <v>Quant.Range(Low)</v>
      </c>
      <c r="P75">
        <f>'[1]PL 14 CDV Media'!Q36</f>
        <v>1.26</v>
      </c>
      <c r="Q75">
        <f>'[1]PL 14 CDV Media'!R36</f>
        <v>25.16</v>
      </c>
      <c r="R75" t="str">
        <f>'[1]PL 14 CDV Media'!S36</f>
        <v>-----</v>
      </c>
      <c r="S75">
        <f>'[1]PL 14 CDV Media'!T36</f>
        <v>1</v>
      </c>
      <c r="T75">
        <f>'[1]PL 14 CDV Media'!U36</f>
        <v>601</v>
      </c>
      <c r="U75">
        <f>'[1]PL 14 CDV Media'!V36</f>
        <v>628</v>
      </c>
      <c r="V75" t="str">
        <f>'[1]PL 14 CDV Media'!W36</f>
        <v xml:space="preserve">   </v>
      </c>
      <c r="W75" s="77">
        <f>'[1]PL 14 CDV Media'!X36</f>
        <v>43335.952280092592</v>
      </c>
      <c r="X75">
        <v>669</v>
      </c>
      <c r="Y75" t="s">
        <v>4</v>
      </c>
      <c r="Z75" t="s">
        <v>27</v>
      </c>
      <c r="AA75">
        <v>72</v>
      </c>
    </row>
    <row r="76" spans="1:27" x14ac:dyDescent="0.25">
      <c r="A76" t="str">
        <f>'[1]PL 14 CDV Media'!B37</f>
        <v>201-107_PL14_CDV_669_T72_med3_CC-004-778_065.lcd</v>
      </c>
      <c r="B76" t="str">
        <f>'[1]PL 14 CDV Media'!C37</f>
        <v>Unknown</v>
      </c>
      <c r="C76">
        <f>'[1]PL 14 CDV Media'!D37</f>
        <v>0</v>
      </c>
      <c r="D76" t="str">
        <f>'[1]PL 14 CDV Media'!E37</f>
        <v>669_T72_med3</v>
      </c>
      <c r="E76">
        <f>'[1]PL 14 CDV Media'!F37</f>
        <v>1</v>
      </c>
      <c r="F76">
        <f>'[1]PL 14 CDV Media'!G37</f>
        <v>36</v>
      </c>
      <c r="G76">
        <f>'[1]PL 14 CDV Media'!H37</f>
        <v>1.268</v>
      </c>
      <c r="H76">
        <f>'[1]PL 14 CDV Media'!I37</f>
        <v>1418</v>
      </c>
      <c r="I76" t="str">
        <f>'[1]PL 14 CDV Media'!J37</f>
        <v>-----</v>
      </c>
      <c r="J76">
        <f>'[1]PL 14 CDV Media'!K37</f>
        <v>233.3</v>
      </c>
      <c r="K76" t="str">
        <f>'[1]PL 14 CDV Media'!L37</f>
        <v>-----</v>
      </c>
      <c r="L76" t="str">
        <f>'[1]PL 14 CDV Media'!M37</f>
        <v>-----</v>
      </c>
      <c r="M76" t="str">
        <f>'[1]PL 14 CDV Media'!N37</f>
        <v>-----</v>
      </c>
      <c r="N76" t="str">
        <f>'[1]PL 14 CDV Media'!O37</f>
        <v>-----</v>
      </c>
      <c r="O76" t="str">
        <f>'[1]PL 14 CDV Media'!P37</f>
        <v>Quant.Range(Low)</v>
      </c>
      <c r="P76">
        <f>'[1]PL 14 CDV Media'!Q37</f>
        <v>0.76</v>
      </c>
      <c r="Q76">
        <f>'[1]PL 14 CDV Media'!R37</f>
        <v>38.270000000000003</v>
      </c>
      <c r="R76" t="str">
        <f>'[1]PL 14 CDV Media'!S37</f>
        <v>-----</v>
      </c>
      <c r="S76">
        <f>'[1]PL 14 CDV Media'!T37</f>
        <v>1</v>
      </c>
      <c r="T76">
        <f>'[1]PL 14 CDV Media'!U37</f>
        <v>411</v>
      </c>
      <c r="U76">
        <f>'[1]PL 14 CDV Media'!V37</f>
        <v>439</v>
      </c>
      <c r="V76" t="str">
        <f>'[1]PL 14 CDV Media'!W37</f>
        <v xml:space="preserve">   </v>
      </c>
      <c r="W76" s="77">
        <f>'[1]PL 14 CDV Media'!X37</f>
        <v>43335.954699074071</v>
      </c>
      <c r="X76">
        <v>669</v>
      </c>
      <c r="Y76" t="s">
        <v>4</v>
      </c>
      <c r="Z76" t="s">
        <v>27</v>
      </c>
      <c r="AA76">
        <v>72</v>
      </c>
    </row>
    <row r="77" spans="1:27" x14ac:dyDescent="0.25">
      <c r="A77" t="str">
        <f>'[1]CDV Lysate'!B40</f>
        <v>201-107_PL12_CDV_Lysate_081718_669_T72_lys1_CC-004-773_039.lcd</v>
      </c>
      <c r="B77" t="str">
        <f>'[1]CDV Lysate'!C40</f>
        <v>Unknown</v>
      </c>
      <c r="C77">
        <f>'[1]CDV Lysate'!D40</f>
        <v>0</v>
      </c>
      <c r="D77" t="str">
        <f>'[1]CDV Lysate'!E40</f>
        <v>669_T72_lys1</v>
      </c>
      <c r="E77">
        <f>'[1]CDV Lysate'!F40</f>
        <v>1</v>
      </c>
      <c r="F77">
        <f>'[1]CDV Lysate'!G40</f>
        <v>28</v>
      </c>
      <c r="G77">
        <f>'[1]CDV Lysate'!H40</f>
        <v>1.2549999999999999</v>
      </c>
      <c r="H77">
        <f>'[1]CDV Lysate'!I40</f>
        <v>209455</v>
      </c>
      <c r="I77" t="str">
        <f>'[1]CDV Lysate'!J40</f>
        <v>-----</v>
      </c>
      <c r="J77">
        <f>'[1]CDV Lysate'!K40</f>
        <v>1370.8</v>
      </c>
      <c r="K77" t="str">
        <f>'[1]CDV Lysate'!L40</f>
        <v>-----</v>
      </c>
      <c r="L77" t="str">
        <f>'[1]CDV Lysate'!M40</f>
        <v>-----</v>
      </c>
      <c r="M77" t="str">
        <f>'[1]CDV Lysate'!N40</f>
        <v>-----</v>
      </c>
      <c r="N77" t="str">
        <f>'[1]CDV Lysate'!O40</f>
        <v>-----</v>
      </c>
      <c r="O77">
        <f>'[1]CDV Lysate'!P40</f>
        <v>0</v>
      </c>
      <c r="P77">
        <f>'[1]CDV Lysate'!Q40</f>
        <v>22.22</v>
      </c>
      <c r="Q77">
        <f>'[1]CDV Lysate'!R40</f>
        <v>39.72</v>
      </c>
      <c r="R77" t="str">
        <f>'[1]CDV Lysate'!S40</f>
        <v>-----</v>
      </c>
      <c r="S77">
        <f>'[1]CDV Lysate'!T40</f>
        <v>1</v>
      </c>
      <c r="T77">
        <f>'[1]CDV Lysate'!U40</f>
        <v>95312</v>
      </c>
      <c r="U77">
        <f>'[1]CDV Lysate'!V40</f>
        <v>96710</v>
      </c>
      <c r="V77" t="str">
        <f>'[1]CDV Lysate'!W40</f>
        <v xml:space="preserve">   </v>
      </c>
      <c r="W77" s="77">
        <f>'[1]CDV Lysate'!X40</f>
        <v>43329.687488425923</v>
      </c>
      <c r="X77">
        <v>669</v>
      </c>
      <c r="Y77" t="s">
        <v>4</v>
      </c>
      <c r="Z77" t="s">
        <v>28</v>
      </c>
      <c r="AA77">
        <v>72</v>
      </c>
    </row>
    <row r="78" spans="1:27" x14ac:dyDescent="0.25">
      <c r="A78" t="str">
        <f>'[1]CDV Lysate'!B41</f>
        <v>201-107_PL12_CDV_Lysate_081718_669_T72_lys2_CC-004-773_040.lcd</v>
      </c>
      <c r="B78" t="str">
        <f>'[1]CDV Lysate'!C41</f>
        <v>Unknown</v>
      </c>
      <c r="C78">
        <f>'[1]CDV Lysate'!D41</f>
        <v>0</v>
      </c>
      <c r="D78" t="str">
        <f>'[1]CDV Lysate'!E41</f>
        <v>669_T72_lys2</v>
      </c>
      <c r="E78">
        <f>'[1]CDV Lysate'!F41</f>
        <v>1</v>
      </c>
      <c r="F78">
        <f>'[1]CDV Lysate'!G41</f>
        <v>29</v>
      </c>
      <c r="G78">
        <f>'[1]CDV Lysate'!H41</f>
        <v>1.2549999999999999</v>
      </c>
      <c r="H78">
        <f>'[1]CDV Lysate'!I41</f>
        <v>230749</v>
      </c>
      <c r="I78" t="str">
        <f>'[1]CDV Lysate'!J41</f>
        <v>-----</v>
      </c>
      <c r="J78">
        <f>'[1]CDV Lysate'!K41</f>
        <v>1509.7</v>
      </c>
      <c r="K78" t="str">
        <f>'[1]CDV Lysate'!L41</f>
        <v>-----</v>
      </c>
      <c r="L78" t="str">
        <f>'[1]CDV Lysate'!M41</f>
        <v>-----</v>
      </c>
      <c r="M78" t="str">
        <f>'[1]CDV Lysate'!N41</f>
        <v>-----</v>
      </c>
      <c r="N78" t="str">
        <f>'[1]CDV Lysate'!O41</f>
        <v>-----</v>
      </c>
      <c r="O78">
        <f>'[1]CDV Lysate'!P41</f>
        <v>0</v>
      </c>
      <c r="P78">
        <f>'[1]CDV Lysate'!Q41</f>
        <v>24.24</v>
      </c>
      <c r="Q78">
        <f>'[1]CDV Lysate'!R41</f>
        <v>39.08</v>
      </c>
      <c r="R78" t="str">
        <f>'[1]CDV Lysate'!S41</f>
        <v>-----</v>
      </c>
      <c r="S78">
        <f>'[1]CDV Lysate'!T41</f>
        <v>1</v>
      </c>
      <c r="T78">
        <f>'[1]CDV Lysate'!U41</f>
        <v>106150</v>
      </c>
      <c r="U78">
        <f>'[1]CDV Lysate'!V41</f>
        <v>108075</v>
      </c>
      <c r="V78" t="str">
        <f>'[1]CDV Lysate'!W41</f>
        <v xml:space="preserve">   </v>
      </c>
      <c r="W78" s="77">
        <f>'[1]CDV Lysate'!X41</f>
        <v>43329.689930555556</v>
      </c>
      <c r="X78">
        <v>669</v>
      </c>
      <c r="Y78" t="s">
        <v>4</v>
      </c>
      <c r="Z78" t="s">
        <v>28</v>
      </c>
      <c r="AA78">
        <v>72</v>
      </c>
    </row>
    <row r="79" spans="1:27" x14ac:dyDescent="0.25">
      <c r="A79" t="str">
        <f>'[1]CDV Lysate'!B42</f>
        <v>201-107_PL12_CDV_Lysate_081718_669_T72_lys3_CC-004-773_041.lcd</v>
      </c>
      <c r="B79" t="str">
        <f>'[1]CDV Lysate'!C42</f>
        <v>Unknown</v>
      </c>
      <c r="C79">
        <f>'[1]CDV Lysate'!D42</f>
        <v>0</v>
      </c>
      <c r="D79" t="str">
        <f>'[1]CDV Lysate'!E42</f>
        <v>669_T72_lys3</v>
      </c>
      <c r="E79">
        <f>'[1]CDV Lysate'!F42</f>
        <v>1</v>
      </c>
      <c r="F79">
        <f>'[1]CDV Lysate'!G42</f>
        <v>30</v>
      </c>
      <c r="G79">
        <f>'[1]CDV Lysate'!H42</f>
        <v>1.254</v>
      </c>
      <c r="H79">
        <f>'[1]CDV Lysate'!I42</f>
        <v>260937</v>
      </c>
      <c r="I79" t="str">
        <f>'[1]CDV Lysate'!J42</f>
        <v>-----</v>
      </c>
      <c r="J79">
        <f>'[1]CDV Lysate'!K42</f>
        <v>1706.7</v>
      </c>
      <c r="K79" t="str">
        <f>'[1]CDV Lysate'!L42</f>
        <v>-----</v>
      </c>
      <c r="L79" t="str">
        <f>'[1]CDV Lysate'!M42</f>
        <v>-----</v>
      </c>
      <c r="M79" t="str">
        <f>'[1]CDV Lysate'!N42</f>
        <v>-----</v>
      </c>
      <c r="N79" t="str">
        <f>'[1]CDV Lysate'!O42</f>
        <v>-----</v>
      </c>
      <c r="O79">
        <f>'[1]CDV Lysate'!P42</f>
        <v>0</v>
      </c>
      <c r="P79">
        <f>'[1]CDV Lysate'!Q42</f>
        <v>26.37</v>
      </c>
      <c r="Q79">
        <f>'[1]CDV Lysate'!R42</f>
        <v>38.4</v>
      </c>
      <c r="R79" t="str">
        <f>'[1]CDV Lysate'!S42</f>
        <v>-----</v>
      </c>
      <c r="S79">
        <f>'[1]CDV Lysate'!T42</f>
        <v>1</v>
      </c>
      <c r="T79">
        <f>'[1]CDV Lysate'!U42</f>
        <v>118189</v>
      </c>
      <c r="U79">
        <f>'[1]CDV Lysate'!V42</f>
        <v>121397</v>
      </c>
      <c r="V79" t="str">
        <f>'[1]CDV Lysate'!W42</f>
        <v xml:space="preserve">   </v>
      </c>
      <c r="W79" s="77">
        <f>'[1]CDV Lysate'!X42</f>
        <v>43329.692337962966</v>
      </c>
      <c r="X79">
        <v>669</v>
      </c>
      <c r="Y79" t="s">
        <v>4</v>
      </c>
      <c r="Z79" t="s">
        <v>28</v>
      </c>
      <c r="AA79">
        <v>72</v>
      </c>
    </row>
    <row r="80" spans="1:27" x14ac:dyDescent="0.25">
      <c r="A80" t="str">
        <f>'[1]PL13 CDVPP Lysate'!B40</f>
        <v>201-107_PL13_CDVPP_Lysate_669_T72_lys1_CC-004-773_039.lcd</v>
      </c>
      <c r="B80" t="str">
        <f>'[1]PL13 CDVPP Lysate'!C40</f>
        <v>Unknown</v>
      </c>
      <c r="C80">
        <f>'[1]PL13 CDVPP Lysate'!D40</f>
        <v>0</v>
      </c>
      <c r="D80" t="str">
        <f>'[1]PL13 CDVPP Lysate'!E40</f>
        <v>669_T72_lys1</v>
      </c>
      <c r="E80">
        <f>'[1]PL13 CDVPP Lysate'!F40</f>
        <v>2</v>
      </c>
      <c r="F80">
        <f>'[1]PL13 CDVPP Lysate'!G40</f>
        <v>28</v>
      </c>
      <c r="G80">
        <f>'[1]PL13 CDVPP Lysate'!H40</f>
        <v>2.2789999999999999</v>
      </c>
      <c r="H80">
        <f>'[1]PL13 CDVPP Lysate'!I40</f>
        <v>1105431</v>
      </c>
      <c r="I80" t="str">
        <f>'[1]PL13 CDVPP Lysate'!J40</f>
        <v>-----</v>
      </c>
      <c r="J80">
        <f>'[1]PL13 CDVPP Lysate'!K40</f>
        <v>1292.9000000000001</v>
      </c>
      <c r="K80" t="str">
        <f>'[1]PL13 CDVPP Lysate'!L40</f>
        <v>-----</v>
      </c>
      <c r="L80" t="str">
        <f>'[1]PL13 CDVPP Lysate'!M40</f>
        <v>-----</v>
      </c>
      <c r="M80" t="str">
        <f>'[1]PL13 CDVPP Lysate'!N40</f>
        <v>-----</v>
      </c>
      <c r="N80" t="str">
        <f>'[1]PL13 CDVPP Lysate'!O40</f>
        <v>-----</v>
      </c>
      <c r="O80">
        <f>'[1]PL13 CDVPP Lysate'!P40</f>
        <v>0</v>
      </c>
      <c r="P80">
        <f>'[1]PL13 CDVPP Lysate'!Q40</f>
        <v>1334.51</v>
      </c>
      <c r="Q80">
        <f>'[1]PL13 CDVPP Lysate'!R40</f>
        <v>25.18</v>
      </c>
      <c r="R80" t="str">
        <f>'[1]PL13 CDVPP Lysate'!S40</f>
        <v>-----</v>
      </c>
      <c r="S80">
        <f>'[1]PL13 CDVPP Lysate'!T40</f>
        <v>1</v>
      </c>
      <c r="T80">
        <f>'[1]PL13 CDVPP Lysate'!U40</f>
        <v>591324</v>
      </c>
      <c r="U80">
        <f>'[1]PL13 CDVPP Lysate'!V40</f>
        <v>571953</v>
      </c>
      <c r="V80" t="str">
        <f>'[1]PL13 CDVPP Lysate'!W40</f>
        <v xml:space="preserve">   </v>
      </c>
      <c r="W80" s="77">
        <f>'[1]PL13 CDVPP Lysate'!X40</f>
        <v>43333.761701388888</v>
      </c>
      <c r="X80">
        <v>669</v>
      </c>
      <c r="Y80" t="s">
        <v>96</v>
      </c>
      <c r="Z80" t="s">
        <v>28</v>
      </c>
      <c r="AA80">
        <v>72</v>
      </c>
    </row>
    <row r="81" spans="1:27" x14ac:dyDescent="0.25">
      <c r="A81" t="str">
        <f>'[1]PL13 CDVPP Lysate'!B41</f>
        <v>201-107_PL13_CDVPP_Lysate_669_T72_lys2_CC-004-773_040.lcd</v>
      </c>
      <c r="B81" t="str">
        <f>'[1]PL13 CDVPP Lysate'!C41</f>
        <v>Unknown</v>
      </c>
      <c r="C81">
        <f>'[1]PL13 CDVPP Lysate'!D41</f>
        <v>0</v>
      </c>
      <c r="D81" t="str">
        <f>'[1]PL13 CDVPP Lysate'!E41</f>
        <v>669_T72_lys2</v>
      </c>
      <c r="E81">
        <f>'[1]PL13 CDVPP Lysate'!F41</f>
        <v>2</v>
      </c>
      <c r="F81">
        <f>'[1]PL13 CDVPP Lysate'!G41</f>
        <v>29</v>
      </c>
      <c r="G81">
        <f>'[1]PL13 CDVPP Lysate'!H41</f>
        <v>2.2759999999999998</v>
      </c>
      <c r="H81">
        <f>'[1]PL13 CDVPP Lysate'!I41</f>
        <v>1151393</v>
      </c>
      <c r="I81" t="str">
        <f>'[1]PL13 CDVPP Lysate'!J41</f>
        <v>-----</v>
      </c>
      <c r="J81">
        <f>'[1]PL13 CDVPP Lysate'!K41</f>
        <v>1346.7</v>
      </c>
      <c r="K81" t="str">
        <f>'[1]PL13 CDVPP Lysate'!L41</f>
        <v>-----</v>
      </c>
      <c r="L81" t="str">
        <f>'[1]PL13 CDVPP Lysate'!M41</f>
        <v>-----</v>
      </c>
      <c r="M81" t="str">
        <f>'[1]PL13 CDVPP Lysate'!N41</f>
        <v>-----</v>
      </c>
      <c r="N81" t="str">
        <f>'[1]PL13 CDVPP Lysate'!O41</f>
        <v>-----</v>
      </c>
      <c r="O81">
        <f>'[1]PL13 CDVPP Lysate'!P41</f>
        <v>0</v>
      </c>
      <c r="P81">
        <f>'[1]PL13 CDVPP Lysate'!Q41</f>
        <v>1174.0899999999999</v>
      </c>
      <c r="Q81">
        <f>'[1]PL13 CDVPP Lysate'!R41</f>
        <v>25.19</v>
      </c>
      <c r="R81" t="str">
        <f>'[1]PL13 CDVPP Lysate'!S41</f>
        <v>-----</v>
      </c>
      <c r="S81">
        <f>'[1]PL13 CDVPP Lysate'!T41</f>
        <v>1</v>
      </c>
      <c r="T81">
        <f>'[1]PL13 CDVPP Lysate'!U41</f>
        <v>626328</v>
      </c>
      <c r="U81">
        <f>'[1]PL13 CDVPP Lysate'!V41</f>
        <v>615853</v>
      </c>
      <c r="V81" t="str">
        <f>'[1]PL13 CDVPP Lysate'!W41</f>
        <v xml:space="preserve">   </v>
      </c>
      <c r="W81" s="77">
        <f>'[1]PL13 CDVPP Lysate'!X41</f>
        <v>43333.765277777777</v>
      </c>
      <c r="X81">
        <v>669</v>
      </c>
      <c r="Y81" t="s">
        <v>96</v>
      </c>
      <c r="Z81" t="s">
        <v>28</v>
      </c>
      <c r="AA81">
        <v>72</v>
      </c>
    </row>
    <row r="82" spans="1:27" x14ac:dyDescent="0.25">
      <c r="A82" t="str">
        <f>'[1]PL13 CDVPP Lysate'!B42</f>
        <v>201-107_PL13_CDVPP_Lysate_669_T72_lys3_CC-004-773_041.lcd</v>
      </c>
      <c r="B82" t="str">
        <f>'[1]PL13 CDVPP Lysate'!C42</f>
        <v>Unknown</v>
      </c>
      <c r="C82">
        <f>'[1]PL13 CDVPP Lysate'!D42</f>
        <v>0</v>
      </c>
      <c r="D82" t="str">
        <f>'[1]PL13 CDVPP Lysate'!E42</f>
        <v>669_T72_lys3</v>
      </c>
      <c r="E82">
        <f>'[1]PL13 CDVPP Lysate'!F42</f>
        <v>2</v>
      </c>
      <c r="F82">
        <f>'[1]PL13 CDVPP Lysate'!G42</f>
        <v>30</v>
      </c>
      <c r="G82">
        <f>'[1]PL13 CDVPP Lysate'!H42</f>
        <v>2.2789999999999999</v>
      </c>
      <c r="H82">
        <f>'[1]PL13 CDVPP Lysate'!I42</f>
        <v>1216406</v>
      </c>
      <c r="I82" t="str">
        <f>'[1]PL13 CDVPP Lysate'!J42</f>
        <v>-----</v>
      </c>
      <c r="J82">
        <f>'[1]PL13 CDVPP Lysate'!K42</f>
        <v>1422.7</v>
      </c>
      <c r="K82" t="str">
        <f>'[1]PL13 CDVPP Lysate'!L42</f>
        <v>-----</v>
      </c>
      <c r="L82" t="str">
        <f>'[1]PL13 CDVPP Lysate'!M42</f>
        <v>-----</v>
      </c>
      <c r="M82" t="str">
        <f>'[1]PL13 CDVPP Lysate'!N42</f>
        <v>-----</v>
      </c>
      <c r="N82" t="str">
        <f>'[1]PL13 CDVPP Lysate'!O42</f>
        <v>-----</v>
      </c>
      <c r="O82">
        <f>'[1]PL13 CDVPP Lysate'!P42</f>
        <v>0</v>
      </c>
      <c r="P82">
        <f>'[1]PL13 CDVPP Lysate'!Q42</f>
        <v>1301.18</v>
      </c>
      <c r="Q82">
        <f>'[1]PL13 CDVPP Lysate'!R42</f>
        <v>25.19</v>
      </c>
      <c r="R82" t="str">
        <f>'[1]PL13 CDVPP Lysate'!S42</f>
        <v>-----</v>
      </c>
      <c r="S82">
        <f>'[1]PL13 CDVPP Lysate'!T42</f>
        <v>1</v>
      </c>
      <c r="T82">
        <f>'[1]PL13 CDVPP Lysate'!U42</f>
        <v>645191</v>
      </c>
      <c r="U82">
        <f>'[1]PL13 CDVPP Lysate'!V42</f>
        <v>629904</v>
      </c>
      <c r="V82" t="str">
        <f>'[1]PL13 CDVPP Lysate'!W42</f>
        <v xml:space="preserve">   </v>
      </c>
      <c r="W82" s="77">
        <f>'[1]PL13 CDVPP Lysate'!X42</f>
        <v>43333.768865740742</v>
      </c>
      <c r="X82">
        <v>669</v>
      </c>
      <c r="Y82" t="s">
        <v>96</v>
      </c>
      <c r="Z82" t="s">
        <v>28</v>
      </c>
      <c r="AA82">
        <v>72</v>
      </c>
    </row>
    <row r="83" spans="1:27" x14ac:dyDescent="0.25">
      <c r="A83" t="str">
        <f>'[1]PL 14 CDV Media'!B58</f>
        <v>201-107_PL14_CDV_CDV_T0_ds1_CC-004-778_067.lcd</v>
      </c>
      <c r="B83" t="str">
        <f>'[1]PL 14 CDV Media'!C58</f>
        <v>Unknown</v>
      </c>
      <c r="C83">
        <f>'[1]PL 14 CDV Media'!D58</f>
        <v>0</v>
      </c>
      <c r="D83" t="str">
        <f>'[1]PL 14 CDV Media'!E58</f>
        <v>CDV_T0_ds1</v>
      </c>
      <c r="E83">
        <f>'[1]PL 14 CDV Media'!F58</f>
        <v>1</v>
      </c>
      <c r="F83">
        <f>'[1]PL 14 CDV Media'!G58</f>
        <v>40</v>
      </c>
      <c r="G83">
        <f>'[1]PL 14 CDV Media'!H58</f>
        <v>1.252</v>
      </c>
      <c r="H83">
        <f>'[1]PL 14 CDV Media'!I58</f>
        <v>8073</v>
      </c>
      <c r="I83" t="str">
        <f>'[1]PL 14 CDV Media'!J58</f>
        <v>-----</v>
      </c>
      <c r="J83">
        <f>'[1]PL 14 CDV Media'!K58</f>
        <v>1315.2</v>
      </c>
      <c r="K83" t="str">
        <f>'[1]PL 14 CDV Media'!L58</f>
        <v>-----</v>
      </c>
      <c r="L83" t="str">
        <f>'[1]PL 14 CDV Media'!M58</f>
        <v>-----</v>
      </c>
      <c r="M83" t="str">
        <f>'[1]PL 14 CDV Media'!N58</f>
        <v>-----</v>
      </c>
      <c r="N83" t="str">
        <f>'[1]PL 14 CDV Media'!O58</f>
        <v>-----</v>
      </c>
      <c r="O83">
        <f>'[1]PL 14 CDV Media'!P58</f>
        <v>0</v>
      </c>
      <c r="P83">
        <f>'[1]PL 14 CDV Media'!Q58</f>
        <v>4.8899999999999997</v>
      </c>
      <c r="Q83">
        <f>'[1]PL 14 CDV Media'!R58</f>
        <v>41.53</v>
      </c>
      <c r="R83" t="str">
        <f>'[1]PL 14 CDV Media'!S58</f>
        <v>-----</v>
      </c>
      <c r="S83">
        <f>'[1]PL 14 CDV Media'!T58</f>
        <v>1</v>
      </c>
      <c r="T83">
        <f>'[1]PL 14 CDV Media'!U58</f>
        <v>3305</v>
      </c>
      <c r="U83">
        <f>'[1]PL 14 CDV Media'!V58</f>
        <v>3316</v>
      </c>
      <c r="V83" t="str">
        <f>'[1]PL 14 CDV Media'!W58</f>
        <v xml:space="preserve">   </v>
      </c>
      <c r="W83" s="77">
        <f>'[1]PL 14 CDV Media'!X58</f>
        <v>43335.959548611114</v>
      </c>
      <c r="X83" t="s">
        <v>4</v>
      </c>
      <c r="Y83" t="s">
        <v>4</v>
      </c>
      <c r="Z83" t="s">
        <v>27</v>
      </c>
      <c r="AA83">
        <v>0</v>
      </c>
    </row>
    <row r="84" spans="1:27" x14ac:dyDescent="0.25">
      <c r="A84" t="str">
        <f>'[1]PL 14 CDV Media'!B59</f>
        <v>201-107_PL14_CDV_CDV_T0_ds2_CC-004-778_068.lcd</v>
      </c>
      <c r="B84" t="str">
        <f>'[1]PL 14 CDV Media'!C59</f>
        <v>Unknown</v>
      </c>
      <c r="C84">
        <f>'[1]PL 14 CDV Media'!D59</f>
        <v>0</v>
      </c>
      <c r="D84" t="str">
        <f>'[1]PL 14 CDV Media'!E59</f>
        <v>CDV_T0_ds2</v>
      </c>
      <c r="E84">
        <f>'[1]PL 14 CDV Media'!F59</f>
        <v>1</v>
      </c>
      <c r="F84">
        <f>'[1]PL 14 CDV Media'!G59</f>
        <v>41</v>
      </c>
      <c r="G84">
        <f>'[1]PL 14 CDV Media'!H59</f>
        <v>1.246</v>
      </c>
      <c r="H84">
        <f>'[1]PL 14 CDV Media'!I59</f>
        <v>7033</v>
      </c>
      <c r="I84" t="str">
        <f>'[1]PL 14 CDV Media'!J59</f>
        <v>-----</v>
      </c>
      <c r="J84">
        <f>'[1]PL 14 CDV Media'!K59</f>
        <v>1146.0999999999999</v>
      </c>
      <c r="K84" t="str">
        <f>'[1]PL 14 CDV Media'!L59</f>
        <v>-----</v>
      </c>
      <c r="L84" t="str">
        <f>'[1]PL 14 CDV Media'!M59</f>
        <v>-----</v>
      </c>
      <c r="M84" t="str">
        <f>'[1]PL 14 CDV Media'!N59</f>
        <v>-----</v>
      </c>
      <c r="N84" t="str">
        <f>'[1]PL 14 CDV Media'!O59</f>
        <v>-----</v>
      </c>
      <c r="O84">
        <f>'[1]PL 14 CDV Media'!P59</f>
        <v>0</v>
      </c>
      <c r="P84">
        <f>'[1]PL 14 CDV Media'!Q59</f>
        <v>4.1900000000000004</v>
      </c>
      <c r="Q84">
        <f>'[1]PL 14 CDV Media'!R59</f>
        <v>42.78</v>
      </c>
      <c r="R84" t="str">
        <f>'[1]PL 14 CDV Media'!S59</f>
        <v>-----</v>
      </c>
      <c r="S84">
        <f>'[1]PL 14 CDV Media'!T59</f>
        <v>1</v>
      </c>
      <c r="T84">
        <f>'[1]PL 14 CDV Media'!U59</f>
        <v>2526</v>
      </c>
      <c r="U84">
        <f>'[1]PL 14 CDV Media'!V59</f>
        <v>2590</v>
      </c>
      <c r="V84" t="str">
        <f>'[1]PL 14 CDV Media'!W59</f>
        <v xml:space="preserve">   </v>
      </c>
      <c r="W84" s="77">
        <f>'[1]PL 14 CDV Media'!X59</f>
        <v>43335.96199074074</v>
      </c>
      <c r="X84" t="s">
        <v>4</v>
      </c>
      <c r="Y84" t="s">
        <v>4</v>
      </c>
      <c r="Z84" t="s">
        <v>27</v>
      </c>
      <c r="AA84">
        <v>0</v>
      </c>
    </row>
    <row r="85" spans="1:27" x14ac:dyDescent="0.25">
      <c r="A85" t="str">
        <f>'[1]PL 14 CDV Media'!B60</f>
        <v>201-107_PL14_CDV_CDV_T0_ds3_CC-004-778_069.lcd</v>
      </c>
      <c r="B85" t="str">
        <f>'[1]PL 14 CDV Media'!C60</f>
        <v>Unknown</v>
      </c>
      <c r="C85">
        <f>'[1]PL 14 CDV Media'!D60</f>
        <v>0</v>
      </c>
      <c r="D85" t="str">
        <f>'[1]PL 14 CDV Media'!E60</f>
        <v>CDV_T0_ds3</v>
      </c>
      <c r="E85">
        <f>'[1]PL 14 CDV Media'!F60</f>
        <v>1</v>
      </c>
      <c r="F85">
        <f>'[1]PL 14 CDV Media'!G60</f>
        <v>42</v>
      </c>
      <c r="G85">
        <f>'[1]PL 14 CDV Media'!H60</f>
        <v>1.2509999999999999</v>
      </c>
      <c r="H85">
        <f>'[1]PL 14 CDV Media'!I60</f>
        <v>6545</v>
      </c>
      <c r="I85" t="str">
        <f>'[1]PL 14 CDV Media'!J60</f>
        <v>-----</v>
      </c>
      <c r="J85">
        <f>'[1]PL 14 CDV Media'!K60</f>
        <v>1066.7</v>
      </c>
      <c r="K85" t="str">
        <f>'[1]PL 14 CDV Media'!L60</f>
        <v>-----</v>
      </c>
      <c r="L85" t="str">
        <f>'[1]PL 14 CDV Media'!M60</f>
        <v>-----</v>
      </c>
      <c r="M85" t="str">
        <f>'[1]PL 14 CDV Media'!N60</f>
        <v>-----</v>
      </c>
      <c r="N85" t="str">
        <f>'[1]PL 14 CDV Media'!O60</f>
        <v>-----</v>
      </c>
      <c r="O85">
        <f>'[1]PL 14 CDV Media'!P60</f>
        <v>0</v>
      </c>
      <c r="P85">
        <f>'[1]PL 14 CDV Media'!Q60</f>
        <v>6.63</v>
      </c>
      <c r="Q85">
        <f>'[1]PL 14 CDV Media'!R60</f>
        <v>38.92</v>
      </c>
      <c r="R85" t="str">
        <f>'[1]PL 14 CDV Media'!S60</f>
        <v>-----</v>
      </c>
      <c r="S85">
        <f>'[1]PL 14 CDV Media'!T60</f>
        <v>1</v>
      </c>
      <c r="T85">
        <f>'[1]PL 14 CDV Media'!U60</f>
        <v>2575</v>
      </c>
      <c r="U85">
        <f>'[1]PL 14 CDV Media'!V60</f>
        <v>2618</v>
      </c>
      <c r="V85" t="str">
        <f>'[1]PL 14 CDV Media'!W60</f>
        <v xml:space="preserve">   </v>
      </c>
      <c r="W85" s="77">
        <f>'[1]PL 14 CDV Media'!X60</f>
        <v>43335.964432870373</v>
      </c>
      <c r="X85" t="s">
        <v>4</v>
      </c>
      <c r="Y85" t="s">
        <v>4</v>
      </c>
      <c r="Z85" t="s">
        <v>27</v>
      </c>
      <c r="AA85">
        <v>0</v>
      </c>
    </row>
    <row r="86" spans="1:27" x14ac:dyDescent="0.25">
      <c r="A86" t="str">
        <f>'[1]PL 14 CDV Media'!B61</f>
        <v>201-107_PL14_CDV_CDV_T72_ds1_CC-004-778_071.lcd</v>
      </c>
      <c r="B86" t="str">
        <f>'[1]PL 14 CDV Media'!C61</f>
        <v>Unknown</v>
      </c>
      <c r="C86">
        <f>'[1]PL 14 CDV Media'!D61</f>
        <v>0</v>
      </c>
      <c r="D86" t="str">
        <f>'[1]PL 14 CDV Media'!E61</f>
        <v>CDV_T72_ds1</v>
      </c>
      <c r="E86">
        <f>'[1]PL 14 CDV Media'!F61</f>
        <v>1</v>
      </c>
      <c r="F86">
        <f>'[1]PL 14 CDV Media'!G61</f>
        <v>52</v>
      </c>
      <c r="G86">
        <f>'[1]PL 14 CDV Media'!H61</f>
        <v>1.2549999999999999</v>
      </c>
      <c r="H86">
        <f>'[1]PL 14 CDV Media'!I61</f>
        <v>8070</v>
      </c>
      <c r="I86" t="str">
        <f>'[1]PL 14 CDV Media'!J61</f>
        <v>-----</v>
      </c>
      <c r="J86">
        <f>'[1]PL 14 CDV Media'!K61</f>
        <v>1314.6</v>
      </c>
      <c r="K86" t="str">
        <f>'[1]PL 14 CDV Media'!L61</f>
        <v>-----</v>
      </c>
      <c r="L86" t="str">
        <f>'[1]PL 14 CDV Media'!M61</f>
        <v>-----</v>
      </c>
      <c r="M86" t="str">
        <f>'[1]PL 14 CDV Media'!N61</f>
        <v>-----</v>
      </c>
      <c r="N86" t="str">
        <f>'[1]PL 14 CDV Media'!O61</f>
        <v>-----</v>
      </c>
      <c r="O86">
        <f>'[1]PL 14 CDV Media'!P61</f>
        <v>0</v>
      </c>
      <c r="P86">
        <f>'[1]PL 14 CDV Media'!Q61</f>
        <v>5.81</v>
      </c>
      <c r="Q86">
        <f>'[1]PL 14 CDV Media'!R61</f>
        <v>28.81</v>
      </c>
      <c r="R86" t="str">
        <f>'[1]PL 14 CDV Media'!S61</f>
        <v>-----</v>
      </c>
      <c r="S86">
        <f>'[1]PL 14 CDV Media'!T61</f>
        <v>1</v>
      </c>
      <c r="T86">
        <f>'[1]PL 14 CDV Media'!U61</f>
        <v>3352</v>
      </c>
      <c r="U86">
        <f>'[1]PL 14 CDV Media'!V61</f>
        <v>3405</v>
      </c>
      <c r="V86" t="str">
        <f>'[1]PL 14 CDV Media'!W61</f>
        <v xml:space="preserve">   </v>
      </c>
      <c r="W86" s="77">
        <f>'[1]PL 14 CDV Media'!X61</f>
        <v>43335.969270833331</v>
      </c>
      <c r="X86" t="s">
        <v>4</v>
      </c>
      <c r="Y86" t="s">
        <v>4</v>
      </c>
      <c r="Z86" t="s">
        <v>27</v>
      </c>
      <c r="AA86">
        <v>72</v>
      </c>
    </row>
    <row r="87" spans="1:27" x14ac:dyDescent="0.25">
      <c r="A87" t="str">
        <f>'[1]PL 14 CDV Media'!B62</f>
        <v>201-107_PL14_CDV_CDV_T72_ds2_CC-004-778_072.lcd</v>
      </c>
      <c r="B87" t="str">
        <f>'[1]PL 14 CDV Media'!C62</f>
        <v>Unknown</v>
      </c>
      <c r="C87">
        <f>'[1]PL 14 CDV Media'!D62</f>
        <v>0</v>
      </c>
      <c r="D87" t="str">
        <f>'[1]PL 14 CDV Media'!E62</f>
        <v>CDV_T72_ds2</v>
      </c>
      <c r="E87">
        <f>'[1]PL 14 CDV Media'!F62</f>
        <v>1</v>
      </c>
      <c r="F87">
        <f>'[1]PL 14 CDV Media'!G62</f>
        <v>53</v>
      </c>
      <c r="G87">
        <f>'[1]PL 14 CDV Media'!H62</f>
        <v>1.2470000000000001</v>
      </c>
      <c r="H87">
        <f>'[1]PL 14 CDV Media'!I62</f>
        <v>6934</v>
      </c>
      <c r="I87" t="str">
        <f>'[1]PL 14 CDV Media'!J62</f>
        <v>-----</v>
      </c>
      <c r="J87">
        <f>'[1]PL 14 CDV Media'!K62</f>
        <v>1130</v>
      </c>
      <c r="K87" t="str">
        <f>'[1]PL 14 CDV Media'!L62</f>
        <v>-----</v>
      </c>
      <c r="L87" t="str">
        <f>'[1]PL 14 CDV Media'!M62</f>
        <v>-----</v>
      </c>
      <c r="M87" t="str">
        <f>'[1]PL 14 CDV Media'!N62</f>
        <v>-----</v>
      </c>
      <c r="N87" t="str">
        <f>'[1]PL 14 CDV Media'!O62</f>
        <v>-----</v>
      </c>
      <c r="O87">
        <f>'[1]PL 14 CDV Media'!P62</f>
        <v>0</v>
      </c>
      <c r="P87">
        <f>'[1]PL 14 CDV Media'!Q62</f>
        <v>4.4400000000000004</v>
      </c>
      <c r="Q87">
        <f>'[1]PL 14 CDV Media'!R62</f>
        <v>49.89</v>
      </c>
      <c r="R87" t="str">
        <f>'[1]PL 14 CDV Media'!S62</f>
        <v>-----</v>
      </c>
      <c r="S87">
        <f>'[1]PL 14 CDV Media'!T62</f>
        <v>1</v>
      </c>
      <c r="T87">
        <f>'[1]PL 14 CDV Media'!U62</f>
        <v>2716</v>
      </c>
      <c r="U87">
        <f>'[1]PL 14 CDV Media'!V62</f>
        <v>2792</v>
      </c>
      <c r="V87" t="str">
        <f>'[1]PL 14 CDV Media'!W62</f>
        <v xml:space="preserve">   </v>
      </c>
      <c r="W87" s="77">
        <f>'[1]PL 14 CDV Media'!X62</f>
        <v>43335.971689814818</v>
      </c>
      <c r="X87" t="s">
        <v>4</v>
      </c>
      <c r="Y87" t="s">
        <v>4</v>
      </c>
      <c r="Z87" t="s">
        <v>27</v>
      </c>
      <c r="AA87">
        <v>72</v>
      </c>
    </row>
    <row r="88" spans="1:27" x14ac:dyDescent="0.25">
      <c r="A88" t="str">
        <f>'[1]PL 14 CDV Media'!B63</f>
        <v>201-107_PL14_CDV_CDV_T72_ds3_CC-004-778_073.lcd</v>
      </c>
      <c r="B88" t="str">
        <f>'[1]PL 14 CDV Media'!C63</f>
        <v>Unknown</v>
      </c>
      <c r="C88">
        <f>'[1]PL 14 CDV Media'!D63</f>
        <v>0</v>
      </c>
      <c r="D88" t="str">
        <f>'[1]PL 14 CDV Media'!E63</f>
        <v>CDV_T72_ds3</v>
      </c>
      <c r="E88">
        <f>'[1]PL 14 CDV Media'!F63</f>
        <v>1</v>
      </c>
      <c r="F88">
        <f>'[1]PL 14 CDV Media'!G63</f>
        <v>54</v>
      </c>
      <c r="G88">
        <f>'[1]PL 14 CDV Media'!H63</f>
        <v>1.2490000000000001</v>
      </c>
      <c r="H88">
        <f>'[1]PL 14 CDV Media'!I63</f>
        <v>7214</v>
      </c>
      <c r="I88" t="str">
        <f>'[1]PL 14 CDV Media'!J63</f>
        <v>-----</v>
      </c>
      <c r="J88">
        <f>'[1]PL 14 CDV Media'!K63</f>
        <v>1175.5</v>
      </c>
      <c r="K88" t="str">
        <f>'[1]PL 14 CDV Media'!L63</f>
        <v>-----</v>
      </c>
      <c r="L88" t="str">
        <f>'[1]PL 14 CDV Media'!M63</f>
        <v>-----</v>
      </c>
      <c r="M88" t="str">
        <f>'[1]PL 14 CDV Media'!N63</f>
        <v>-----</v>
      </c>
      <c r="N88" t="str">
        <f>'[1]PL 14 CDV Media'!O63</f>
        <v>-----</v>
      </c>
      <c r="O88">
        <f>'[1]PL 14 CDV Media'!P63</f>
        <v>0</v>
      </c>
      <c r="P88">
        <f>'[1]PL 14 CDV Media'!Q63</f>
        <v>3.37</v>
      </c>
      <c r="Q88">
        <f>'[1]PL 14 CDV Media'!R63</f>
        <v>37.01</v>
      </c>
      <c r="R88" t="str">
        <f>'[1]PL 14 CDV Media'!S63</f>
        <v>-----</v>
      </c>
      <c r="S88">
        <f>'[1]PL 14 CDV Media'!T63</f>
        <v>1</v>
      </c>
      <c r="T88">
        <f>'[1]PL 14 CDV Media'!U63</f>
        <v>3081</v>
      </c>
      <c r="U88">
        <f>'[1]PL 14 CDV Media'!V63</f>
        <v>3083</v>
      </c>
      <c r="V88" t="str">
        <f>'[1]PL 14 CDV Media'!W63</f>
        <v xml:space="preserve">   </v>
      </c>
      <c r="W88" s="77">
        <f>'[1]PL 14 CDV Media'!X63</f>
        <v>43335.974120370367</v>
      </c>
      <c r="X88" t="s">
        <v>4</v>
      </c>
      <c r="Y88" t="s">
        <v>4</v>
      </c>
      <c r="Z88" t="s">
        <v>27</v>
      </c>
      <c r="AA88">
        <v>72</v>
      </c>
    </row>
    <row r="89" spans="1:27" x14ac:dyDescent="0.25">
      <c r="A89" t="str">
        <f>'[1]PL 14 CDV Media'!B64</f>
        <v>201-107_PL14_CDV_CDV_T72_med1_CC-004-778_075.lcd</v>
      </c>
      <c r="B89" t="str">
        <f>'[1]PL 14 CDV Media'!C64</f>
        <v>Unknown</v>
      </c>
      <c r="C89">
        <f>'[1]PL 14 CDV Media'!D64</f>
        <v>0</v>
      </c>
      <c r="D89" t="str">
        <f>'[1]PL 14 CDV Media'!E64</f>
        <v>CDV_T72_med1</v>
      </c>
      <c r="E89">
        <f>'[1]PL 14 CDV Media'!F64</f>
        <v>1</v>
      </c>
      <c r="F89">
        <f>'[1]PL 14 CDV Media'!G64</f>
        <v>64</v>
      </c>
      <c r="G89">
        <f>'[1]PL 14 CDV Media'!H64</f>
        <v>1.2549999999999999</v>
      </c>
      <c r="H89">
        <f>'[1]PL 14 CDV Media'!I64</f>
        <v>7891</v>
      </c>
      <c r="I89" t="str">
        <f>'[1]PL 14 CDV Media'!J64</f>
        <v>-----</v>
      </c>
      <c r="J89">
        <f>'[1]PL 14 CDV Media'!K64</f>
        <v>1285.5</v>
      </c>
      <c r="K89" t="str">
        <f>'[1]PL 14 CDV Media'!L64</f>
        <v>-----</v>
      </c>
      <c r="L89" t="str">
        <f>'[1]PL 14 CDV Media'!M64</f>
        <v>-----</v>
      </c>
      <c r="M89" t="str">
        <f>'[1]PL 14 CDV Media'!N64</f>
        <v>-----</v>
      </c>
      <c r="N89" t="str">
        <f>'[1]PL 14 CDV Media'!O64</f>
        <v>-----</v>
      </c>
      <c r="O89">
        <f>'[1]PL 14 CDV Media'!P64</f>
        <v>0</v>
      </c>
      <c r="P89">
        <f>'[1]PL 14 CDV Media'!Q64</f>
        <v>6.6</v>
      </c>
      <c r="Q89">
        <f>'[1]PL 14 CDV Media'!R64</f>
        <v>31.95</v>
      </c>
      <c r="R89" t="str">
        <f>'[1]PL 14 CDV Media'!S64</f>
        <v>-----</v>
      </c>
      <c r="S89">
        <f>'[1]PL 14 CDV Media'!T64</f>
        <v>1</v>
      </c>
      <c r="T89">
        <f>'[1]PL 14 CDV Media'!U64</f>
        <v>3431</v>
      </c>
      <c r="U89">
        <f>'[1]PL 14 CDV Media'!V64</f>
        <v>3480</v>
      </c>
      <c r="V89" t="str">
        <f>'[1]PL 14 CDV Media'!W64</f>
        <v xml:space="preserve">   </v>
      </c>
      <c r="W89" s="77">
        <f>'[1]PL 14 CDV Media'!X64</f>
        <v>43335.978946759256</v>
      </c>
      <c r="X89" t="s">
        <v>4</v>
      </c>
      <c r="Y89" t="s">
        <v>4</v>
      </c>
      <c r="Z89" t="s">
        <v>27</v>
      </c>
      <c r="AA89">
        <v>72</v>
      </c>
    </row>
    <row r="90" spans="1:27" x14ac:dyDescent="0.25">
      <c r="A90" t="str">
        <f>'[1]PL 14 CDV Media'!B65</f>
        <v>201-107_PL14_CDV_CDV_T72_med2_CC-004-778_076.lcd</v>
      </c>
      <c r="B90" t="str">
        <f>'[1]PL 14 CDV Media'!C65</f>
        <v>Unknown</v>
      </c>
      <c r="C90">
        <f>'[1]PL 14 CDV Media'!D65</f>
        <v>0</v>
      </c>
      <c r="D90" t="str">
        <f>'[1]PL 14 CDV Media'!E65</f>
        <v>CDV_T72_med2</v>
      </c>
      <c r="E90">
        <f>'[1]PL 14 CDV Media'!F65</f>
        <v>1</v>
      </c>
      <c r="F90">
        <f>'[1]PL 14 CDV Media'!G65</f>
        <v>65</v>
      </c>
      <c r="G90">
        <f>'[1]PL 14 CDV Media'!H65</f>
        <v>1.2549999999999999</v>
      </c>
      <c r="H90">
        <f>'[1]PL 14 CDV Media'!I65</f>
        <v>7878</v>
      </c>
      <c r="I90" t="str">
        <f>'[1]PL 14 CDV Media'!J65</f>
        <v>-----</v>
      </c>
      <c r="J90">
        <f>'[1]PL 14 CDV Media'!K65</f>
        <v>1283.5</v>
      </c>
      <c r="K90" t="str">
        <f>'[1]PL 14 CDV Media'!L65</f>
        <v>-----</v>
      </c>
      <c r="L90" t="str">
        <f>'[1]PL 14 CDV Media'!M65</f>
        <v>-----</v>
      </c>
      <c r="M90" t="str">
        <f>'[1]PL 14 CDV Media'!N65</f>
        <v>-----</v>
      </c>
      <c r="N90" t="str">
        <f>'[1]PL 14 CDV Media'!O65</f>
        <v>-----</v>
      </c>
      <c r="O90">
        <f>'[1]PL 14 CDV Media'!P65</f>
        <v>0</v>
      </c>
      <c r="P90">
        <f>'[1]PL 14 CDV Media'!Q65</f>
        <v>7.37</v>
      </c>
      <c r="Q90">
        <f>'[1]PL 14 CDV Media'!R65</f>
        <v>40.04</v>
      </c>
      <c r="R90" t="str">
        <f>'[1]PL 14 CDV Media'!S65</f>
        <v>-----</v>
      </c>
      <c r="S90">
        <f>'[1]PL 14 CDV Media'!T65</f>
        <v>1</v>
      </c>
      <c r="T90">
        <f>'[1]PL 14 CDV Media'!U65</f>
        <v>3063</v>
      </c>
      <c r="U90">
        <f>'[1]PL 14 CDV Media'!V65</f>
        <v>3077</v>
      </c>
      <c r="V90" t="str">
        <f>'[1]PL 14 CDV Media'!W65</f>
        <v xml:space="preserve">   </v>
      </c>
      <c r="W90" s="77">
        <f>'[1]PL 14 CDV Media'!X65</f>
        <v>43335.981354166666</v>
      </c>
      <c r="X90" t="s">
        <v>4</v>
      </c>
      <c r="Y90" t="s">
        <v>4</v>
      </c>
      <c r="Z90" t="s">
        <v>27</v>
      </c>
      <c r="AA90">
        <v>72</v>
      </c>
    </row>
    <row r="91" spans="1:27" x14ac:dyDescent="0.25">
      <c r="A91" t="str">
        <f>'[1]PL 14 CDV Media'!B66</f>
        <v>201-107_PL14_CDV_CDV_T72_med3_CC-004-778_077.lcd</v>
      </c>
      <c r="B91" t="str">
        <f>'[1]PL 14 CDV Media'!C66</f>
        <v>Unknown</v>
      </c>
      <c r="C91">
        <f>'[1]PL 14 CDV Media'!D66</f>
        <v>0</v>
      </c>
      <c r="D91" t="str">
        <f>'[1]PL 14 CDV Media'!E66</f>
        <v>CDV_T72_med3</v>
      </c>
      <c r="E91">
        <f>'[1]PL 14 CDV Media'!F66</f>
        <v>1</v>
      </c>
      <c r="F91">
        <f>'[1]PL 14 CDV Media'!G66</f>
        <v>66</v>
      </c>
      <c r="G91">
        <f>'[1]PL 14 CDV Media'!H66</f>
        <v>1.25</v>
      </c>
      <c r="H91">
        <f>'[1]PL 14 CDV Media'!I66</f>
        <v>7470</v>
      </c>
      <c r="I91" t="str">
        <f>'[1]PL 14 CDV Media'!J66</f>
        <v>-----</v>
      </c>
      <c r="J91">
        <f>'[1]PL 14 CDV Media'!K66</f>
        <v>1217.0999999999999</v>
      </c>
      <c r="K91" t="str">
        <f>'[1]PL 14 CDV Media'!L66</f>
        <v>-----</v>
      </c>
      <c r="L91" t="str">
        <f>'[1]PL 14 CDV Media'!M66</f>
        <v>-----</v>
      </c>
      <c r="M91" t="str">
        <f>'[1]PL 14 CDV Media'!N66</f>
        <v>-----</v>
      </c>
      <c r="N91" t="str">
        <f>'[1]PL 14 CDV Media'!O66</f>
        <v>-----</v>
      </c>
      <c r="O91">
        <f>'[1]PL 14 CDV Media'!P66</f>
        <v>0</v>
      </c>
      <c r="P91">
        <f>'[1]PL 14 CDV Media'!Q66</f>
        <v>4.68</v>
      </c>
      <c r="Q91">
        <f>'[1]PL 14 CDV Media'!R66</f>
        <v>38.549999999999997</v>
      </c>
      <c r="R91" t="str">
        <f>'[1]PL 14 CDV Media'!S66</f>
        <v>-----</v>
      </c>
      <c r="S91">
        <f>'[1]PL 14 CDV Media'!T66</f>
        <v>1</v>
      </c>
      <c r="T91">
        <f>'[1]PL 14 CDV Media'!U66</f>
        <v>2859</v>
      </c>
      <c r="U91">
        <f>'[1]PL 14 CDV Media'!V66</f>
        <v>2955</v>
      </c>
      <c r="V91" t="str">
        <f>'[1]PL 14 CDV Media'!W66</f>
        <v xml:space="preserve">   </v>
      </c>
      <c r="W91" s="77">
        <f>'[1]PL 14 CDV Media'!X66</f>
        <v>43335.983784722222</v>
      </c>
      <c r="X91" t="s">
        <v>4</v>
      </c>
      <c r="Y91" t="s">
        <v>4</v>
      </c>
      <c r="Z91" t="s">
        <v>27</v>
      </c>
      <c r="AA91">
        <v>72</v>
      </c>
    </row>
    <row r="92" spans="1:27" x14ac:dyDescent="0.25">
      <c r="A92" t="str">
        <f>'[1]CDV Lysate'!B44</f>
        <v>201-107_PL12_CDV_Lysate_081718_CDV_T72_lys1_CC-004-773_043.lcd</v>
      </c>
      <c r="B92" t="str">
        <f>'[1]CDV Lysate'!C44</f>
        <v>Unknown</v>
      </c>
      <c r="C92">
        <f>'[1]CDV Lysate'!D44</f>
        <v>0</v>
      </c>
      <c r="D92" t="str">
        <f>'[1]CDV Lysate'!E44</f>
        <v>CDV_T72_lys1</v>
      </c>
      <c r="E92">
        <f>'[1]CDV Lysate'!F44</f>
        <v>1</v>
      </c>
      <c r="F92">
        <f>'[1]CDV Lysate'!G44</f>
        <v>40</v>
      </c>
      <c r="G92">
        <f>'[1]CDV Lysate'!H44</f>
        <v>1.264</v>
      </c>
      <c r="H92">
        <f>'[1]CDV Lysate'!I44</f>
        <v>640</v>
      </c>
      <c r="I92" t="str">
        <f>'[1]CDV Lysate'!J44</f>
        <v>-----</v>
      </c>
      <c r="J92">
        <f>'[1]CDV Lysate'!K44</f>
        <v>8.1999999999999993</v>
      </c>
      <c r="K92" t="str">
        <f>'[1]CDV Lysate'!L44</f>
        <v>-----</v>
      </c>
      <c r="L92" t="str">
        <f>'[1]CDV Lysate'!M44</f>
        <v>-----</v>
      </c>
      <c r="M92" t="str">
        <f>'[1]CDV Lysate'!N44</f>
        <v>-----</v>
      </c>
      <c r="N92" t="str">
        <f>'[1]CDV Lysate'!O44</f>
        <v>-----</v>
      </c>
      <c r="O92" t="str">
        <f>'[1]CDV Lysate'!P44</f>
        <v>Quant.Range(Low)</v>
      </c>
      <c r="P92">
        <f>'[1]CDV Lysate'!Q44</f>
        <v>0.95</v>
      </c>
      <c r="Q92">
        <f>'[1]CDV Lysate'!R44</f>
        <v>36.229999999999997</v>
      </c>
      <c r="R92" t="str">
        <f>'[1]CDV Lysate'!S44</f>
        <v>-----</v>
      </c>
      <c r="S92">
        <f>'[1]CDV Lysate'!T44</f>
        <v>1</v>
      </c>
      <c r="T92">
        <f>'[1]CDV Lysate'!U44</f>
        <v>385</v>
      </c>
      <c r="U92">
        <f>'[1]CDV Lysate'!V44</f>
        <v>403</v>
      </c>
      <c r="V92" t="str">
        <f>'[1]CDV Lysate'!W44</f>
        <v xml:space="preserve">   </v>
      </c>
      <c r="W92" s="77">
        <f>'[1]CDV Lysate'!X44</f>
        <v>43329.697222222225</v>
      </c>
      <c r="X92" t="s">
        <v>4</v>
      </c>
      <c r="Y92" t="s">
        <v>4</v>
      </c>
      <c r="Z92" t="s">
        <v>28</v>
      </c>
      <c r="AA92">
        <v>72</v>
      </c>
    </row>
    <row r="93" spans="1:27" x14ac:dyDescent="0.25">
      <c r="A93" t="str">
        <f>'[1]CDV Lysate'!B45</f>
        <v>201-107_PL12_CDV_Lysate_081718_CDV_T72_lys2_CC-004-773_044.lcd</v>
      </c>
      <c r="B93" t="str">
        <f>'[1]CDV Lysate'!C45</f>
        <v>Unknown</v>
      </c>
      <c r="C93">
        <f>'[1]CDV Lysate'!D45</f>
        <v>0</v>
      </c>
      <c r="D93" t="str">
        <f>'[1]CDV Lysate'!E45</f>
        <v>CDV_T72_lys2</v>
      </c>
      <c r="E93">
        <f>'[1]CDV Lysate'!F45</f>
        <v>1</v>
      </c>
      <c r="F93">
        <f>'[1]CDV Lysate'!G45</f>
        <v>41</v>
      </c>
      <c r="G93">
        <f>'[1]CDV Lysate'!H45</f>
        <v>1.2689999999999999</v>
      </c>
      <c r="H93">
        <f>'[1]CDV Lysate'!I45</f>
        <v>922</v>
      </c>
      <c r="I93" t="str">
        <f>'[1]CDV Lysate'!J45</f>
        <v>-----</v>
      </c>
      <c r="J93">
        <f>'[1]CDV Lysate'!K45</f>
        <v>10.1</v>
      </c>
      <c r="K93" t="str">
        <f>'[1]CDV Lysate'!L45</f>
        <v>-----</v>
      </c>
      <c r="L93" t="str">
        <f>'[1]CDV Lysate'!M45</f>
        <v>-----</v>
      </c>
      <c r="M93" t="str">
        <f>'[1]CDV Lysate'!N45</f>
        <v>-----</v>
      </c>
      <c r="N93" t="str">
        <f>'[1]CDV Lysate'!O45</f>
        <v>-----</v>
      </c>
      <c r="O93">
        <f>'[1]CDV Lysate'!P45</f>
        <v>0</v>
      </c>
      <c r="P93">
        <f>'[1]CDV Lysate'!Q45</f>
        <v>0.98</v>
      </c>
      <c r="Q93">
        <f>'[1]CDV Lysate'!R45</f>
        <v>42.71</v>
      </c>
      <c r="R93" t="str">
        <f>'[1]CDV Lysate'!S45</f>
        <v>-----</v>
      </c>
      <c r="S93">
        <f>'[1]CDV Lysate'!T45</f>
        <v>1</v>
      </c>
      <c r="T93">
        <f>'[1]CDV Lysate'!U45</f>
        <v>363</v>
      </c>
      <c r="U93">
        <f>'[1]CDV Lysate'!V45</f>
        <v>377</v>
      </c>
      <c r="V93" t="str">
        <f>'[1]CDV Lysate'!W45</f>
        <v xml:space="preserve">   </v>
      </c>
      <c r="W93" s="77">
        <f>'[1]CDV Lysate'!X45</f>
        <v>43329.699675925927</v>
      </c>
      <c r="X93" t="s">
        <v>4</v>
      </c>
      <c r="Y93" t="s">
        <v>4</v>
      </c>
      <c r="Z93" t="s">
        <v>28</v>
      </c>
      <c r="AA93">
        <v>72</v>
      </c>
    </row>
    <row r="94" spans="1:27" x14ac:dyDescent="0.25">
      <c r="A94" t="str">
        <f>'[1]CDV Lysate'!B46</f>
        <v>201-107_PL12_CDV_Lysate_081718_CDV_T72_lys3_CC-004-773_045.lcd</v>
      </c>
      <c r="B94" t="str">
        <f>'[1]CDV Lysate'!C46</f>
        <v>Unknown</v>
      </c>
      <c r="C94">
        <f>'[1]CDV Lysate'!D46</f>
        <v>0</v>
      </c>
      <c r="D94" t="str">
        <f>'[1]CDV Lysate'!E46</f>
        <v>CDV_T72_lys3</v>
      </c>
      <c r="E94">
        <f>'[1]CDV Lysate'!F46</f>
        <v>1</v>
      </c>
      <c r="F94">
        <f>'[1]CDV Lysate'!G46</f>
        <v>42</v>
      </c>
      <c r="G94">
        <f>'[1]CDV Lysate'!H46</f>
        <v>1.2589999999999999</v>
      </c>
      <c r="H94">
        <f>'[1]CDV Lysate'!I46</f>
        <v>628</v>
      </c>
      <c r="I94" t="str">
        <f>'[1]CDV Lysate'!J46</f>
        <v>-----</v>
      </c>
      <c r="J94">
        <f>'[1]CDV Lysate'!K46</f>
        <v>8.1</v>
      </c>
      <c r="K94" t="str">
        <f>'[1]CDV Lysate'!L46</f>
        <v>-----</v>
      </c>
      <c r="L94" t="str">
        <f>'[1]CDV Lysate'!M46</f>
        <v>-----</v>
      </c>
      <c r="M94" t="str">
        <f>'[1]CDV Lysate'!N46</f>
        <v>-----</v>
      </c>
      <c r="N94" t="str">
        <f>'[1]CDV Lysate'!O46</f>
        <v>-----</v>
      </c>
      <c r="O94" t="str">
        <f>'[1]CDV Lysate'!P46</f>
        <v>Quant.Range(Low)</v>
      </c>
      <c r="P94">
        <f>'[1]CDV Lysate'!Q46</f>
        <v>0.27</v>
      </c>
      <c r="Q94">
        <f>'[1]CDV Lysate'!R46</f>
        <v>45.21</v>
      </c>
      <c r="R94" t="str">
        <f>'[1]CDV Lysate'!S46</f>
        <v>-----</v>
      </c>
      <c r="S94">
        <f>'[1]CDV Lysate'!T46</f>
        <v>1</v>
      </c>
      <c r="T94">
        <f>'[1]CDV Lysate'!U46</f>
        <v>320</v>
      </c>
      <c r="U94">
        <f>'[1]CDV Lysate'!V46</f>
        <v>334</v>
      </c>
      <c r="V94" t="str">
        <f>'[1]CDV Lysate'!W46</f>
        <v xml:space="preserve">   </v>
      </c>
      <c r="W94" s="77">
        <f>'[1]CDV Lysate'!X46</f>
        <v>43329.702118055553</v>
      </c>
      <c r="X94" t="s">
        <v>4</v>
      </c>
      <c r="Y94" t="s">
        <v>4</v>
      </c>
      <c r="Z94" t="s">
        <v>28</v>
      </c>
      <c r="AA94">
        <v>72</v>
      </c>
    </row>
    <row r="95" spans="1:27" x14ac:dyDescent="0.25">
      <c r="A95" t="str">
        <f>'[1]PL13 CDVPP Lysate'!B44</f>
        <v>201-107_PL13_CDVPP_Lysate_CDV_T72_lys1_CC-004-773_043.lcd</v>
      </c>
      <c r="B95" t="str">
        <f>'[1]PL13 CDVPP Lysate'!C44</f>
        <v>Unknown</v>
      </c>
      <c r="C95">
        <f>'[1]PL13 CDVPP Lysate'!D44</f>
        <v>0</v>
      </c>
      <c r="D95" t="str">
        <f>'[1]PL13 CDVPP Lysate'!E44</f>
        <v>CDV_T72_lys1</v>
      </c>
      <c r="E95">
        <f>'[1]PL13 CDVPP Lysate'!F44</f>
        <v>2</v>
      </c>
      <c r="F95">
        <f>'[1]PL13 CDVPP Lysate'!G44</f>
        <v>40</v>
      </c>
      <c r="G95">
        <f>'[1]PL13 CDVPP Lysate'!H44</f>
        <v>2.2810000000000001</v>
      </c>
      <c r="H95">
        <f>'[1]PL13 CDVPP Lysate'!I44</f>
        <v>1213</v>
      </c>
      <c r="I95" t="str">
        <f>'[1]PL13 CDVPP Lysate'!J44</f>
        <v>-----</v>
      </c>
      <c r="J95">
        <f>'[1]PL13 CDVPP Lysate'!K44</f>
        <v>1.9</v>
      </c>
      <c r="K95" t="str">
        <f>'[1]PL13 CDVPP Lysate'!L44</f>
        <v>-----</v>
      </c>
      <c r="L95" t="str">
        <f>'[1]PL13 CDVPP Lysate'!M44</f>
        <v>-----</v>
      </c>
      <c r="M95" t="str">
        <f>'[1]PL13 CDVPP Lysate'!N44</f>
        <v>-----</v>
      </c>
      <c r="N95" t="str">
        <f>'[1]PL13 CDVPP Lysate'!O44</f>
        <v>-----</v>
      </c>
      <c r="O95" t="str">
        <f>'[1]PL13 CDVPP Lysate'!P44</f>
        <v>Quant.Range(Low)</v>
      </c>
      <c r="P95">
        <f>'[1]PL13 CDVPP Lysate'!Q44</f>
        <v>14.36</v>
      </c>
      <c r="Q95">
        <f>'[1]PL13 CDVPP Lysate'!R44</f>
        <v>27.65</v>
      </c>
      <c r="R95" t="str">
        <f>'[1]PL13 CDVPP Lysate'!S44</f>
        <v>-----</v>
      </c>
      <c r="S95">
        <f>'[1]PL13 CDVPP Lysate'!T44</f>
        <v>1</v>
      </c>
      <c r="T95">
        <f>'[1]PL13 CDVPP Lysate'!U44</f>
        <v>751</v>
      </c>
      <c r="U95">
        <f>'[1]PL13 CDVPP Lysate'!V44</f>
        <v>745</v>
      </c>
      <c r="V95" t="str">
        <f>'[1]PL13 CDVPP Lysate'!W44</f>
        <v xml:space="preserve">   </v>
      </c>
      <c r="W95" s="77">
        <f>'[1]PL13 CDVPP Lysate'!X44</f>
        <v>43333.776006944441</v>
      </c>
      <c r="X95" t="s">
        <v>4</v>
      </c>
      <c r="Y95" t="s">
        <v>96</v>
      </c>
      <c r="Z95" t="s">
        <v>28</v>
      </c>
      <c r="AA95">
        <v>72</v>
      </c>
    </row>
    <row r="96" spans="1:27" x14ac:dyDescent="0.25">
      <c r="A96" t="str">
        <f>'[1]PL13 CDVPP Lysate'!B45</f>
        <v>201-107_PL13_CDVPP_Lysate_CDV_T72_lys2_CC-004-773_044.lcd</v>
      </c>
      <c r="B96" t="str">
        <f>'[1]PL13 CDVPP Lysate'!C45</f>
        <v>Unknown</v>
      </c>
      <c r="C96">
        <f>'[1]PL13 CDVPP Lysate'!D45</f>
        <v>0</v>
      </c>
      <c r="D96" t="str">
        <f>'[1]PL13 CDVPP Lysate'!E45</f>
        <v>CDV_T72_lys2</v>
      </c>
      <c r="E96">
        <f>'[1]PL13 CDVPP Lysate'!F45</f>
        <v>2</v>
      </c>
      <c r="F96">
        <f>'[1]PL13 CDVPP Lysate'!G45</f>
        <v>41</v>
      </c>
      <c r="G96">
        <f>'[1]PL13 CDVPP Lysate'!H45</f>
        <v>2.2799999999999998</v>
      </c>
      <c r="H96">
        <f>'[1]PL13 CDVPP Lysate'!I45</f>
        <v>1185</v>
      </c>
      <c r="I96" t="str">
        <f>'[1]PL13 CDVPP Lysate'!J45</f>
        <v>-----</v>
      </c>
      <c r="J96">
        <f>'[1]PL13 CDVPP Lysate'!K45</f>
        <v>1.9</v>
      </c>
      <c r="K96" t="str">
        <f>'[1]PL13 CDVPP Lysate'!L45</f>
        <v>-----</v>
      </c>
      <c r="L96" t="str">
        <f>'[1]PL13 CDVPP Lysate'!M45</f>
        <v>-----</v>
      </c>
      <c r="M96" t="str">
        <f>'[1]PL13 CDVPP Lysate'!N45</f>
        <v>-----</v>
      </c>
      <c r="N96" t="str">
        <f>'[1]PL13 CDVPP Lysate'!O45</f>
        <v>-----</v>
      </c>
      <c r="O96" t="str">
        <f>'[1]PL13 CDVPP Lysate'!P45</f>
        <v>Quant.Range(Low)</v>
      </c>
      <c r="P96">
        <f>'[1]PL13 CDVPP Lysate'!Q45</f>
        <v>17.18</v>
      </c>
      <c r="Q96">
        <f>'[1]PL13 CDVPP Lysate'!R45</f>
        <v>19.55</v>
      </c>
      <c r="R96" t="str">
        <f>'[1]PL13 CDVPP Lysate'!S45</f>
        <v>-----</v>
      </c>
      <c r="S96">
        <f>'[1]PL13 CDVPP Lysate'!T45</f>
        <v>1</v>
      </c>
      <c r="T96">
        <f>'[1]PL13 CDVPP Lysate'!U45</f>
        <v>684</v>
      </c>
      <c r="U96">
        <f>'[1]PL13 CDVPP Lysate'!V45</f>
        <v>660</v>
      </c>
      <c r="V96" t="str">
        <f>'[1]PL13 CDVPP Lysate'!W45</f>
        <v xml:space="preserve">   </v>
      </c>
      <c r="W96" s="77">
        <f>'[1]PL13 CDVPP Lysate'!X45</f>
        <v>43333.779594907406</v>
      </c>
      <c r="X96" t="s">
        <v>4</v>
      </c>
      <c r="Y96" t="s">
        <v>96</v>
      </c>
      <c r="Z96" t="s">
        <v>28</v>
      </c>
      <c r="AA96">
        <v>72</v>
      </c>
    </row>
    <row r="97" spans="1:27" x14ac:dyDescent="0.25">
      <c r="A97" t="str">
        <f>'[1]PL13 CDVPP Lysate'!B46</f>
        <v>201-107_PL13_CDVPP_Lysate_CDV_T72_lys3_CC-004-773_045.lcd</v>
      </c>
      <c r="B97" t="str">
        <f>'[1]PL13 CDVPP Lysate'!C46</f>
        <v>Unknown</v>
      </c>
      <c r="C97">
        <f>'[1]PL13 CDVPP Lysate'!D46</f>
        <v>0</v>
      </c>
      <c r="D97" t="str">
        <f>'[1]PL13 CDVPP Lysate'!E46</f>
        <v>CDV_T72_lys3</v>
      </c>
      <c r="E97">
        <f>'[1]PL13 CDVPP Lysate'!F46</f>
        <v>2</v>
      </c>
      <c r="F97">
        <f>'[1]PL13 CDVPP Lysate'!G46</f>
        <v>42</v>
      </c>
      <c r="G97">
        <f>'[1]PL13 CDVPP Lysate'!H46</f>
        <v>2.2810000000000001</v>
      </c>
      <c r="H97">
        <f>'[1]PL13 CDVPP Lysate'!I46</f>
        <v>1208</v>
      </c>
      <c r="I97" t="str">
        <f>'[1]PL13 CDVPP Lysate'!J46</f>
        <v>-----</v>
      </c>
      <c r="J97">
        <f>'[1]PL13 CDVPP Lysate'!K46</f>
        <v>1.9</v>
      </c>
      <c r="K97" t="str">
        <f>'[1]PL13 CDVPP Lysate'!L46</f>
        <v>-----</v>
      </c>
      <c r="L97" t="str">
        <f>'[1]PL13 CDVPP Lysate'!M46</f>
        <v>-----</v>
      </c>
      <c r="M97" t="str">
        <f>'[1]PL13 CDVPP Lysate'!N46</f>
        <v>-----</v>
      </c>
      <c r="N97" t="str">
        <f>'[1]PL13 CDVPP Lysate'!O46</f>
        <v>-----</v>
      </c>
      <c r="O97" t="str">
        <f>'[1]PL13 CDVPP Lysate'!P46</f>
        <v>Quant.Range(Low)</v>
      </c>
      <c r="P97">
        <f>'[1]PL13 CDVPP Lysate'!Q46</f>
        <v>15.55</v>
      </c>
      <c r="Q97">
        <f>'[1]PL13 CDVPP Lysate'!R46</f>
        <v>30.37</v>
      </c>
      <c r="R97" t="str">
        <f>'[1]PL13 CDVPP Lysate'!S46</f>
        <v>-----</v>
      </c>
      <c r="S97">
        <f>'[1]PL13 CDVPP Lysate'!T46</f>
        <v>1</v>
      </c>
      <c r="T97">
        <f>'[1]PL13 CDVPP Lysate'!U46</f>
        <v>682</v>
      </c>
      <c r="U97">
        <f>'[1]PL13 CDVPP Lysate'!V46</f>
        <v>642</v>
      </c>
      <c r="V97" t="str">
        <f>'[1]PL13 CDVPP Lysate'!W46</f>
        <v xml:space="preserve">   </v>
      </c>
      <c r="W97" s="77">
        <f>'[1]PL13 CDVPP Lysate'!X46</f>
        <v>43333.783171296294</v>
      </c>
      <c r="X97" t="s">
        <v>4</v>
      </c>
      <c r="Y97" t="s">
        <v>96</v>
      </c>
      <c r="Z97" t="s">
        <v>28</v>
      </c>
      <c r="AA97">
        <v>72</v>
      </c>
    </row>
    <row r="98" spans="1:27" x14ac:dyDescent="0.25">
      <c r="A98" t="str">
        <f>'[1]PL14 505 Lysate'!B32</f>
        <v>201-107_PL14_505_505_T72_lys1_CC-004-776_031.lcd</v>
      </c>
      <c r="B98" t="str">
        <f>'[1]PL14 505 Lysate'!C32</f>
        <v>Unknown</v>
      </c>
      <c r="C98">
        <f>'[1]PL14 505 Lysate'!D32</f>
        <v>0</v>
      </c>
      <c r="D98" t="str">
        <f>'[1]PL14 505 Lysate'!E32</f>
        <v>505_T72_lys1</v>
      </c>
      <c r="E98">
        <f>'[1]PL14 505 Lysate'!F32</f>
        <v>2</v>
      </c>
      <c r="F98">
        <f>'[1]PL14 505 Lysate'!G32</f>
        <v>25</v>
      </c>
      <c r="G98">
        <f>'[1]PL14 505 Lysate'!H32</f>
        <v>0.89600000000000002</v>
      </c>
      <c r="H98">
        <f>'[1]PL14 505 Lysate'!I32</f>
        <v>1696716</v>
      </c>
      <c r="I98" t="str">
        <f>'[1]PL14 505 Lysate'!J32</f>
        <v>-----</v>
      </c>
      <c r="J98">
        <f>'[1]PL14 505 Lysate'!K32</f>
        <v>695.5</v>
      </c>
      <c r="K98" t="str">
        <f>'[1]PL14 505 Lysate'!L32</f>
        <v>-----</v>
      </c>
      <c r="L98" t="str">
        <f>'[1]PL14 505 Lysate'!M32</f>
        <v>-----</v>
      </c>
      <c r="M98" t="str">
        <f>'[1]PL14 505 Lysate'!N32</f>
        <v>-----</v>
      </c>
      <c r="N98" t="str">
        <f>'[1]PL14 505 Lysate'!O32</f>
        <v>-----</v>
      </c>
      <c r="O98">
        <f>'[1]PL14 505 Lysate'!P32</f>
        <v>0</v>
      </c>
      <c r="P98" t="str">
        <f>'[1]PL14 505 Lysate'!Q32</f>
        <v>-----</v>
      </c>
      <c r="Q98">
        <f>'[1]PL14 505 Lysate'!R32</f>
        <v>55.42</v>
      </c>
      <c r="R98" t="str">
        <f>'[1]PL14 505 Lysate'!S32</f>
        <v>-----</v>
      </c>
      <c r="S98">
        <f>'[1]PL14 505 Lysate'!T32</f>
        <v>1</v>
      </c>
      <c r="T98">
        <f>'[1]PL14 505 Lysate'!U32</f>
        <v>591260</v>
      </c>
      <c r="U98">
        <f>'[1]PL14 505 Lysate'!V32</f>
        <v>577301</v>
      </c>
      <c r="V98" t="str">
        <f>'[1]PL14 505 Lysate'!W32</f>
        <v xml:space="preserve">   </v>
      </c>
      <c r="W98" s="77">
        <f>'[1]PL14 505 Lysate'!X32</f>
        <v>43334.850659722222</v>
      </c>
      <c r="X98" t="s">
        <v>342</v>
      </c>
      <c r="Y98" t="s">
        <v>43</v>
      </c>
      <c r="Z98" t="s">
        <v>28</v>
      </c>
      <c r="AA98">
        <v>72</v>
      </c>
    </row>
    <row r="99" spans="1:27" x14ac:dyDescent="0.25">
      <c r="A99" t="str">
        <f>'[1]PL14 505 Lysate'!B33</f>
        <v>201-107_PL14_505_505_T72_lys2_CC-004-776_032.lcd</v>
      </c>
      <c r="B99" t="str">
        <f>'[1]PL14 505 Lysate'!C33</f>
        <v>Unknown</v>
      </c>
      <c r="C99">
        <f>'[1]PL14 505 Lysate'!D33</f>
        <v>0</v>
      </c>
      <c r="D99" t="str">
        <f>'[1]PL14 505 Lysate'!E33</f>
        <v>505_T72_lys2</v>
      </c>
      <c r="E99">
        <f>'[1]PL14 505 Lysate'!F33</f>
        <v>2</v>
      </c>
      <c r="F99">
        <f>'[1]PL14 505 Lysate'!G33</f>
        <v>26</v>
      </c>
      <c r="G99">
        <f>'[1]PL14 505 Lysate'!H33</f>
        <v>0.89600000000000002</v>
      </c>
      <c r="H99">
        <f>'[1]PL14 505 Lysate'!I33</f>
        <v>1455789</v>
      </c>
      <c r="I99" t="str">
        <f>'[1]PL14 505 Lysate'!J33</f>
        <v>-----</v>
      </c>
      <c r="J99">
        <f>'[1]PL14 505 Lysate'!K33</f>
        <v>596.79999999999995</v>
      </c>
      <c r="K99" t="str">
        <f>'[1]PL14 505 Lysate'!L33</f>
        <v>-----</v>
      </c>
      <c r="L99" t="str">
        <f>'[1]PL14 505 Lysate'!M33</f>
        <v>-----</v>
      </c>
      <c r="M99" t="str">
        <f>'[1]PL14 505 Lysate'!N33</f>
        <v>-----</v>
      </c>
      <c r="N99" t="str">
        <f>'[1]PL14 505 Lysate'!O33</f>
        <v>-----</v>
      </c>
      <c r="O99">
        <f>'[1]PL14 505 Lysate'!P33</f>
        <v>0</v>
      </c>
      <c r="P99" t="str">
        <f>'[1]PL14 505 Lysate'!Q33</f>
        <v>-----</v>
      </c>
      <c r="Q99">
        <f>'[1]PL14 505 Lysate'!R33</f>
        <v>57.19</v>
      </c>
      <c r="R99" t="str">
        <f>'[1]PL14 505 Lysate'!S33</f>
        <v>-----</v>
      </c>
      <c r="S99">
        <f>'[1]PL14 505 Lysate'!T33</f>
        <v>1</v>
      </c>
      <c r="T99">
        <f>'[1]PL14 505 Lysate'!U33</f>
        <v>497411</v>
      </c>
      <c r="U99">
        <f>'[1]PL14 505 Lysate'!V33</f>
        <v>484593</v>
      </c>
      <c r="V99" t="str">
        <f>'[1]PL14 505 Lysate'!W33</f>
        <v xml:space="preserve">   </v>
      </c>
      <c r="W99" s="77">
        <f>'[1]PL14 505 Lysate'!X33</f>
        <v>43334.853125000001</v>
      </c>
      <c r="X99" t="s">
        <v>342</v>
      </c>
      <c r="Y99" t="s">
        <v>43</v>
      </c>
      <c r="Z99" t="s">
        <v>28</v>
      </c>
      <c r="AA99">
        <v>72</v>
      </c>
    </row>
    <row r="100" spans="1:27" x14ac:dyDescent="0.25">
      <c r="A100" t="str">
        <f>'[1]PL14 505 Lysate'!B34</f>
        <v>201-107_PL14_505_505_T72_lys3_CC-004-776_033.lcd</v>
      </c>
      <c r="B100" t="str">
        <f>'[1]PL14 505 Lysate'!C34</f>
        <v>Unknown</v>
      </c>
      <c r="C100">
        <f>'[1]PL14 505 Lysate'!D34</f>
        <v>0</v>
      </c>
      <c r="D100" t="str">
        <f>'[1]PL14 505 Lysate'!E34</f>
        <v>505_T72_lys3</v>
      </c>
      <c r="E100">
        <f>'[1]PL14 505 Lysate'!F34</f>
        <v>2</v>
      </c>
      <c r="F100">
        <f>'[1]PL14 505 Lysate'!G34</f>
        <v>27</v>
      </c>
      <c r="G100">
        <f>'[1]PL14 505 Lysate'!H34</f>
        <v>0.89700000000000002</v>
      </c>
      <c r="H100">
        <f>'[1]PL14 505 Lysate'!I34</f>
        <v>1306850</v>
      </c>
      <c r="I100" t="str">
        <f>'[1]PL14 505 Lysate'!J34</f>
        <v>-----</v>
      </c>
      <c r="J100">
        <f>'[1]PL14 505 Lysate'!K34</f>
        <v>535.70000000000005</v>
      </c>
      <c r="K100" t="str">
        <f>'[1]PL14 505 Lysate'!L34</f>
        <v>-----</v>
      </c>
      <c r="L100" t="str">
        <f>'[1]PL14 505 Lysate'!M34</f>
        <v>-----</v>
      </c>
      <c r="M100" t="str">
        <f>'[1]PL14 505 Lysate'!N34</f>
        <v>-----</v>
      </c>
      <c r="N100" t="str">
        <f>'[1]PL14 505 Lysate'!O34</f>
        <v>-----</v>
      </c>
      <c r="O100">
        <f>'[1]PL14 505 Lysate'!P34</f>
        <v>0</v>
      </c>
      <c r="P100" t="str">
        <f>'[1]PL14 505 Lysate'!Q34</f>
        <v>-----</v>
      </c>
      <c r="Q100">
        <f>'[1]PL14 505 Lysate'!R34</f>
        <v>55.32</v>
      </c>
      <c r="R100" t="str">
        <f>'[1]PL14 505 Lysate'!S34</f>
        <v>-----</v>
      </c>
      <c r="S100">
        <f>'[1]PL14 505 Lysate'!T34</f>
        <v>1</v>
      </c>
      <c r="T100">
        <f>'[1]PL14 505 Lysate'!U34</f>
        <v>453731</v>
      </c>
      <c r="U100">
        <f>'[1]PL14 505 Lysate'!V34</f>
        <v>436383</v>
      </c>
      <c r="V100" t="str">
        <f>'[1]PL14 505 Lysate'!W34</f>
        <v xml:space="preserve">   </v>
      </c>
      <c r="W100" s="77">
        <f>'[1]PL14 505 Lysate'!X34</f>
        <v>43334.855567129627</v>
      </c>
      <c r="X100" t="s">
        <v>342</v>
      </c>
      <c r="Y100" t="s">
        <v>43</v>
      </c>
      <c r="Z100" t="s">
        <v>28</v>
      </c>
      <c r="AA100">
        <v>72</v>
      </c>
    </row>
    <row r="101" spans="1:27" x14ac:dyDescent="0.25">
      <c r="A101" t="str">
        <f>'[1]PL 14 CDV Media'!B2</f>
        <v>201-107_PL14_CDV_505_T0_ds1_CC-004-778_079.lcd</v>
      </c>
      <c r="B101" t="str">
        <f>'[1]PL 14 CDV Media'!C2</f>
        <v>Unknown</v>
      </c>
      <c r="C101">
        <f>'[1]PL 14 CDV Media'!D2</f>
        <v>0</v>
      </c>
      <c r="D101" t="str">
        <f>'[1]PL 14 CDV Media'!E2</f>
        <v>505_T0_ds1</v>
      </c>
      <c r="E101">
        <f>'[1]PL 14 CDV Media'!F2</f>
        <v>1</v>
      </c>
      <c r="F101">
        <f>'[1]PL 14 CDV Media'!G2</f>
        <v>43</v>
      </c>
      <c r="G101" t="str">
        <f>'[1]PL 14 CDV Media'!H2</f>
        <v>-----</v>
      </c>
      <c r="H101">
        <f>'[1]PL 14 CDV Media'!I2</f>
        <v>405</v>
      </c>
      <c r="I101" t="str">
        <f>'[1]PL 14 CDV Media'!J2</f>
        <v>-----</v>
      </c>
      <c r="J101" t="str">
        <f>'[1]PL 14 CDV Media'!K2</f>
        <v>-----</v>
      </c>
      <c r="K101" t="str">
        <f>'[1]PL 14 CDV Media'!L2</f>
        <v>-----</v>
      </c>
      <c r="L101" t="str">
        <f>'[1]PL 14 CDV Media'!M2</f>
        <v>-----</v>
      </c>
      <c r="M101" t="str">
        <f>'[1]PL 14 CDV Media'!N2</f>
        <v>-----</v>
      </c>
      <c r="N101" t="str">
        <f>'[1]PL 14 CDV Media'!O2</f>
        <v>-----</v>
      </c>
      <c r="O101">
        <f>'[1]PL 14 CDV Media'!P2</f>
        <v>0</v>
      </c>
      <c r="P101" t="str">
        <f>'[1]PL 14 CDV Media'!Q2</f>
        <v>-----</v>
      </c>
      <c r="Q101">
        <f>'[1]PL 14 CDV Media'!R2</f>
        <v>22.09</v>
      </c>
      <c r="R101" t="str">
        <f>'[1]PL 14 CDV Media'!S2</f>
        <v>-----</v>
      </c>
      <c r="S101">
        <f>'[1]PL 14 CDV Media'!T2</f>
        <v>1</v>
      </c>
      <c r="T101">
        <f>'[1]PL 14 CDV Media'!U2</f>
        <v>318</v>
      </c>
      <c r="U101">
        <f>'[1]PL 14 CDV Media'!V2</f>
        <v>335</v>
      </c>
      <c r="V101" t="str">
        <f>'[1]PL 14 CDV Media'!W2</f>
        <v>-----</v>
      </c>
      <c r="W101" s="77">
        <f>'[1]PL 14 CDV Media'!X2</f>
        <v>43335.988645833335</v>
      </c>
      <c r="X101" t="s">
        <v>342</v>
      </c>
      <c r="Y101" t="s">
        <v>4</v>
      </c>
      <c r="Z101" t="s">
        <v>27</v>
      </c>
      <c r="AA101">
        <v>0</v>
      </c>
    </row>
    <row r="102" spans="1:27" x14ac:dyDescent="0.25">
      <c r="A102" t="str">
        <f>'[1]PL 14 CDV Media'!B3</f>
        <v>201-107_PL14_CDV_505_T0_ds2_CC-004-778_080.lcd</v>
      </c>
      <c r="B102" t="str">
        <f>'[1]PL 14 CDV Media'!C3</f>
        <v>Unknown</v>
      </c>
      <c r="C102">
        <f>'[1]PL 14 CDV Media'!D3</f>
        <v>0</v>
      </c>
      <c r="D102" t="str">
        <f>'[1]PL 14 CDV Media'!E3</f>
        <v>505_T0_ds2</v>
      </c>
      <c r="E102">
        <f>'[1]PL 14 CDV Media'!F3</f>
        <v>1</v>
      </c>
      <c r="F102">
        <f>'[1]PL 14 CDV Media'!G3</f>
        <v>44</v>
      </c>
      <c r="G102">
        <f>'[1]PL 14 CDV Media'!H3</f>
        <v>1.2649999999999999</v>
      </c>
      <c r="H102">
        <f>'[1]PL 14 CDV Media'!I3</f>
        <v>413</v>
      </c>
      <c r="I102" t="str">
        <f>'[1]PL 14 CDV Media'!J3</f>
        <v>-----</v>
      </c>
      <c r="J102">
        <f>'[1]PL 14 CDV Media'!K3</f>
        <v>69.900000000000006</v>
      </c>
      <c r="K102" t="str">
        <f>'[1]PL 14 CDV Media'!L3</f>
        <v>-----</v>
      </c>
      <c r="L102" t="str">
        <f>'[1]PL 14 CDV Media'!M3</f>
        <v>-----</v>
      </c>
      <c r="M102" t="str">
        <f>'[1]PL 14 CDV Media'!N3</f>
        <v>-----</v>
      </c>
      <c r="N102" t="str">
        <f>'[1]PL 14 CDV Media'!O3</f>
        <v>-----</v>
      </c>
      <c r="O102" t="str">
        <f>'[1]PL 14 CDV Media'!P3</f>
        <v>Quant.Range(Low)</v>
      </c>
      <c r="P102">
        <f>'[1]PL 14 CDV Media'!Q3</f>
        <v>0.44</v>
      </c>
      <c r="Q102">
        <f>'[1]PL 14 CDV Media'!R3</f>
        <v>44.27</v>
      </c>
      <c r="R102" t="str">
        <f>'[1]PL 14 CDV Media'!S3</f>
        <v>-----</v>
      </c>
      <c r="S102">
        <f>'[1]PL 14 CDV Media'!T3</f>
        <v>1</v>
      </c>
      <c r="T102">
        <f>'[1]PL 14 CDV Media'!U3</f>
        <v>173</v>
      </c>
      <c r="U102">
        <f>'[1]PL 14 CDV Media'!V3</f>
        <v>192</v>
      </c>
      <c r="V102" t="str">
        <f>'[1]PL 14 CDV Media'!W3</f>
        <v xml:space="preserve">   </v>
      </c>
      <c r="W102" s="77">
        <f>'[1]PL 14 CDV Media'!X3</f>
        <v>43335.991087962961</v>
      </c>
      <c r="X102" t="s">
        <v>342</v>
      </c>
      <c r="Y102" t="s">
        <v>4</v>
      </c>
      <c r="Z102" t="s">
        <v>27</v>
      </c>
      <c r="AA102">
        <v>0</v>
      </c>
    </row>
    <row r="103" spans="1:27" x14ac:dyDescent="0.25">
      <c r="A103" t="str">
        <f>'[1]PL 14 CDV Media'!B4</f>
        <v>201-107_PL14_CDV_505_T0_ds3_CC-004-778_081.lcd</v>
      </c>
      <c r="B103" t="str">
        <f>'[1]PL 14 CDV Media'!C4</f>
        <v>Unknown</v>
      </c>
      <c r="C103">
        <f>'[1]PL 14 CDV Media'!D4</f>
        <v>0</v>
      </c>
      <c r="D103" t="str">
        <f>'[1]PL 14 CDV Media'!E4</f>
        <v>505_T0_ds3</v>
      </c>
      <c r="E103">
        <f>'[1]PL 14 CDV Media'!F4</f>
        <v>1</v>
      </c>
      <c r="F103">
        <f>'[1]PL 14 CDV Media'!G4</f>
        <v>45</v>
      </c>
      <c r="G103" t="str">
        <f>'[1]PL 14 CDV Media'!H4</f>
        <v>-----</v>
      </c>
      <c r="H103">
        <f>'[1]PL 14 CDV Media'!I4</f>
        <v>583</v>
      </c>
      <c r="I103" t="str">
        <f>'[1]PL 14 CDV Media'!J4</f>
        <v>-----</v>
      </c>
      <c r="J103" t="str">
        <f>'[1]PL 14 CDV Media'!K4</f>
        <v>-----</v>
      </c>
      <c r="K103" t="str">
        <f>'[1]PL 14 CDV Media'!L4</f>
        <v>-----</v>
      </c>
      <c r="L103" t="str">
        <f>'[1]PL 14 CDV Media'!M4</f>
        <v>-----</v>
      </c>
      <c r="M103" t="str">
        <f>'[1]PL 14 CDV Media'!N4</f>
        <v>-----</v>
      </c>
      <c r="N103" t="str">
        <f>'[1]PL 14 CDV Media'!O4</f>
        <v>-----</v>
      </c>
      <c r="O103">
        <f>'[1]PL 14 CDV Media'!P4</f>
        <v>0</v>
      </c>
      <c r="P103" t="str">
        <f>'[1]PL 14 CDV Media'!Q4</f>
        <v>-----</v>
      </c>
      <c r="Q103">
        <f>'[1]PL 14 CDV Media'!R4</f>
        <v>0</v>
      </c>
      <c r="R103" t="str">
        <f>'[1]PL 14 CDV Media'!S4</f>
        <v>-----</v>
      </c>
      <c r="S103">
        <f>'[1]PL 14 CDV Media'!T4</f>
        <v>1</v>
      </c>
      <c r="T103">
        <f>'[1]PL 14 CDV Media'!U4</f>
        <v>439</v>
      </c>
      <c r="U103">
        <f>'[1]PL 14 CDV Media'!V4</f>
        <v>484</v>
      </c>
      <c r="V103" t="str">
        <f>'[1]PL 14 CDV Media'!W4</f>
        <v>-----</v>
      </c>
      <c r="W103" s="77">
        <f>'[1]PL 14 CDV Media'!X4</f>
        <v>43335.993495370371</v>
      </c>
      <c r="X103" t="s">
        <v>342</v>
      </c>
      <c r="Y103" t="s">
        <v>4</v>
      </c>
      <c r="Z103" t="s">
        <v>27</v>
      </c>
      <c r="AA103">
        <v>0</v>
      </c>
    </row>
    <row r="104" spans="1:27" x14ac:dyDescent="0.25">
      <c r="A104" t="str">
        <f>'[1]PL 14 CDV Media'!B5</f>
        <v>201-107_PL14_CDV_505_T72_ds1_CC-004-778_083.lcd</v>
      </c>
      <c r="B104" t="str">
        <f>'[1]PL 14 CDV Media'!C5</f>
        <v>Unknown</v>
      </c>
      <c r="C104">
        <f>'[1]PL 14 CDV Media'!D5</f>
        <v>0</v>
      </c>
      <c r="D104" t="str">
        <f>'[1]PL 14 CDV Media'!E5</f>
        <v>505_T72_ds1</v>
      </c>
      <c r="E104">
        <f>'[1]PL 14 CDV Media'!F5</f>
        <v>1</v>
      </c>
      <c r="F104">
        <f>'[1]PL 14 CDV Media'!G5</f>
        <v>55</v>
      </c>
      <c r="G104" t="str">
        <f>'[1]PL 14 CDV Media'!H5</f>
        <v>-----</v>
      </c>
      <c r="H104">
        <f>'[1]PL 14 CDV Media'!I5</f>
        <v>561</v>
      </c>
      <c r="I104" t="str">
        <f>'[1]PL 14 CDV Media'!J5</f>
        <v>-----</v>
      </c>
      <c r="J104" t="str">
        <f>'[1]PL 14 CDV Media'!K5</f>
        <v>-----</v>
      </c>
      <c r="K104" t="str">
        <f>'[1]PL 14 CDV Media'!L5</f>
        <v>-----</v>
      </c>
      <c r="L104" t="str">
        <f>'[1]PL 14 CDV Media'!M5</f>
        <v>-----</v>
      </c>
      <c r="M104" t="str">
        <f>'[1]PL 14 CDV Media'!N5</f>
        <v>-----</v>
      </c>
      <c r="N104" t="str">
        <f>'[1]PL 14 CDV Media'!O5</f>
        <v>-----</v>
      </c>
      <c r="O104">
        <f>'[1]PL 14 CDV Media'!P5</f>
        <v>0</v>
      </c>
      <c r="P104" t="str">
        <f>'[1]PL 14 CDV Media'!Q5</f>
        <v>-----</v>
      </c>
      <c r="Q104">
        <f>'[1]PL 14 CDV Media'!R5</f>
        <v>16.75</v>
      </c>
      <c r="R104" t="str">
        <f>'[1]PL 14 CDV Media'!S5</f>
        <v>-----</v>
      </c>
      <c r="S104">
        <f>'[1]PL 14 CDV Media'!T5</f>
        <v>1</v>
      </c>
      <c r="T104">
        <f>'[1]PL 14 CDV Media'!U5</f>
        <v>194</v>
      </c>
      <c r="U104">
        <f>'[1]PL 14 CDV Media'!V5</f>
        <v>209</v>
      </c>
      <c r="V104" t="str">
        <f>'[1]PL 14 CDV Media'!W5</f>
        <v>-----</v>
      </c>
      <c r="W104" s="77">
        <f>'[1]PL 14 CDV Media'!X5</f>
        <v>43335.998344907406</v>
      </c>
      <c r="X104" t="s">
        <v>342</v>
      </c>
      <c r="Y104" t="s">
        <v>4</v>
      </c>
      <c r="Z104" t="s">
        <v>27</v>
      </c>
      <c r="AA104">
        <v>72</v>
      </c>
    </row>
    <row r="105" spans="1:27" x14ac:dyDescent="0.25">
      <c r="A105" t="str">
        <f>'[1]PL 14 CDV Media'!B6</f>
        <v>201-107_PL14_CDV_505_T72_ds2_CC-004-778_084.lcd</v>
      </c>
      <c r="B105" t="str">
        <f>'[1]PL 14 CDV Media'!C6</f>
        <v>Unknown</v>
      </c>
      <c r="C105">
        <f>'[1]PL 14 CDV Media'!D6</f>
        <v>0</v>
      </c>
      <c r="D105" t="str">
        <f>'[1]PL 14 CDV Media'!E6</f>
        <v>505_T72_ds2</v>
      </c>
      <c r="E105">
        <f>'[1]PL 14 CDV Media'!F6</f>
        <v>1</v>
      </c>
      <c r="F105">
        <f>'[1]PL 14 CDV Media'!G6</f>
        <v>56</v>
      </c>
      <c r="G105">
        <f>'[1]PL 14 CDV Media'!H6</f>
        <v>1.28</v>
      </c>
      <c r="H105">
        <f>'[1]PL 14 CDV Media'!I6</f>
        <v>547</v>
      </c>
      <c r="I105" t="str">
        <f>'[1]PL 14 CDV Media'!J6</f>
        <v>-----</v>
      </c>
      <c r="J105">
        <f>'[1]PL 14 CDV Media'!K6</f>
        <v>91.7</v>
      </c>
      <c r="K105" t="str">
        <f>'[1]PL 14 CDV Media'!L6</f>
        <v>-----</v>
      </c>
      <c r="L105" t="str">
        <f>'[1]PL 14 CDV Media'!M6</f>
        <v>-----</v>
      </c>
      <c r="M105" t="str">
        <f>'[1]PL 14 CDV Media'!N6</f>
        <v>-----</v>
      </c>
      <c r="N105" t="str">
        <f>'[1]PL 14 CDV Media'!O6</f>
        <v>-----</v>
      </c>
      <c r="O105" t="str">
        <f>'[1]PL 14 CDV Media'!P6</f>
        <v>Quant.Range(Low)</v>
      </c>
      <c r="P105">
        <f>'[1]PL 14 CDV Media'!Q6</f>
        <v>0.37</v>
      </c>
      <c r="Q105">
        <f>'[1]PL 14 CDV Media'!R6</f>
        <v>27.93</v>
      </c>
      <c r="R105" t="str">
        <f>'[1]PL 14 CDV Media'!S6</f>
        <v>-----</v>
      </c>
      <c r="S105">
        <f>'[1]PL 14 CDV Media'!T6</f>
        <v>1</v>
      </c>
      <c r="T105">
        <f>'[1]PL 14 CDV Media'!U6</f>
        <v>217</v>
      </c>
      <c r="U105">
        <f>'[1]PL 14 CDV Media'!V6</f>
        <v>222</v>
      </c>
      <c r="V105" t="str">
        <f>'[1]PL 14 CDV Media'!W6</f>
        <v xml:space="preserve">   </v>
      </c>
      <c r="W105" s="77">
        <f>'[1]PL 14 CDV Media'!X6</f>
        <v>43336.000775462962</v>
      </c>
      <c r="X105" t="s">
        <v>342</v>
      </c>
      <c r="Y105" t="s">
        <v>4</v>
      </c>
      <c r="Z105" t="s">
        <v>27</v>
      </c>
      <c r="AA105">
        <v>72</v>
      </c>
    </row>
    <row r="106" spans="1:27" x14ac:dyDescent="0.25">
      <c r="A106" t="str">
        <f>'[1]PL 14 CDV Media'!B7</f>
        <v>201-107_PL14_CDV_505_T72_ds3_CC-004-778_085.lcd</v>
      </c>
      <c r="B106" t="str">
        <f>'[1]PL 14 CDV Media'!C7</f>
        <v>Unknown</v>
      </c>
      <c r="C106">
        <f>'[1]PL 14 CDV Media'!D7</f>
        <v>0</v>
      </c>
      <c r="D106" t="str">
        <f>'[1]PL 14 CDV Media'!E7</f>
        <v>505_T72_ds3</v>
      </c>
      <c r="E106">
        <f>'[1]PL 14 CDV Media'!F7</f>
        <v>1</v>
      </c>
      <c r="F106">
        <f>'[1]PL 14 CDV Media'!G7</f>
        <v>57</v>
      </c>
      <c r="G106">
        <f>'[1]PL 14 CDV Media'!H7</f>
        <v>1.272</v>
      </c>
      <c r="H106">
        <f>'[1]PL 14 CDV Media'!I7</f>
        <v>698</v>
      </c>
      <c r="I106" t="str">
        <f>'[1]PL 14 CDV Media'!J7</f>
        <v>-----</v>
      </c>
      <c r="J106">
        <f>'[1]PL 14 CDV Media'!K7</f>
        <v>116.2</v>
      </c>
      <c r="K106" t="str">
        <f>'[1]PL 14 CDV Media'!L7</f>
        <v>-----</v>
      </c>
      <c r="L106" t="str">
        <f>'[1]PL 14 CDV Media'!M7</f>
        <v>-----</v>
      </c>
      <c r="M106" t="str">
        <f>'[1]PL 14 CDV Media'!N7</f>
        <v>-----</v>
      </c>
      <c r="N106" t="str">
        <f>'[1]PL 14 CDV Media'!O7</f>
        <v>-----</v>
      </c>
      <c r="O106" t="str">
        <f>'[1]PL 14 CDV Media'!P7</f>
        <v>Quant.Range(Low)</v>
      </c>
      <c r="P106">
        <f>'[1]PL 14 CDV Media'!Q7</f>
        <v>0.74</v>
      </c>
      <c r="Q106">
        <f>'[1]PL 14 CDV Media'!R7</f>
        <v>42.01</v>
      </c>
      <c r="R106" t="str">
        <f>'[1]PL 14 CDV Media'!S7</f>
        <v>-----</v>
      </c>
      <c r="S106">
        <f>'[1]PL 14 CDV Media'!T7</f>
        <v>1</v>
      </c>
      <c r="T106">
        <f>'[1]PL 14 CDV Media'!U7</f>
        <v>353</v>
      </c>
      <c r="U106">
        <f>'[1]PL 14 CDV Media'!V7</f>
        <v>369</v>
      </c>
      <c r="V106" t="str">
        <f>'[1]PL 14 CDV Media'!W7</f>
        <v xml:space="preserve">   </v>
      </c>
      <c r="W106" s="77">
        <f>'[1]PL 14 CDV Media'!X7</f>
        <v>43336.003194444442</v>
      </c>
      <c r="X106" t="s">
        <v>342</v>
      </c>
      <c r="Y106" t="s">
        <v>4</v>
      </c>
      <c r="Z106" t="s">
        <v>27</v>
      </c>
      <c r="AA106">
        <v>72</v>
      </c>
    </row>
    <row r="107" spans="1:27" x14ac:dyDescent="0.25">
      <c r="A107" t="str">
        <f>'[1]PL 14 CDV Media'!B8</f>
        <v>201-107_PL14_CDV_505_T72_med1_CC-004-778_087.lcd</v>
      </c>
      <c r="B107" t="str">
        <f>'[1]PL 14 CDV Media'!C8</f>
        <v>Unknown</v>
      </c>
      <c r="C107">
        <f>'[1]PL 14 CDV Media'!D8</f>
        <v>0</v>
      </c>
      <c r="D107" t="str">
        <f>'[1]PL 14 CDV Media'!E8</f>
        <v>505_T72_med1</v>
      </c>
      <c r="E107">
        <f>'[1]PL 14 CDV Media'!F8</f>
        <v>1</v>
      </c>
      <c r="F107">
        <f>'[1]PL 14 CDV Media'!G8</f>
        <v>67</v>
      </c>
      <c r="G107" t="str">
        <f>'[1]PL 14 CDV Media'!H8</f>
        <v>-----</v>
      </c>
      <c r="H107">
        <f>'[1]PL 14 CDV Media'!I8</f>
        <v>882</v>
      </c>
      <c r="I107" t="str">
        <f>'[1]PL 14 CDV Media'!J8</f>
        <v>-----</v>
      </c>
      <c r="J107" t="str">
        <f>'[1]PL 14 CDV Media'!K8</f>
        <v>-----</v>
      </c>
      <c r="K107" t="str">
        <f>'[1]PL 14 CDV Media'!L8</f>
        <v>-----</v>
      </c>
      <c r="L107" t="str">
        <f>'[1]PL 14 CDV Media'!M8</f>
        <v>-----</v>
      </c>
      <c r="M107" t="str">
        <f>'[1]PL 14 CDV Media'!N8</f>
        <v>-----</v>
      </c>
      <c r="N107" t="str">
        <f>'[1]PL 14 CDV Media'!O8</f>
        <v>-----</v>
      </c>
      <c r="O107">
        <f>'[1]PL 14 CDV Media'!P8</f>
        <v>0</v>
      </c>
      <c r="P107" t="str">
        <f>'[1]PL 14 CDV Media'!Q8</f>
        <v>-----</v>
      </c>
      <c r="Q107">
        <f>'[1]PL 14 CDV Media'!R8</f>
        <v>23.57</v>
      </c>
      <c r="R107" t="str">
        <f>'[1]PL 14 CDV Media'!S8</f>
        <v>-----</v>
      </c>
      <c r="S107">
        <f>'[1]PL 14 CDV Media'!T8</f>
        <v>1</v>
      </c>
      <c r="T107">
        <f>'[1]PL 14 CDV Media'!U8</f>
        <v>407</v>
      </c>
      <c r="U107">
        <f>'[1]PL 14 CDV Media'!V8</f>
        <v>403</v>
      </c>
      <c r="V107" t="str">
        <f>'[1]PL 14 CDV Media'!W8</f>
        <v>-----</v>
      </c>
      <c r="W107" s="77">
        <f>'[1]PL 14 CDV Media'!X8</f>
        <v>43336.008020833331</v>
      </c>
      <c r="X107" t="s">
        <v>342</v>
      </c>
      <c r="Y107" t="s">
        <v>4</v>
      </c>
      <c r="Z107" t="s">
        <v>27</v>
      </c>
      <c r="AA107">
        <v>72</v>
      </c>
    </row>
    <row r="108" spans="1:27" x14ac:dyDescent="0.25">
      <c r="A108" t="str">
        <f>'[1]PL 14 CDV Media'!B9</f>
        <v>201-107_PL14_CDV_505_T72_med2_CC-004-778_088.lcd</v>
      </c>
      <c r="B108" t="str">
        <f>'[1]PL 14 CDV Media'!C9</f>
        <v>Unknown</v>
      </c>
      <c r="C108">
        <f>'[1]PL 14 CDV Media'!D9</f>
        <v>0</v>
      </c>
      <c r="D108" t="str">
        <f>'[1]PL 14 CDV Media'!E9</f>
        <v>505_T72_med2</v>
      </c>
      <c r="E108">
        <f>'[1]PL 14 CDV Media'!F9</f>
        <v>1</v>
      </c>
      <c r="F108">
        <f>'[1]PL 14 CDV Media'!G9</f>
        <v>68</v>
      </c>
      <c r="G108" t="str">
        <f>'[1]PL 14 CDV Media'!H9</f>
        <v>-----</v>
      </c>
      <c r="H108">
        <f>'[1]PL 14 CDV Media'!I9</f>
        <v>656</v>
      </c>
      <c r="I108" t="str">
        <f>'[1]PL 14 CDV Media'!J9</f>
        <v>-----</v>
      </c>
      <c r="J108" t="str">
        <f>'[1]PL 14 CDV Media'!K9</f>
        <v>-----</v>
      </c>
      <c r="K108" t="str">
        <f>'[1]PL 14 CDV Media'!L9</f>
        <v>-----</v>
      </c>
      <c r="L108" t="str">
        <f>'[1]PL 14 CDV Media'!M9</f>
        <v>-----</v>
      </c>
      <c r="M108" t="str">
        <f>'[1]PL 14 CDV Media'!N9</f>
        <v>-----</v>
      </c>
      <c r="N108" t="str">
        <f>'[1]PL 14 CDV Media'!O9</f>
        <v>-----</v>
      </c>
      <c r="O108">
        <f>'[1]PL 14 CDV Media'!P9</f>
        <v>0</v>
      </c>
      <c r="P108" t="str">
        <f>'[1]PL 14 CDV Media'!Q9</f>
        <v>-----</v>
      </c>
      <c r="Q108">
        <f>'[1]PL 14 CDV Media'!R9</f>
        <v>0</v>
      </c>
      <c r="R108" t="str">
        <f>'[1]PL 14 CDV Media'!S9</f>
        <v>-----</v>
      </c>
      <c r="S108">
        <f>'[1]PL 14 CDV Media'!T9</f>
        <v>1</v>
      </c>
      <c r="T108">
        <f>'[1]PL 14 CDV Media'!U9</f>
        <v>269</v>
      </c>
      <c r="U108">
        <f>'[1]PL 14 CDV Media'!V9</f>
        <v>264</v>
      </c>
      <c r="V108" t="str">
        <f>'[1]PL 14 CDV Media'!W9</f>
        <v>-----</v>
      </c>
      <c r="W108" s="77">
        <f>'[1]PL 14 CDV Media'!X9</f>
        <v>43336.010428240741</v>
      </c>
      <c r="X108" t="s">
        <v>342</v>
      </c>
      <c r="Y108" t="s">
        <v>4</v>
      </c>
      <c r="Z108" t="s">
        <v>27</v>
      </c>
      <c r="AA108">
        <v>72</v>
      </c>
    </row>
    <row r="109" spans="1:27" x14ac:dyDescent="0.25">
      <c r="A109" t="str">
        <f>'[1]PL 14 CDV Media'!B10</f>
        <v>201-107_PL14_CDV_505_T72_med3_CC-004-778_089.lcd</v>
      </c>
      <c r="B109" t="str">
        <f>'[1]PL 14 CDV Media'!C10</f>
        <v>Unknown</v>
      </c>
      <c r="C109">
        <f>'[1]PL 14 CDV Media'!D10</f>
        <v>0</v>
      </c>
      <c r="D109" t="str">
        <f>'[1]PL 14 CDV Media'!E10</f>
        <v>505_T72_med3</v>
      </c>
      <c r="E109">
        <f>'[1]PL 14 CDV Media'!F10</f>
        <v>1</v>
      </c>
      <c r="F109">
        <f>'[1]PL 14 CDV Media'!G10</f>
        <v>69</v>
      </c>
      <c r="G109">
        <f>'[1]PL 14 CDV Media'!H10</f>
        <v>1.2589999999999999</v>
      </c>
      <c r="H109">
        <f>'[1]PL 14 CDV Media'!I10</f>
        <v>983</v>
      </c>
      <c r="I109" t="str">
        <f>'[1]PL 14 CDV Media'!J10</f>
        <v>-----</v>
      </c>
      <c r="J109">
        <f>'[1]PL 14 CDV Media'!K10</f>
        <v>162.5</v>
      </c>
      <c r="K109" t="str">
        <f>'[1]PL 14 CDV Media'!L10</f>
        <v>-----</v>
      </c>
      <c r="L109" t="str">
        <f>'[1]PL 14 CDV Media'!M10</f>
        <v>-----</v>
      </c>
      <c r="M109" t="str">
        <f>'[1]PL 14 CDV Media'!N10</f>
        <v>-----</v>
      </c>
      <c r="N109" t="str">
        <f>'[1]PL 14 CDV Media'!O10</f>
        <v>-----</v>
      </c>
      <c r="O109" t="str">
        <f>'[1]PL 14 CDV Media'!P10</f>
        <v>Quant.Range(Low)</v>
      </c>
      <c r="P109">
        <f>'[1]PL 14 CDV Media'!Q10</f>
        <v>0.76</v>
      </c>
      <c r="Q109">
        <f>'[1]PL 14 CDV Media'!R10</f>
        <v>34.58</v>
      </c>
      <c r="R109" t="str">
        <f>'[1]PL 14 CDV Media'!S10</f>
        <v>-----</v>
      </c>
      <c r="S109">
        <f>'[1]PL 14 CDV Media'!T10</f>
        <v>1</v>
      </c>
      <c r="T109">
        <f>'[1]PL 14 CDV Media'!U10</f>
        <v>367</v>
      </c>
      <c r="U109">
        <f>'[1]PL 14 CDV Media'!V10</f>
        <v>373</v>
      </c>
      <c r="V109" t="str">
        <f>'[1]PL 14 CDV Media'!W10</f>
        <v xml:space="preserve">   </v>
      </c>
      <c r="W109" s="77">
        <f>'[1]PL 14 CDV Media'!X10</f>
        <v>43336.012881944444</v>
      </c>
      <c r="X109" t="s">
        <v>342</v>
      </c>
      <c r="Y109" t="s">
        <v>4</v>
      </c>
      <c r="Z109" t="s">
        <v>27</v>
      </c>
      <c r="AA109">
        <v>72</v>
      </c>
    </row>
    <row r="110" spans="1:27" ht="14.25" customHeight="1" x14ac:dyDescent="0.25">
      <c r="A110" t="str">
        <f>'[1]PL14 CDV 505 CMX'!B32</f>
        <v>201-107_PL14_CDV_505_T72_lys1_CC-004-776_031.lcd</v>
      </c>
      <c r="B110" t="str">
        <f>'[1]PL14 CDV 505 CMX'!C32</f>
        <v>Unknown</v>
      </c>
      <c r="C110">
        <f>'[1]PL14 CDV 505 CMX'!D32</f>
        <v>0</v>
      </c>
      <c r="D110" t="str">
        <f>'[1]PL14 CDV 505 CMX'!E32</f>
        <v>505_T72_lys1</v>
      </c>
      <c r="E110">
        <f>'[1]PL14 CDV 505 CMX'!F32</f>
        <v>2</v>
      </c>
      <c r="F110">
        <f>'[1]PL14 CDV 505 CMX'!G32</f>
        <v>25</v>
      </c>
      <c r="G110">
        <f>'[1]PL14 CDV 505 CMX'!H32</f>
        <v>1.262</v>
      </c>
      <c r="H110">
        <f>'[1]PL14 CDV 505 CMX'!I32</f>
        <v>32635</v>
      </c>
      <c r="I110" t="str">
        <f>'[1]PL14 CDV 505 CMX'!J32</f>
        <v>-----</v>
      </c>
      <c r="J110">
        <f>'[1]PL14 CDV 505 CMX'!K32</f>
        <v>456.4</v>
      </c>
      <c r="K110" t="str">
        <f>'[1]PL14 CDV 505 CMX'!L32</f>
        <v>-----</v>
      </c>
      <c r="L110" t="str">
        <f>'[1]PL14 CDV 505 CMX'!M32</f>
        <v>-----</v>
      </c>
      <c r="M110" t="str">
        <f>'[1]PL14 CDV 505 CMX'!N32</f>
        <v>-----</v>
      </c>
      <c r="N110" t="str">
        <f>'[1]PL14 CDV 505 CMX'!O32</f>
        <v>-----</v>
      </c>
      <c r="O110">
        <f>'[1]PL14 CDV 505 CMX'!P32</f>
        <v>0</v>
      </c>
      <c r="P110">
        <f>'[1]PL14 CDV 505 CMX'!Q32</f>
        <v>14.48</v>
      </c>
      <c r="Q110">
        <f>'[1]PL14 CDV 505 CMX'!R32</f>
        <v>35.65</v>
      </c>
      <c r="R110" t="str">
        <f>'[1]PL14 CDV 505 CMX'!S32</f>
        <v>-----</v>
      </c>
      <c r="S110">
        <f>'[1]PL14 CDV 505 CMX'!T32</f>
        <v>1</v>
      </c>
      <c r="T110">
        <f>'[1]PL14 CDV 505 CMX'!U32</f>
        <v>14061</v>
      </c>
      <c r="U110">
        <f>'[1]PL14 CDV 505 CMX'!V32</f>
        <v>14372</v>
      </c>
      <c r="V110" t="str">
        <f>'[1]PL14 CDV 505 CMX'!W32</f>
        <v xml:space="preserve">   </v>
      </c>
      <c r="W110" s="77">
        <f>'[1]PL14 CDV 505 CMX'!X32</f>
        <v>43335.255578703705</v>
      </c>
      <c r="X110" t="s">
        <v>342</v>
      </c>
      <c r="Y110" t="s">
        <v>4</v>
      </c>
      <c r="Z110" t="s">
        <v>28</v>
      </c>
      <c r="AA110">
        <v>72</v>
      </c>
    </row>
    <row r="111" spans="1:27" x14ac:dyDescent="0.25">
      <c r="A111" t="str">
        <f>'[1]PL14 CDV 505 CMX'!B33</f>
        <v>201-107_PL14_CDV_505_T72_lys2_CC-004-776_032.lcd</v>
      </c>
      <c r="B111" t="str">
        <f>'[1]PL14 CDV 505 CMX'!C33</f>
        <v>Unknown</v>
      </c>
      <c r="C111">
        <f>'[1]PL14 CDV 505 CMX'!D33</f>
        <v>0</v>
      </c>
      <c r="D111" t="str">
        <f>'[1]PL14 CDV 505 CMX'!E33</f>
        <v>505_T72_lys2</v>
      </c>
      <c r="E111">
        <f>'[1]PL14 CDV 505 CMX'!F33</f>
        <v>2</v>
      </c>
      <c r="F111">
        <f>'[1]PL14 CDV 505 CMX'!G33</f>
        <v>26</v>
      </c>
      <c r="G111">
        <f>'[1]PL14 CDV 505 CMX'!H33</f>
        <v>1.248</v>
      </c>
      <c r="H111">
        <f>'[1]PL14 CDV 505 CMX'!I33</f>
        <v>27547</v>
      </c>
      <c r="I111" t="str">
        <f>'[1]PL14 CDV 505 CMX'!J33</f>
        <v>-----</v>
      </c>
      <c r="J111">
        <f>'[1]PL14 CDV 505 CMX'!K33</f>
        <v>385.1</v>
      </c>
      <c r="K111" t="str">
        <f>'[1]PL14 CDV 505 CMX'!L33</f>
        <v>-----</v>
      </c>
      <c r="L111" t="str">
        <f>'[1]PL14 CDV 505 CMX'!M33</f>
        <v>-----</v>
      </c>
      <c r="M111" t="str">
        <f>'[1]PL14 CDV 505 CMX'!N33</f>
        <v>-----</v>
      </c>
      <c r="N111" t="str">
        <f>'[1]PL14 CDV 505 CMX'!O33</f>
        <v>-----</v>
      </c>
      <c r="O111">
        <f>'[1]PL14 CDV 505 CMX'!P33</f>
        <v>0</v>
      </c>
      <c r="P111">
        <f>'[1]PL14 CDV 505 CMX'!Q33</f>
        <v>35.53</v>
      </c>
      <c r="Q111">
        <f>'[1]PL14 CDV 505 CMX'!R33</f>
        <v>31</v>
      </c>
      <c r="R111" t="str">
        <f>'[1]PL14 CDV 505 CMX'!S33</f>
        <v>-----</v>
      </c>
      <c r="S111">
        <f>'[1]PL14 CDV 505 CMX'!T33</f>
        <v>1</v>
      </c>
      <c r="T111">
        <f>'[1]PL14 CDV 505 CMX'!U33</f>
        <v>13757</v>
      </c>
      <c r="U111">
        <f>'[1]PL14 CDV 505 CMX'!V33</f>
        <v>13866</v>
      </c>
      <c r="V111" t="str">
        <f>'[1]PL14 CDV 505 CMX'!W33</f>
        <v xml:space="preserve">   </v>
      </c>
      <c r="W111" s="77">
        <f>'[1]PL14 CDV 505 CMX'!X33</f>
        <v>43335.258020833331</v>
      </c>
      <c r="X111" t="s">
        <v>342</v>
      </c>
      <c r="Y111" t="s">
        <v>4</v>
      </c>
      <c r="Z111" t="s">
        <v>28</v>
      </c>
      <c r="AA111">
        <v>72</v>
      </c>
    </row>
    <row r="112" spans="1:27" x14ac:dyDescent="0.25">
      <c r="A112" t="str">
        <f>'[1]PL14 CDV 505 CMX'!B34</f>
        <v>201-107_PL14_CDV_505_T72_lys3_CC-004-776_033.lcd</v>
      </c>
      <c r="B112" t="str">
        <f>'[1]PL14 CDV 505 CMX'!C34</f>
        <v>Unknown</v>
      </c>
      <c r="C112">
        <f>'[1]PL14 CDV 505 CMX'!D34</f>
        <v>0</v>
      </c>
      <c r="D112" t="str">
        <f>'[1]PL14 CDV 505 CMX'!E34</f>
        <v>505_T72_lys3</v>
      </c>
      <c r="E112">
        <f>'[1]PL14 CDV 505 CMX'!F34</f>
        <v>2</v>
      </c>
      <c r="F112">
        <f>'[1]PL14 CDV 505 CMX'!G34</f>
        <v>27</v>
      </c>
      <c r="G112">
        <f>'[1]PL14 CDV 505 CMX'!H34</f>
        <v>1.2450000000000001</v>
      </c>
      <c r="H112">
        <f>'[1]PL14 CDV 505 CMX'!I34</f>
        <v>19812</v>
      </c>
      <c r="I112" t="str">
        <f>'[1]PL14 CDV 505 CMX'!J34</f>
        <v>-----</v>
      </c>
      <c r="J112">
        <f>'[1]PL14 CDV 505 CMX'!K34</f>
        <v>276.7</v>
      </c>
      <c r="K112" t="str">
        <f>'[1]PL14 CDV 505 CMX'!L34</f>
        <v>-----</v>
      </c>
      <c r="L112" t="str">
        <f>'[1]PL14 CDV 505 CMX'!M34</f>
        <v>-----</v>
      </c>
      <c r="M112" t="str">
        <f>'[1]PL14 CDV 505 CMX'!N34</f>
        <v>-----</v>
      </c>
      <c r="N112" t="str">
        <f>'[1]PL14 CDV 505 CMX'!O34</f>
        <v>-----</v>
      </c>
      <c r="O112">
        <f>'[1]PL14 CDV 505 CMX'!P34</f>
        <v>0</v>
      </c>
      <c r="P112">
        <f>'[1]PL14 CDV 505 CMX'!Q34</f>
        <v>26.48</v>
      </c>
      <c r="Q112">
        <f>'[1]PL14 CDV 505 CMX'!R34</f>
        <v>34.89</v>
      </c>
      <c r="R112" t="str">
        <f>'[1]PL14 CDV 505 CMX'!S34</f>
        <v>-----</v>
      </c>
      <c r="S112">
        <f>'[1]PL14 CDV 505 CMX'!T34</f>
        <v>1</v>
      </c>
      <c r="T112">
        <f>'[1]PL14 CDV 505 CMX'!U34</f>
        <v>9749</v>
      </c>
      <c r="U112">
        <f>'[1]PL14 CDV 505 CMX'!V34</f>
        <v>9716</v>
      </c>
      <c r="V112" t="str">
        <f>'[1]PL14 CDV 505 CMX'!W34</f>
        <v xml:space="preserve">   </v>
      </c>
      <c r="W112" s="77">
        <f>'[1]PL14 CDV 505 CMX'!X34</f>
        <v>43335.260474537034</v>
      </c>
      <c r="X112" t="s">
        <v>342</v>
      </c>
      <c r="Y112" t="s">
        <v>4</v>
      </c>
      <c r="Z112" t="s">
        <v>28</v>
      </c>
      <c r="AA112">
        <v>72</v>
      </c>
    </row>
    <row r="113" spans="1:27" x14ac:dyDescent="0.25">
      <c r="A113" t="str">
        <f>'[1]PL13 CDVPP Lysate'!B48</f>
        <v>201-107_PL13_CDVPP_Lysate_505_T72_lys1_CC-004-773_047.lcd</v>
      </c>
      <c r="B113" t="str">
        <f>'[1]PL13 CDVPP Lysate'!C48</f>
        <v>Unknown</v>
      </c>
      <c r="C113">
        <f>'[1]PL13 CDVPP Lysate'!D48</f>
        <v>0</v>
      </c>
      <c r="D113" t="str">
        <f>'[1]PL13 CDVPP Lysate'!E48</f>
        <v>505_T72_lys1</v>
      </c>
      <c r="E113">
        <f>'[1]PL13 CDVPP Lysate'!F48</f>
        <v>2</v>
      </c>
      <c r="F113">
        <f>'[1]PL13 CDVPP Lysate'!G48</f>
        <v>76</v>
      </c>
      <c r="G113">
        <f>'[1]PL13 CDVPP Lysate'!H48</f>
        <v>2.2909999999999999</v>
      </c>
      <c r="H113">
        <f>'[1]PL13 CDVPP Lysate'!I48</f>
        <v>384010</v>
      </c>
      <c r="I113" t="str">
        <f>'[1]PL13 CDVPP Lysate'!J48</f>
        <v>-----</v>
      </c>
      <c r="J113">
        <f>'[1]PL13 CDVPP Lysate'!K48</f>
        <v>449.5</v>
      </c>
      <c r="K113" t="str">
        <f>'[1]PL13 CDVPP Lysate'!L48</f>
        <v>-----</v>
      </c>
      <c r="L113" t="str">
        <f>'[1]PL13 CDVPP Lysate'!M48</f>
        <v>-----</v>
      </c>
      <c r="M113" t="str">
        <f>'[1]PL13 CDVPP Lysate'!N48</f>
        <v>-----</v>
      </c>
      <c r="N113" t="str">
        <f>'[1]PL13 CDVPP Lysate'!O48</f>
        <v>-----</v>
      </c>
      <c r="O113">
        <f>'[1]PL13 CDVPP Lysate'!P48</f>
        <v>0</v>
      </c>
      <c r="P113">
        <f>'[1]PL13 CDVPP Lysate'!Q48</f>
        <v>1162.1300000000001</v>
      </c>
      <c r="Q113">
        <f>'[1]PL13 CDVPP Lysate'!R48</f>
        <v>26.2</v>
      </c>
      <c r="R113" t="str">
        <f>'[1]PL13 CDVPP Lysate'!S48</f>
        <v>-----</v>
      </c>
      <c r="S113">
        <f>'[1]PL13 CDVPP Lysate'!T48</f>
        <v>1</v>
      </c>
      <c r="T113">
        <f>'[1]PL13 CDVPP Lysate'!U48</f>
        <v>209415</v>
      </c>
      <c r="U113">
        <f>'[1]PL13 CDVPP Lysate'!V48</f>
        <v>195732</v>
      </c>
      <c r="V113" t="str">
        <f>'[1]PL13 CDVPP Lysate'!W48</f>
        <v xml:space="preserve">   </v>
      </c>
      <c r="W113" s="77">
        <f>'[1]PL13 CDVPP Lysate'!X48</f>
        <v>43333.790324074071</v>
      </c>
      <c r="X113" t="s">
        <v>342</v>
      </c>
      <c r="Y113" t="s">
        <v>96</v>
      </c>
      <c r="Z113" t="s">
        <v>28</v>
      </c>
      <c r="AA113">
        <v>72</v>
      </c>
    </row>
    <row r="114" spans="1:27" x14ac:dyDescent="0.25">
      <c r="A114" t="str">
        <f>'[1]PL13 CDVPP Lysate'!B49</f>
        <v>201-107_PL13_CDVPP_Lysate_505_T72_lys2_CC-004-773_048.lcd</v>
      </c>
      <c r="B114" t="str">
        <f>'[1]PL13 CDVPP Lysate'!C49</f>
        <v>Unknown</v>
      </c>
      <c r="C114">
        <f>'[1]PL13 CDVPP Lysate'!D49</f>
        <v>0</v>
      </c>
      <c r="D114" t="str">
        <f>'[1]PL13 CDVPP Lysate'!E49</f>
        <v>505_T72_lys2</v>
      </c>
      <c r="E114">
        <f>'[1]PL13 CDVPP Lysate'!F49</f>
        <v>2</v>
      </c>
      <c r="F114">
        <f>'[1]PL13 CDVPP Lysate'!G49</f>
        <v>77</v>
      </c>
      <c r="G114">
        <f>'[1]PL13 CDVPP Lysate'!H49</f>
        <v>2.2879999999999998</v>
      </c>
      <c r="H114">
        <f>'[1]PL13 CDVPP Lysate'!I49</f>
        <v>373220</v>
      </c>
      <c r="I114" t="str">
        <f>'[1]PL13 CDVPP Lysate'!J49</f>
        <v>-----</v>
      </c>
      <c r="J114">
        <f>'[1]PL13 CDVPP Lysate'!K49</f>
        <v>436.8</v>
      </c>
      <c r="K114" t="str">
        <f>'[1]PL13 CDVPP Lysate'!L49</f>
        <v>-----</v>
      </c>
      <c r="L114" t="str">
        <f>'[1]PL13 CDVPP Lysate'!M49</f>
        <v>-----</v>
      </c>
      <c r="M114" t="str">
        <f>'[1]PL13 CDVPP Lysate'!N49</f>
        <v>-----</v>
      </c>
      <c r="N114" t="str">
        <f>'[1]PL13 CDVPP Lysate'!O49</f>
        <v>-----</v>
      </c>
      <c r="O114">
        <f>'[1]PL13 CDVPP Lysate'!P49</f>
        <v>0</v>
      </c>
      <c r="P114">
        <f>'[1]PL13 CDVPP Lysate'!Q49</f>
        <v>1128.18</v>
      </c>
      <c r="Q114">
        <f>'[1]PL13 CDVPP Lysate'!R49</f>
        <v>26.94</v>
      </c>
      <c r="R114" t="str">
        <f>'[1]PL13 CDVPP Lysate'!S49</f>
        <v>-----</v>
      </c>
      <c r="S114">
        <f>'[1]PL13 CDVPP Lysate'!T49</f>
        <v>1</v>
      </c>
      <c r="T114">
        <f>'[1]PL13 CDVPP Lysate'!U49</f>
        <v>201922</v>
      </c>
      <c r="U114">
        <f>'[1]PL13 CDVPP Lysate'!V49</f>
        <v>198615</v>
      </c>
      <c r="V114" t="str">
        <f>'[1]PL13 CDVPP Lysate'!W49</f>
        <v xml:space="preserve">   </v>
      </c>
      <c r="W114" s="77">
        <f>'[1]PL13 CDVPP Lysate'!X49</f>
        <v>43333.793888888889</v>
      </c>
      <c r="X114" t="s">
        <v>342</v>
      </c>
      <c r="Y114" t="s">
        <v>96</v>
      </c>
      <c r="Z114" t="s">
        <v>28</v>
      </c>
      <c r="AA114">
        <v>72</v>
      </c>
    </row>
    <row r="115" spans="1:27" x14ac:dyDescent="0.25">
      <c r="A115" t="str">
        <f>'[1]PL13 CDVPP Lysate'!B50</f>
        <v>201-107_PL13_CDVPP_Lysate_505_T72_lys3_CC-004-773_049.lcd</v>
      </c>
      <c r="B115" t="str">
        <f>'[1]PL13 CDVPP Lysate'!C50</f>
        <v>Unknown</v>
      </c>
      <c r="C115">
        <f>'[1]PL13 CDVPP Lysate'!D50</f>
        <v>0</v>
      </c>
      <c r="D115" t="str">
        <f>'[1]PL13 CDVPP Lysate'!E50</f>
        <v>505_T72_lys3</v>
      </c>
      <c r="E115">
        <f>'[1]PL13 CDVPP Lysate'!F50</f>
        <v>2</v>
      </c>
      <c r="F115">
        <f>'[1]PL13 CDVPP Lysate'!G50</f>
        <v>78</v>
      </c>
      <c r="G115">
        <f>'[1]PL13 CDVPP Lysate'!H50</f>
        <v>2.2919999999999998</v>
      </c>
      <c r="H115">
        <f>'[1]PL13 CDVPP Lysate'!I50</f>
        <v>358787</v>
      </c>
      <c r="I115" t="str">
        <f>'[1]PL13 CDVPP Lysate'!J50</f>
        <v>-----</v>
      </c>
      <c r="J115">
        <f>'[1]PL13 CDVPP Lysate'!K50</f>
        <v>420</v>
      </c>
      <c r="K115" t="str">
        <f>'[1]PL13 CDVPP Lysate'!L50</f>
        <v>-----</v>
      </c>
      <c r="L115" t="str">
        <f>'[1]PL13 CDVPP Lysate'!M50</f>
        <v>-----</v>
      </c>
      <c r="M115" t="str">
        <f>'[1]PL13 CDVPP Lysate'!N50</f>
        <v>-----</v>
      </c>
      <c r="N115" t="str">
        <f>'[1]PL13 CDVPP Lysate'!O50</f>
        <v>-----</v>
      </c>
      <c r="O115">
        <f>'[1]PL13 CDVPP Lysate'!P50</f>
        <v>0</v>
      </c>
      <c r="P115">
        <f>'[1]PL13 CDVPP Lysate'!Q50</f>
        <v>1347.02</v>
      </c>
      <c r="Q115">
        <f>'[1]PL13 CDVPP Lysate'!R50</f>
        <v>26.01</v>
      </c>
      <c r="R115" t="str">
        <f>'[1]PL13 CDVPP Lysate'!S50</f>
        <v>-----</v>
      </c>
      <c r="S115">
        <f>'[1]PL13 CDVPP Lysate'!T50</f>
        <v>1</v>
      </c>
      <c r="T115">
        <f>'[1]PL13 CDVPP Lysate'!U50</f>
        <v>189618</v>
      </c>
      <c r="U115">
        <f>'[1]PL13 CDVPP Lysate'!V50</f>
        <v>186756</v>
      </c>
      <c r="V115" t="str">
        <f>'[1]PL13 CDVPP Lysate'!W50</f>
        <v xml:space="preserve">   </v>
      </c>
      <c r="W115" s="77">
        <f>'[1]PL13 CDVPP Lysate'!X50</f>
        <v>43333.797465277778</v>
      </c>
      <c r="X115" t="s">
        <v>342</v>
      </c>
      <c r="Y115" t="s">
        <v>96</v>
      </c>
      <c r="Z115" t="s">
        <v>28</v>
      </c>
      <c r="AA115">
        <v>72</v>
      </c>
    </row>
    <row r="116" spans="1:27" x14ac:dyDescent="0.25">
      <c r="A116" t="str">
        <f>'[1]PL14 CMX Media'!B31</f>
        <v>201-107_PL14_CMX_CMX_T0_ds1_CC-004-775_030.lcd</v>
      </c>
      <c r="B116" t="str">
        <f>'[1]PL14 CMX Media'!C31</f>
        <v>Unknown</v>
      </c>
      <c r="C116">
        <f>'[1]PL14 CMX Media'!D31</f>
        <v>0</v>
      </c>
      <c r="D116" t="str">
        <f>'[1]PL14 CMX Media'!E31</f>
        <v>CMX_T0_ds1</v>
      </c>
      <c r="E116">
        <f>'[1]PL14 CMX Media'!F31</f>
        <v>1</v>
      </c>
      <c r="F116">
        <f>'[1]PL14 CMX Media'!G31</f>
        <v>73</v>
      </c>
      <c r="G116">
        <f>'[1]PL14 CMX Media'!H31</f>
        <v>1.07</v>
      </c>
      <c r="H116">
        <f>'[1]PL14 CMX Media'!I31</f>
        <v>4166485</v>
      </c>
      <c r="I116" t="str">
        <f>'[1]PL14 CMX Media'!J31</f>
        <v>-----</v>
      </c>
      <c r="J116">
        <f>'[1]PL14 CMX Media'!K31</f>
        <v>957</v>
      </c>
      <c r="K116" t="str">
        <f>'[1]PL14 CMX Media'!L31</f>
        <v>-----</v>
      </c>
      <c r="L116" t="str">
        <f>'[1]PL14 CMX Media'!M31</f>
        <v>-----</v>
      </c>
      <c r="M116" t="str">
        <f>'[1]PL14 CMX Media'!N31</f>
        <v>-----</v>
      </c>
      <c r="N116" t="str">
        <f>'[1]PL14 CMX Media'!O31</f>
        <v>-----</v>
      </c>
      <c r="O116">
        <f>'[1]PL14 CMX Media'!P31</f>
        <v>0</v>
      </c>
      <c r="P116">
        <f>'[1]PL14 CMX Media'!Q31</f>
        <v>198.74</v>
      </c>
      <c r="Q116">
        <f>'[1]PL14 CMX Media'!R31</f>
        <v>61.09</v>
      </c>
      <c r="R116">
        <f>'[1]PL14 CMX Media'!S31</f>
        <v>60.06</v>
      </c>
      <c r="S116">
        <f>'[1]PL14 CMX Media'!T31</f>
        <v>1</v>
      </c>
      <c r="T116">
        <f>'[1]PL14 CMX Media'!U31</f>
        <v>1531186</v>
      </c>
      <c r="U116">
        <f>'[1]PL14 CMX Media'!V31</f>
        <v>1507909</v>
      </c>
      <c r="V116" t="str">
        <f>'[1]PL14 CMX Media'!W31</f>
        <v xml:space="preserve">   </v>
      </c>
      <c r="W116" s="77">
        <f>'[1]PL14 CMX Media'!X31</f>
        <v>43334.976273148146</v>
      </c>
      <c r="X116" t="s">
        <v>42</v>
      </c>
      <c r="Y116" t="s">
        <v>43</v>
      </c>
      <c r="Z116" t="s">
        <v>27</v>
      </c>
      <c r="AA116">
        <v>0</v>
      </c>
    </row>
    <row r="117" spans="1:27" x14ac:dyDescent="0.25">
      <c r="A117" t="str">
        <f>'[1]PL14 CMX Media'!B32</f>
        <v>201-107_PL14_CMX_CMX_T0_ds2_CC-004-775_031.lcd</v>
      </c>
      <c r="B117" t="str">
        <f>'[1]PL14 CMX Media'!C32</f>
        <v>Unknown</v>
      </c>
      <c r="C117">
        <f>'[1]PL14 CMX Media'!D32</f>
        <v>0</v>
      </c>
      <c r="D117" t="str">
        <f>'[1]PL14 CMX Media'!E32</f>
        <v>CMX_T0_ds2</v>
      </c>
      <c r="E117">
        <f>'[1]PL14 CMX Media'!F32</f>
        <v>1</v>
      </c>
      <c r="F117">
        <f>'[1]PL14 CMX Media'!G32</f>
        <v>74</v>
      </c>
      <c r="G117">
        <f>'[1]PL14 CMX Media'!H32</f>
        <v>1.0680000000000001</v>
      </c>
      <c r="H117">
        <f>'[1]PL14 CMX Media'!I32</f>
        <v>4408826</v>
      </c>
      <c r="I117" t="str">
        <f>'[1]PL14 CMX Media'!J32</f>
        <v>-----</v>
      </c>
      <c r="J117">
        <f>'[1]PL14 CMX Media'!K32</f>
        <v>1012.7</v>
      </c>
      <c r="K117" t="str">
        <f>'[1]PL14 CMX Media'!L32</f>
        <v>-----</v>
      </c>
      <c r="L117" t="str">
        <f>'[1]PL14 CMX Media'!M32</f>
        <v>-----</v>
      </c>
      <c r="M117" t="str">
        <f>'[1]PL14 CMX Media'!N32</f>
        <v>-----</v>
      </c>
      <c r="N117" t="str">
        <f>'[1]PL14 CMX Media'!O32</f>
        <v>-----</v>
      </c>
      <c r="O117">
        <f>'[1]PL14 CMX Media'!P32</f>
        <v>0</v>
      </c>
      <c r="P117">
        <f>'[1]PL14 CMX Media'!Q32</f>
        <v>204.88</v>
      </c>
      <c r="Q117">
        <f>'[1]PL14 CMX Media'!R32</f>
        <v>60.02</v>
      </c>
      <c r="R117">
        <f>'[1]PL14 CMX Media'!S32</f>
        <v>58.58</v>
      </c>
      <c r="S117">
        <f>'[1]PL14 CMX Media'!T32</f>
        <v>1</v>
      </c>
      <c r="T117">
        <f>'[1]PL14 CMX Media'!U32</f>
        <v>1626111</v>
      </c>
      <c r="U117">
        <f>'[1]PL14 CMX Media'!V32</f>
        <v>1602053</v>
      </c>
      <c r="V117" t="str">
        <f>'[1]PL14 CMX Media'!W32</f>
        <v xml:space="preserve">   </v>
      </c>
      <c r="W117" s="77">
        <f>'[1]PL14 CMX Media'!X32</f>
        <v>43334.978715277779</v>
      </c>
      <c r="X117" t="s">
        <v>42</v>
      </c>
      <c r="Y117" t="s">
        <v>43</v>
      </c>
      <c r="Z117" t="s">
        <v>27</v>
      </c>
      <c r="AA117">
        <v>0</v>
      </c>
    </row>
    <row r="118" spans="1:27" x14ac:dyDescent="0.25">
      <c r="A118" t="str">
        <f>'[1]PL14 CMX Media'!B33</f>
        <v>201-107_PL14_CMX_CMX_T0_ds3_CC-004-775_032.lcd</v>
      </c>
      <c r="B118" t="str">
        <f>'[1]PL14 CMX Media'!C33</f>
        <v>Unknown</v>
      </c>
      <c r="C118">
        <f>'[1]PL14 CMX Media'!D33</f>
        <v>0</v>
      </c>
      <c r="D118" t="str">
        <f>'[1]PL14 CMX Media'!E33</f>
        <v>CMX_T0_ds3</v>
      </c>
      <c r="E118">
        <f>'[1]PL14 CMX Media'!F33</f>
        <v>1</v>
      </c>
      <c r="F118">
        <f>'[1]PL14 CMX Media'!G33</f>
        <v>75</v>
      </c>
      <c r="G118">
        <f>'[1]PL14 CMX Media'!H33</f>
        <v>1.069</v>
      </c>
      <c r="H118">
        <f>'[1]PL14 CMX Media'!I33</f>
        <v>4221445</v>
      </c>
      <c r="I118" t="str">
        <f>'[1]PL14 CMX Media'!J33</f>
        <v>-----</v>
      </c>
      <c r="J118">
        <f>'[1]PL14 CMX Media'!K33</f>
        <v>969.7</v>
      </c>
      <c r="K118" t="str">
        <f>'[1]PL14 CMX Media'!L33</f>
        <v>-----</v>
      </c>
      <c r="L118" t="str">
        <f>'[1]PL14 CMX Media'!M33</f>
        <v>-----</v>
      </c>
      <c r="M118" t="str">
        <f>'[1]PL14 CMX Media'!N33</f>
        <v>-----</v>
      </c>
      <c r="N118" t="str">
        <f>'[1]PL14 CMX Media'!O33</f>
        <v>-----</v>
      </c>
      <c r="O118">
        <f>'[1]PL14 CMX Media'!P33</f>
        <v>0</v>
      </c>
      <c r="P118">
        <f>'[1]PL14 CMX Media'!Q33</f>
        <v>196.3</v>
      </c>
      <c r="Q118">
        <f>'[1]PL14 CMX Media'!R33</f>
        <v>60.03</v>
      </c>
      <c r="R118">
        <f>'[1]PL14 CMX Media'!S33</f>
        <v>59.1</v>
      </c>
      <c r="S118">
        <f>'[1]PL14 CMX Media'!T33</f>
        <v>1</v>
      </c>
      <c r="T118">
        <f>'[1]PL14 CMX Media'!U33</f>
        <v>1532577</v>
      </c>
      <c r="U118">
        <f>'[1]PL14 CMX Media'!V33</f>
        <v>1511139</v>
      </c>
      <c r="V118" t="str">
        <f>'[1]PL14 CMX Media'!W33</f>
        <v xml:space="preserve">   </v>
      </c>
      <c r="W118" s="77">
        <f>'[1]PL14 CMX Media'!X33</f>
        <v>43334.981157407405</v>
      </c>
      <c r="X118" t="s">
        <v>42</v>
      </c>
      <c r="Y118" t="s">
        <v>43</v>
      </c>
      <c r="Z118" t="s">
        <v>27</v>
      </c>
      <c r="AA118">
        <v>0</v>
      </c>
    </row>
    <row r="119" spans="1:27" x14ac:dyDescent="0.25">
      <c r="A119" t="str">
        <f>'[1]PL14 CMX Media'!B36</f>
        <v>201-107_PL14_CMX_CMX_T72_ds1_CC-004-775_035.lcd</v>
      </c>
      <c r="B119" t="str">
        <f>'[1]PL14 CMX Media'!C36</f>
        <v>Unknown</v>
      </c>
      <c r="C119">
        <f>'[1]PL14 CMX Media'!D36</f>
        <v>0</v>
      </c>
      <c r="D119" t="str">
        <f>'[1]PL14 CMX Media'!E36</f>
        <v>CMX_T72_ds1</v>
      </c>
      <c r="E119">
        <f>'[1]PL14 CMX Media'!F36</f>
        <v>1</v>
      </c>
      <c r="F119">
        <f>'[1]PL14 CMX Media'!G36</f>
        <v>76</v>
      </c>
      <c r="G119">
        <f>'[1]PL14 CMX Media'!H36</f>
        <v>1.069</v>
      </c>
      <c r="H119">
        <f>'[1]PL14 CMX Media'!I36</f>
        <v>3863279</v>
      </c>
      <c r="I119" t="str">
        <f>'[1]PL14 CMX Media'!J36</f>
        <v>-----</v>
      </c>
      <c r="J119">
        <f>'[1]PL14 CMX Media'!K36</f>
        <v>887.3</v>
      </c>
      <c r="K119" t="str">
        <f>'[1]PL14 CMX Media'!L36</f>
        <v>-----</v>
      </c>
      <c r="L119" t="str">
        <f>'[1]PL14 CMX Media'!M36</f>
        <v>-----</v>
      </c>
      <c r="M119" t="str">
        <f>'[1]PL14 CMX Media'!N36</f>
        <v>-----</v>
      </c>
      <c r="N119" t="str">
        <f>'[1]PL14 CMX Media'!O36</f>
        <v>-----</v>
      </c>
      <c r="O119">
        <f>'[1]PL14 CMX Media'!P36</f>
        <v>0</v>
      </c>
      <c r="P119">
        <f>'[1]PL14 CMX Media'!Q36</f>
        <v>241.34</v>
      </c>
      <c r="Q119">
        <f>'[1]PL14 CMX Media'!R36</f>
        <v>60.09</v>
      </c>
      <c r="R119">
        <f>'[1]PL14 CMX Media'!S36</f>
        <v>57.66</v>
      </c>
      <c r="S119">
        <f>'[1]PL14 CMX Media'!T36</f>
        <v>1</v>
      </c>
      <c r="T119">
        <f>'[1]PL14 CMX Media'!U36</f>
        <v>1398064</v>
      </c>
      <c r="U119">
        <f>'[1]PL14 CMX Media'!V36</f>
        <v>1377543</v>
      </c>
      <c r="V119" t="str">
        <f>'[1]PL14 CMX Media'!W36</f>
        <v xml:space="preserve">   </v>
      </c>
      <c r="W119" s="77">
        <f>'[1]PL14 CMX Media'!X36</f>
        <v>43334.98847222222</v>
      </c>
      <c r="X119" t="s">
        <v>42</v>
      </c>
      <c r="Y119" t="s">
        <v>43</v>
      </c>
      <c r="Z119" t="s">
        <v>27</v>
      </c>
      <c r="AA119">
        <v>72</v>
      </c>
    </row>
    <row r="120" spans="1:27" x14ac:dyDescent="0.25">
      <c r="A120" t="str">
        <f>'[1]PL14 CMX Media'!B37</f>
        <v>201-107_PL14_CMX_CMX_T72_ds2_CC-004-775_036.lcd</v>
      </c>
      <c r="B120" t="str">
        <f>'[1]PL14 CMX Media'!C37</f>
        <v>Unknown</v>
      </c>
      <c r="C120">
        <f>'[1]PL14 CMX Media'!D37</f>
        <v>0</v>
      </c>
      <c r="D120" t="str">
        <f>'[1]PL14 CMX Media'!E37</f>
        <v>CMX_T72_ds2</v>
      </c>
      <c r="E120">
        <f>'[1]PL14 CMX Media'!F37</f>
        <v>1</v>
      </c>
      <c r="F120">
        <f>'[1]PL14 CMX Media'!G37</f>
        <v>77</v>
      </c>
      <c r="G120">
        <f>'[1]PL14 CMX Media'!H37</f>
        <v>1.0680000000000001</v>
      </c>
      <c r="H120">
        <f>'[1]PL14 CMX Media'!I37</f>
        <v>3778715</v>
      </c>
      <c r="I120" t="str">
        <f>'[1]PL14 CMX Media'!J37</f>
        <v>-----</v>
      </c>
      <c r="J120">
        <f>'[1]PL14 CMX Media'!K37</f>
        <v>867.9</v>
      </c>
      <c r="K120" t="str">
        <f>'[1]PL14 CMX Media'!L37</f>
        <v>-----</v>
      </c>
      <c r="L120" t="str">
        <f>'[1]PL14 CMX Media'!M37</f>
        <v>-----</v>
      </c>
      <c r="M120" t="str">
        <f>'[1]PL14 CMX Media'!N37</f>
        <v>-----</v>
      </c>
      <c r="N120" t="str">
        <f>'[1]PL14 CMX Media'!O37</f>
        <v>-----</v>
      </c>
      <c r="O120">
        <f>'[1]PL14 CMX Media'!P37</f>
        <v>0</v>
      </c>
      <c r="P120">
        <f>'[1]PL14 CMX Media'!Q37</f>
        <v>230.36</v>
      </c>
      <c r="Q120">
        <f>'[1]PL14 CMX Media'!R37</f>
        <v>60.11</v>
      </c>
      <c r="R120">
        <f>'[1]PL14 CMX Media'!S37</f>
        <v>57.38</v>
      </c>
      <c r="S120">
        <f>'[1]PL14 CMX Media'!T37</f>
        <v>1</v>
      </c>
      <c r="T120">
        <f>'[1]PL14 CMX Media'!U37</f>
        <v>1327885</v>
      </c>
      <c r="U120">
        <f>'[1]PL14 CMX Media'!V37</f>
        <v>1310375</v>
      </c>
      <c r="V120" t="str">
        <f>'[1]PL14 CMX Media'!W37</f>
        <v xml:space="preserve">   </v>
      </c>
      <c r="W120" s="77">
        <f>'[1]PL14 CMX Media'!X37</f>
        <v>43334.990914351853</v>
      </c>
      <c r="X120" t="s">
        <v>42</v>
      </c>
      <c r="Y120" t="s">
        <v>43</v>
      </c>
      <c r="Z120" t="s">
        <v>27</v>
      </c>
      <c r="AA120">
        <v>72</v>
      </c>
    </row>
    <row r="121" spans="1:27" x14ac:dyDescent="0.25">
      <c r="A121" t="str">
        <f>'[1]PL14 CMX Media'!B38</f>
        <v>201-107_PL14_CMX_CMX_T72_ds3_CC-004-775_037.lcd</v>
      </c>
      <c r="B121" t="str">
        <f>'[1]PL14 CMX Media'!C38</f>
        <v>Unknown</v>
      </c>
      <c r="C121">
        <f>'[1]PL14 CMX Media'!D38</f>
        <v>0</v>
      </c>
      <c r="D121" t="str">
        <f>'[1]PL14 CMX Media'!E38</f>
        <v>CMX_T72_ds3</v>
      </c>
      <c r="E121">
        <f>'[1]PL14 CMX Media'!F38</f>
        <v>1</v>
      </c>
      <c r="F121">
        <f>'[1]PL14 CMX Media'!G38</f>
        <v>78</v>
      </c>
      <c r="G121">
        <f>'[1]PL14 CMX Media'!H38</f>
        <v>1.0669999999999999</v>
      </c>
      <c r="H121">
        <f>'[1]PL14 CMX Media'!I38</f>
        <v>3689541</v>
      </c>
      <c r="I121" t="str">
        <f>'[1]PL14 CMX Media'!J38</f>
        <v>-----</v>
      </c>
      <c r="J121">
        <f>'[1]PL14 CMX Media'!K38</f>
        <v>847.4</v>
      </c>
      <c r="K121" t="str">
        <f>'[1]PL14 CMX Media'!L38</f>
        <v>-----</v>
      </c>
      <c r="L121" t="str">
        <f>'[1]PL14 CMX Media'!M38</f>
        <v>-----</v>
      </c>
      <c r="M121" t="str">
        <f>'[1]PL14 CMX Media'!N38</f>
        <v>-----</v>
      </c>
      <c r="N121" t="str">
        <f>'[1]PL14 CMX Media'!O38</f>
        <v>-----</v>
      </c>
      <c r="O121">
        <f>'[1]PL14 CMX Media'!P38</f>
        <v>0</v>
      </c>
      <c r="P121">
        <f>'[1]PL14 CMX Media'!Q38</f>
        <v>231.77</v>
      </c>
      <c r="Q121">
        <f>'[1]PL14 CMX Media'!R38</f>
        <v>60.39</v>
      </c>
      <c r="R121">
        <f>'[1]PL14 CMX Media'!S38</f>
        <v>59.54</v>
      </c>
      <c r="S121">
        <f>'[1]PL14 CMX Media'!T38</f>
        <v>1</v>
      </c>
      <c r="T121">
        <f>'[1]PL14 CMX Media'!U38</f>
        <v>1274426</v>
      </c>
      <c r="U121">
        <f>'[1]PL14 CMX Media'!V38</f>
        <v>1256414</v>
      </c>
      <c r="V121" t="str">
        <f>'[1]PL14 CMX Media'!W38</f>
        <v xml:space="preserve">   </v>
      </c>
      <c r="W121" s="77">
        <f>'[1]PL14 CMX Media'!X38</f>
        <v>43334.993344907409</v>
      </c>
      <c r="X121" t="s">
        <v>42</v>
      </c>
      <c r="Y121" t="s">
        <v>43</v>
      </c>
      <c r="Z121" t="s">
        <v>27</v>
      </c>
      <c r="AA121">
        <v>72</v>
      </c>
    </row>
    <row r="122" spans="1:27" x14ac:dyDescent="0.25">
      <c r="A122" t="str">
        <f>'[1]PL14 CMX Media'!B41</f>
        <v>201-107_PL14_CMX_CMX_T72_med1_CC-004-775_040.lcd</v>
      </c>
      <c r="B122" t="str">
        <f>'[1]PL14 CMX Media'!C41</f>
        <v>Unknown</v>
      </c>
      <c r="C122">
        <f>'[1]PL14 CMX Media'!D41</f>
        <v>0</v>
      </c>
      <c r="D122" t="str">
        <f>'[1]PL14 CMX Media'!E41</f>
        <v>CMX_T72_med1</v>
      </c>
      <c r="E122">
        <f>'[1]PL14 CMX Media'!F41</f>
        <v>1</v>
      </c>
      <c r="F122">
        <f>'[1]PL14 CMX Media'!G41</f>
        <v>79</v>
      </c>
      <c r="G122">
        <f>'[1]PL14 CMX Media'!H41</f>
        <v>1.0660000000000001</v>
      </c>
      <c r="H122">
        <f>'[1]PL14 CMX Media'!I41</f>
        <v>2273091</v>
      </c>
      <c r="I122" t="str">
        <f>'[1]PL14 CMX Media'!J41</f>
        <v>-----</v>
      </c>
      <c r="J122">
        <f>'[1]PL14 CMX Media'!K41</f>
        <v>521.79999999999995</v>
      </c>
      <c r="K122" t="str">
        <f>'[1]PL14 CMX Media'!L41</f>
        <v>-----</v>
      </c>
      <c r="L122" t="str">
        <f>'[1]PL14 CMX Media'!M41</f>
        <v>-----</v>
      </c>
      <c r="M122" t="str">
        <f>'[1]PL14 CMX Media'!N41</f>
        <v>-----</v>
      </c>
      <c r="N122" t="str">
        <f>'[1]PL14 CMX Media'!O41</f>
        <v>-----</v>
      </c>
      <c r="O122">
        <f>'[1]PL14 CMX Media'!P41</f>
        <v>0</v>
      </c>
      <c r="P122">
        <f>'[1]PL14 CMX Media'!Q41</f>
        <v>203.89</v>
      </c>
      <c r="Q122">
        <f>'[1]PL14 CMX Media'!R41</f>
        <v>61.48</v>
      </c>
      <c r="R122">
        <f>'[1]PL14 CMX Media'!S41</f>
        <v>61.42</v>
      </c>
      <c r="S122">
        <f>'[1]PL14 CMX Media'!T41</f>
        <v>1</v>
      </c>
      <c r="T122">
        <f>'[1]PL14 CMX Media'!U41</f>
        <v>781536</v>
      </c>
      <c r="U122">
        <f>'[1]PL14 CMX Media'!V41</f>
        <v>771294</v>
      </c>
      <c r="V122" t="str">
        <f>'[1]PL14 CMX Media'!W41</f>
        <v xml:space="preserve">   </v>
      </c>
      <c r="W122" s="77">
        <f>'[1]PL14 CMX Media'!X41</f>
        <v>43335.000752314816</v>
      </c>
      <c r="X122" t="s">
        <v>42</v>
      </c>
      <c r="Y122" t="s">
        <v>43</v>
      </c>
      <c r="Z122" t="s">
        <v>27</v>
      </c>
      <c r="AA122">
        <v>72</v>
      </c>
    </row>
    <row r="123" spans="1:27" x14ac:dyDescent="0.25">
      <c r="A123" t="str">
        <f>'[1]PL14 CMX Media'!B42</f>
        <v>201-107_PL14_CMX_CMX_T72_med1_CC-004-775_041.lcd</v>
      </c>
      <c r="B123" t="str">
        <f>'[1]PL14 CMX Media'!C42</f>
        <v>Unknown</v>
      </c>
      <c r="C123">
        <f>'[1]PL14 CMX Media'!D42</f>
        <v>0</v>
      </c>
      <c r="D123" t="str">
        <f>'[1]PL14 CMX Media'!E42</f>
        <v>CMX_T72_med1</v>
      </c>
      <c r="E123">
        <f>'[1]PL14 CMX Media'!F42</f>
        <v>1</v>
      </c>
      <c r="F123">
        <f>'[1]PL14 CMX Media'!G42</f>
        <v>80</v>
      </c>
      <c r="G123">
        <f>'[1]PL14 CMX Media'!H42</f>
        <v>1.0680000000000001</v>
      </c>
      <c r="H123">
        <f>'[1]PL14 CMX Media'!I42</f>
        <v>2527098</v>
      </c>
      <c r="I123" t="str">
        <f>'[1]PL14 CMX Media'!J42</f>
        <v>-----</v>
      </c>
      <c r="J123">
        <f>'[1]PL14 CMX Media'!K42</f>
        <v>580.20000000000005</v>
      </c>
      <c r="K123" t="str">
        <f>'[1]PL14 CMX Media'!L42</f>
        <v>-----</v>
      </c>
      <c r="L123" t="str">
        <f>'[1]PL14 CMX Media'!M42</f>
        <v>-----</v>
      </c>
      <c r="M123" t="str">
        <f>'[1]PL14 CMX Media'!N42</f>
        <v>-----</v>
      </c>
      <c r="N123" t="str">
        <f>'[1]PL14 CMX Media'!O42</f>
        <v>-----</v>
      </c>
      <c r="O123">
        <f>'[1]PL14 CMX Media'!P42</f>
        <v>0</v>
      </c>
      <c r="P123">
        <f>'[1]PL14 CMX Media'!Q42</f>
        <v>227.75</v>
      </c>
      <c r="Q123">
        <f>'[1]PL14 CMX Media'!R42</f>
        <v>59.94</v>
      </c>
      <c r="R123">
        <f>'[1]PL14 CMX Media'!S42</f>
        <v>58.01</v>
      </c>
      <c r="S123">
        <f>'[1]PL14 CMX Media'!T42</f>
        <v>1</v>
      </c>
      <c r="T123">
        <f>'[1]PL14 CMX Media'!U42</f>
        <v>896535</v>
      </c>
      <c r="U123">
        <f>'[1]PL14 CMX Media'!V42</f>
        <v>884093</v>
      </c>
      <c r="V123" t="str">
        <f>'[1]PL14 CMX Media'!W42</f>
        <v xml:space="preserve">   </v>
      </c>
      <c r="W123" s="77">
        <f>'[1]PL14 CMX Media'!X42</f>
        <v>43335.003194444442</v>
      </c>
      <c r="X123" t="s">
        <v>42</v>
      </c>
      <c r="Y123" t="s">
        <v>43</v>
      </c>
      <c r="Z123" t="s">
        <v>27</v>
      </c>
      <c r="AA123">
        <v>72</v>
      </c>
    </row>
    <row r="124" spans="1:27" x14ac:dyDescent="0.25">
      <c r="A124" t="str">
        <f>'[1]PL14 CMX Media'!B43</f>
        <v>201-107_PL14_CMX_CMX_T72_med1_CC-004-775_042.lcd</v>
      </c>
      <c r="B124" t="str">
        <f>'[1]PL14 CMX Media'!C43</f>
        <v>Unknown</v>
      </c>
      <c r="C124">
        <f>'[1]PL14 CMX Media'!D43</f>
        <v>0</v>
      </c>
      <c r="D124" t="str">
        <f>'[1]PL14 CMX Media'!E43</f>
        <v>CMX_T72_med1</v>
      </c>
      <c r="E124">
        <f>'[1]PL14 CMX Media'!F43</f>
        <v>1</v>
      </c>
      <c r="F124">
        <f>'[1]PL14 CMX Media'!G43</f>
        <v>81</v>
      </c>
      <c r="G124">
        <f>'[1]PL14 CMX Media'!H43</f>
        <v>1.0680000000000001</v>
      </c>
      <c r="H124">
        <f>'[1]PL14 CMX Media'!I43</f>
        <v>2118157</v>
      </c>
      <c r="I124" t="str">
        <f>'[1]PL14 CMX Media'!J43</f>
        <v>-----</v>
      </c>
      <c r="J124">
        <f>'[1]PL14 CMX Media'!K43</f>
        <v>486.1</v>
      </c>
      <c r="K124" t="str">
        <f>'[1]PL14 CMX Media'!L43</f>
        <v>-----</v>
      </c>
      <c r="L124" t="str">
        <f>'[1]PL14 CMX Media'!M43</f>
        <v>-----</v>
      </c>
      <c r="M124" t="str">
        <f>'[1]PL14 CMX Media'!N43</f>
        <v>-----</v>
      </c>
      <c r="N124" t="str">
        <f>'[1]PL14 CMX Media'!O43</f>
        <v>-----</v>
      </c>
      <c r="O124">
        <f>'[1]PL14 CMX Media'!P43</f>
        <v>0</v>
      </c>
      <c r="P124">
        <f>'[1]PL14 CMX Media'!Q43</f>
        <v>223.66</v>
      </c>
      <c r="Q124">
        <f>'[1]PL14 CMX Media'!R43</f>
        <v>59.4</v>
      </c>
      <c r="R124">
        <f>'[1]PL14 CMX Media'!S43</f>
        <v>58.2</v>
      </c>
      <c r="S124">
        <f>'[1]PL14 CMX Media'!T43</f>
        <v>1</v>
      </c>
      <c r="T124">
        <f>'[1]PL14 CMX Media'!U43</f>
        <v>762033</v>
      </c>
      <c r="U124">
        <f>'[1]PL14 CMX Media'!V43</f>
        <v>751952</v>
      </c>
      <c r="V124" t="str">
        <f>'[1]PL14 CMX Media'!W43</f>
        <v xml:space="preserve">   </v>
      </c>
      <c r="W124" s="77">
        <f>'[1]PL14 CMX Media'!X43</f>
        <v>43335.005648148152</v>
      </c>
      <c r="X124" t="s">
        <v>42</v>
      </c>
      <c r="Y124" t="s">
        <v>43</v>
      </c>
      <c r="Z124" t="s">
        <v>27</v>
      </c>
      <c r="AA124">
        <v>72</v>
      </c>
    </row>
    <row r="125" spans="1:27" x14ac:dyDescent="0.25">
      <c r="A125" t="str">
        <f>'[1]PL14 CMX Lysate'!B32</f>
        <v>201-107_PL14_CMX_CMX_T72_lys1_CC-004-777_031.lcd</v>
      </c>
      <c r="B125" t="str">
        <f>'[1]PL14 CMX Lysate'!C32</f>
        <v>Unknown</v>
      </c>
      <c r="C125">
        <f>'[1]PL14 CMX Lysate'!D32</f>
        <v>0</v>
      </c>
      <c r="D125" t="str">
        <f>'[1]PL14 CMX Lysate'!E32</f>
        <v>CMX_T72_lys1</v>
      </c>
      <c r="E125">
        <f>'[1]PL14 CMX Lysate'!F32</f>
        <v>2</v>
      </c>
      <c r="F125">
        <f>'[1]PL14 CMX Lysate'!G32</f>
        <v>73</v>
      </c>
      <c r="G125">
        <f>'[1]PL14 CMX Lysate'!H32</f>
        <v>1.075</v>
      </c>
      <c r="H125">
        <f>'[1]PL14 CMX Lysate'!I32</f>
        <v>27616578</v>
      </c>
      <c r="I125" t="str">
        <f>'[1]PL14 CMX Lysate'!J32</f>
        <v>-----</v>
      </c>
      <c r="J125">
        <f>'[1]PL14 CMX Lysate'!K32</f>
        <v>1588.6</v>
      </c>
      <c r="K125" t="str">
        <f>'[1]PL14 CMX Lysate'!L32</f>
        <v>-----</v>
      </c>
      <c r="L125" t="str">
        <f>'[1]PL14 CMX Lysate'!M32</f>
        <v>-----</v>
      </c>
      <c r="M125" t="str">
        <f>'[1]PL14 CMX Lysate'!N32</f>
        <v>-----</v>
      </c>
      <c r="N125" t="str">
        <f>'[1]PL14 CMX Lysate'!O32</f>
        <v>-----</v>
      </c>
      <c r="O125">
        <f>'[1]PL14 CMX Lysate'!P32</f>
        <v>0</v>
      </c>
      <c r="P125">
        <f>'[1]PL14 CMX Lysate'!Q32</f>
        <v>398.04</v>
      </c>
      <c r="Q125">
        <f>'[1]PL14 CMX Lysate'!R32</f>
        <v>60.67</v>
      </c>
      <c r="R125">
        <f>'[1]PL14 CMX Lysate'!S32</f>
        <v>59.78</v>
      </c>
      <c r="S125">
        <f>'[1]PL14 CMX Lysate'!T32</f>
        <v>1</v>
      </c>
      <c r="T125">
        <f>'[1]PL14 CMX Lysate'!U32</f>
        <v>11770662</v>
      </c>
      <c r="U125">
        <f>'[1]PL14 CMX Lysate'!V32</f>
        <v>11538061</v>
      </c>
      <c r="V125" t="str">
        <f>'[1]PL14 CMX Lysate'!W32</f>
        <v xml:space="preserve">   </v>
      </c>
      <c r="W125" s="77">
        <f>'[1]PL14 CMX Lysate'!X32</f>
        <v>43335.127280092594</v>
      </c>
      <c r="X125" t="s">
        <v>42</v>
      </c>
      <c r="Y125" t="s">
        <v>43</v>
      </c>
      <c r="Z125" t="s">
        <v>28</v>
      </c>
      <c r="AA125">
        <v>72</v>
      </c>
    </row>
    <row r="126" spans="1:27" x14ac:dyDescent="0.25">
      <c r="A126" t="str">
        <f>'[1]PL14 CMX Lysate'!B33</f>
        <v>201-107_PL14_CMX_CMX_T72_lys2_CC-004-777_032.lcd</v>
      </c>
      <c r="B126" t="str">
        <f>'[1]PL14 CMX Lysate'!C33</f>
        <v>Unknown</v>
      </c>
      <c r="C126">
        <f>'[1]PL14 CMX Lysate'!D33</f>
        <v>0</v>
      </c>
      <c r="D126" t="str">
        <f>'[1]PL14 CMX Lysate'!E33</f>
        <v>CMX_T72_lys2</v>
      </c>
      <c r="E126">
        <f>'[1]PL14 CMX Lysate'!F33</f>
        <v>2</v>
      </c>
      <c r="F126">
        <f>'[1]PL14 CMX Lysate'!G33</f>
        <v>74</v>
      </c>
      <c r="G126">
        <f>'[1]PL14 CMX Lysate'!H33</f>
        <v>1.075</v>
      </c>
      <c r="H126">
        <f>'[1]PL14 CMX Lysate'!I33</f>
        <v>27983000</v>
      </c>
      <c r="I126" t="str">
        <f>'[1]PL14 CMX Lysate'!J33</f>
        <v>-----</v>
      </c>
      <c r="J126">
        <f>'[1]PL14 CMX Lysate'!K33</f>
        <v>1609.7</v>
      </c>
      <c r="K126" t="str">
        <f>'[1]PL14 CMX Lysate'!L33</f>
        <v>-----</v>
      </c>
      <c r="L126" t="str">
        <f>'[1]PL14 CMX Lysate'!M33</f>
        <v>-----</v>
      </c>
      <c r="M126" t="str">
        <f>'[1]PL14 CMX Lysate'!N33</f>
        <v>-----</v>
      </c>
      <c r="N126" t="str">
        <f>'[1]PL14 CMX Lysate'!O33</f>
        <v>-----</v>
      </c>
      <c r="O126">
        <f>'[1]PL14 CMX Lysate'!P33</f>
        <v>0</v>
      </c>
      <c r="P126">
        <f>'[1]PL14 CMX Lysate'!Q33</f>
        <v>451.39</v>
      </c>
      <c r="Q126">
        <f>'[1]PL14 CMX Lysate'!R33</f>
        <v>59.46</v>
      </c>
      <c r="R126">
        <f>'[1]PL14 CMX Lysate'!S33</f>
        <v>58.31</v>
      </c>
      <c r="S126">
        <f>'[1]PL14 CMX Lysate'!T33</f>
        <v>1</v>
      </c>
      <c r="T126">
        <f>'[1]PL14 CMX Lysate'!U33</f>
        <v>11893454</v>
      </c>
      <c r="U126">
        <f>'[1]PL14 CMX Lysate'!V33</f>
        <v>11657413</v>
      </c>
      <c r="V126" t="str">
        <f>'[1]PL14 CMX Lysate'!W33</f>
        <v xml:space="preserve">   </v>
      </c>
      <c r="W126" s="77">
        <f>'[1]PL14 CMX Lysate'!X33</f>
        <v>43335.12972222222</v>
      </c>
      <c r="X126" t="s">
        <v>42</v>
      </c>
      <c r="Y126" t="s">
        <v>43</v>
      </c>
      <c r="Z126" t="s">
        <v>28</v>
      </c>
      <c r="AA126">
        <v>72</v>
      </c>
    </row>
    <row r="127" spans="1:27" x14ac:dyDescent="0.25">
      <c r="A127" t="str">
        <f>'[1]PL14 CMX Lysate'!B34</f>
        <v>201-107_PL14_CMX_CMX_T72_lys3_CC-004-777_033.lcd</v>
      </c>
      <c r="B127" t="str">
        <f>'[1]PL14 CMX Lysate'!C34</f>
        <v>Unknown</v>
      </c>
      <c r="C127">
        <f>'[1]PL14 CMX Lysate'!D34</f>
        <v>0</v>
      </c>
      <c r="D127" t="str">
        <f>'[1]PL14 CMX Lysate'!E34</f>
        <v>CMX_T72_lys3</v>
      </c>
      <c r="E127">
        <f>'[1]PL14 CMX Lysate'!F34</f>
        <v>2</v>
      </c>
      <c r="F127">
        <f>'[1]PL14 CMX Lysate'!G34</f>
        <v>75</v>
      </c>
      <c r="G127">
        <f>'[1]PL14 CMX Lysate'!H34</f>
        <v>1.075</v>
      </c>
      <c r="H127">
        <f>'[1]PL14 CMX Lysate'!I34</f>
        <v>27311754</v>
      </c>
      <c r="I127" t="str">
        <f>'[1]PL14 CMX Lysate'!J34</f>
        <v>-----</v>
      </c>
      <c r="J127">
        <f>'[1]PL14 CMX Lysate'!K34</f>
        <v>1571.1</v>
      </c>
      <c r="K127" t="str">
        <f>'[1]PL14 CMX Lysate'!L34</f>
        <v>-----</v>
      </c>
      <c r="L127" t="str">
        <f>'[1]PL14 CMX Lysate'!M34</f>
        <v>-----</v>
      </c>
      <c r="M127" t="str">
        <f>'[1]PL14 CMX Lysate'!N34</f>
        <v>-----</v>
      </c>
      <c r="N127" t="str">
        <f>'[1]PL14 CMX Lysate'!O34</f>
        <v>-----</v>
      </c>
      <c r="O127">
        <f>'[1]PL14 CMX Lysate'!P34</f>
        <v>0</v>
      </c>
      <c r="P127">
        <f>'[1]PL14 CMX Lysate'!Q34</f>
        <v>443.65</v>
      </c>
      <c r="Q127">
        <f>'[1]PL14 CMX Lysate'!R34</f>
        <v>59.7</v>
      </c>
      <c r="R127">
        <f>'[1]PL14 CMX Lysate'!S34</f>
        <v>57.52</v>
      </c>
      <c r="S127">
        <f>'[1]PL14 CMX Lysate'!T34</f>
        <v>1</v>
      </c>
      <c r="T127">
        <f>'[1]PL14 CMX Lysate'!U34</f>
        <v>11502591</v>
      </c>
      <c r="U127">
        <f>'[1]PL14 CMX Lysate'!V34</f>
        <v>11281571</v>
      </c>
      <c r="V127" t="str">
        <f>'[1]PL14 CMX Lysate'!W34</f>
        <v xml:space="preserve">   </v>
      </c>
      <c r="W127" s="77">
        <f>'[1]PL14 CMX Lysate'!X34</f>
        <v>43335.132141203707</v>
      </c>
      <c r="X127" t="s">
        <v>42</v>
      </c>
      <c r="Y127" t="s">
        <v>43</v>
      </c>
      <c r="Z127" t="s">
        <v>28</v>
      </c>
      <c r="AA127">
        <v>72</v>
      </c>
    </row>
    <row r="128" spans="1:27" x14ac:dyDescent="0.25">
      <c r="A128" t="str">
        <f>'[1]PL 14 CDV Media'!B67</f>
        <v>201-107_PL14_CDV_CMX_T0_ds1_CC-004-778_091.lcd</v>
      </c>
      <c r="B128" t="str">
        <f>'[1]PL 14 CDV Media'!C67</f>
        <v>Unknown</v>
      </c>
      <c r="C128">
        <f>'[1]PL 14 CDV Media'!D67</f>
        <v>0</v>
      </c>
      <c r="D128" t="str">
        <f>'[1]PL 14 CDV Media'!E67</f>
        <v>CMX_T0_ds1</v>
      </c>
      <c r="E128">
        <f>'[1]PL 14 CDV Media'!F67</f>
        <v>1</v>
      </c>
      <c r="F128">
        <f>'[1]PL 14 CDV Media'!G67</f>
        <v>46</v>
      </c>
      <c r="G128" t="str">
        <f>'[1]PL 14 CDV Media'!H67</f>
        <v>-----</v>
      </c>
      <c r="H128" t="str">
        <f>'[1]PL 14 CDV Media'!I67</f>
        <v>-----</v>
      </c>
      <c r="I128" t="str">
        <f>'[1]PL 14 CDV Media'!J67</f>
        <v>-----</v>
      </c>
      <c r="J128" t="str">
        <f>'[1]PL 14 CDV Media'!K67</f>
        <v>-----</v>
      </c>
      <c r="K128" t="str">
        <f>'[1]PL 14 CDV Media'!L67</f>
        <v>-----</v>
      </c>
      <c r="L128" t="str">
        <f>'[1]PL 14 CDV Media'!M67</f>
        <v>-----</v>
      </c>
      <c r="M128" t="str">
        <f>'[1]PL 14 CDV Media'!N67</f>
        <v>-----</v>
      </c>
      <c r="N128" t="str">
        <f>'[1]PL 14 CDV Media'!O67</f>
        <v>-----</v>
      </c>
      <c r="O128">
        <f>'[1]PL 14 CDV Media'!P67</f>
        <v>0</v>
      </c>
      <c r="P128" t="str">
        <f>'[1]PL 14 CDV Media'!Q67</f>
        <v>-----</v>
      </c>
      <c r="Q128" t="str">
        <f>'[1]PL 14 CDV Media'!R67</f>
        <v>-----</v>
      </c>
      <c r="R128" t="str">
        <f>'[1]PL 14 CDV Media'!S67</f>
        <v>-----</v>
      </c>
      <c r="S128">
        <f>'[1]PL 14 CDV Media'!T67</f>
        <v>1</v>
      </c>
      <c r="T128" t="str">
        <f>'[1]PL 14 CDV Media'!U67</f>
        <v>-----</v>
      </c>
      <c r="U128" t="str">
        <f>'[1]PL 14 CDV Media'!V67</f>
        <v>-----</v>
      </c>
      <c r="V128" t="str">
        <f>'[1]PL 14 CDV Media'!W67</f>
        <v>-----</v>
      </c>
      <c r="W128" s="77">
        <f>'[1]PL 14 CDV Media'!X67</f>
        <v>43336.01771990741</v>
      </c>
      <c r="X128" t="s">
        <v>42</v>
      </c>
      <c r="Y128" t="s">
        <v>4</v>
      </c>
      <c r="Z128" t="s">
        <v>27</v>
      </c>
      <c r="AA128">
        <v>0</v>
      </c>
    </row>
    <row r="129" spans="1:27" x14ac:dyDescent="0.25">
      <c r="A129" t="str">
        <f>'[1]PL 14 CDV Media'!B68</f>
        <v>201-107_PL14_CDV_CMX_T0_ds2_CC-004-778_092.lcd</v>
      </c>
      <c r="B129" t="str">
        <f>'[1]PL 14 CDV Media'!C68</f>
        <v>Unknown</v>
      </c>
      <c r="C129">
        <f>'[1]PL 14 CDV Media'!D68</f>
        <v>0</v>
      </c>
      <c r="D129" t="str">
        <f>'[1]PL 14 CDV Media'!E68</f>
        <v>CMX_T0_ds2</v>
      </c>
      <c r="E129">
        <f>'[1]PL 14 CDV Media'!F68</f>
        <v>1</v>
      </c>
      <c r="F129">
        <f>'[1]PL 14 CDV Media'!G68</f>
        <v>47</v>
      </c>
      <c r="G129" t="str">
        <f>'[1]PL 14 CDV Media'!H68</f>
        <v>-----</v>
      </c>
      <c r="H129">
        <f>'[1]PL 14 CDV Media'!I68</f>
        <v>251</v>
      </c>
      <c r="I129" t="str">
        <f>'[1]PL 14 CDV Media'!J68</f>
        <v>-----</v>
      </c>
      <c r="J129" t="str">
        <f>'[1]PL 14 CDV Media'!K68</f>
        <v>-----</v>
      </c>
      <c r="K129" t="str">
        <f>'[1]PL 14 CDV Media'!L68</f>
        <v>-----</v>
      </c>
      <c r="L129" t="str">
        <f>'[1]PL 14 CDV Media'!M68</f>
        <v>-----</v>
      </c>
      <c r="M129" t="str">
        <f>'[1]PL 14 CDV Media'!N68</f>
        <v>-----</v>
      </c>
      <c r="N129" t="str">
        <f>'[1]PL 14 CDV Media'!O68</f>
        <v>-----</v>
      </c>
      <c r="O129">
        <f>'[1]PL 14 CDV Media'!P68</f>
        <v>0</v>
      </c>
      <c r="P129" t="str">
        <f>'[1]PL 14 CDV Media'!Q68</f>
        <v>-----</v>
      </c>
      <c r="Q129">
        <f>'[1]PL 14 CDV Media'!R68</f>
        <v>9.77</v>
      </c>
      <c r="R129" t="str">
        <f>'[1]PL 14 CDV Media'!S68</f>
        <v>-----</v>
      </c>
      <c r="S129">
        <f>'[1]PL 14 CDV Media'!T68</f>
        <v>1</v>
      </c>
      <c r="T129">
        <f>'[1]PL 14 CDV Media'!U68</f>
        <v>157</v>
      </c>
      <c r="U129">
        <f>'[1]PL 14 CDV Media'!V68</f>
        <v>174</v>
      </c>
      <c r="V129" t="str">
        <f>'[1]PL 14 CDV Media'!W68</f>
        <v>-----</v>
      </c>
      <c r="W129" s="77">
        <f>'[1]PL 14 CDV Media'!X68</f>
        <v>43336.020127314812</v>
      </c>
      <c r="X129" t="s">
        <v>42</v>
      </c>
      <c r="Y129" t="s">
        <v>4</v>
      </c>
      <c r="Z129" t="s">
        <v>27</v>
      </c>
      <c r="AA129">
        <v>0</v>
      </c>
    </row>
    <row r="130" spans="1:27" x14ac:dyDescent="0.25">
      <c r="A130" t="str">
        <f>'[1]PL 14 CDV Media'!B69</f>
        <v>201-107_PL14_CDV_CMX_T0_ds3_CC-004-778_093.lcd</v>
      </c>
      <c r="B130" t="str">
        <f>'[1]PL 14 CDV Media'!C69</f>
        <v>Unknown</v>
      </c>
      <c r="C130">
        <f>'[1]PL 14 CDV Media'!D69</f>
        <v>0</v>
      </c>
      <c r="D130" t="str">
        <f>'[1]PL 14 CDV Media'!E69</f>
        <v>CMX_T0_ds3</v>
      </c>
      <c r="E130">
        <f>'[1]PL 14 CDV Media'!F69</f>
        <v>1</v>
      </c>
      <c r="F130">
        <f>'[1]PL 14 CDV Media'!G69</f>
        <v>48</v>
      </c>
      <c r="G130" t="str">
        <f>'[1]PL 14 CDV Media'!H69</f>
        <v>-----</v>
      </c>
      <c r="H130">
        <f>'[1]PL 14 CDV Media'!I69</f>
        <v>422</v>
      </c>
      <c r="I130" t="str">
        <f>'[1]PL 14 CDV Media'!J69</f>
        <v>-----</v>
      </c>
      <c r="J130" t="str">
        <f>'[1]PL 14 CDV Media'!K69</f>
        <v>-----</v>
      </c>
      <c r="K130" t="str">
        <f>'[1]PL 14 CDV Media'!L69</f>
        <v>-----</v>
      </c>
      <c r="L130" t="str">
        <f>'[1]PL 14 CDV Media'!M69</f>
        <v>-----</v>
      </c>
      <c r="M130" t="str">
        <f>'[1]PL 14 CDV Media'!N69</f>
        <v>-----</v>
      </c>
      <c r="N130" t="str">
        <f>'[1]PL 14 CDV Media'!O69</f>
        <v>-----</v>
      </c>
      <c r="O130">
        <f>'[1]PL 14 CDV Media'!P69</f>
        <v>0</v>
      </c>
      <c r="P130" t="str">
        <f>'[1]PL 14 CDV Media'!Q69</f>
        <v>-----</v>
      </c>
      <c r="Q130">
        <f>'[1]PL 14 CDV Media'!R69</f>
        <v>19.64</v>
      </c>
      <c r="R130" t="str">
        <f>'[1]PL 14 CDV Media'!S69</f>
        <v>-----</v>
      </c>
      <c r="S130">
        <f>'[1]PL 14 CDV Media'!T69</f>
        <v>1</v>
      </c>
      <c r="T130">
        <f>'[1]PL 14 CDV Media'!U69</f>
        <v>160</v>
      </c>
      <c r="U130">
        <f>'[1]PL 14 CDV Media'!V69</f>
        <v>168</v>
      </c>
      <c r="V130" t="str">
        <f>'[1]PL 14 CDV Media'!W69</f>
        <v>-----</v>
      </c>
      <c r="W130" s="77">
        <f>'[1]PL 14 CDV Media'!X69</f>
        <v>43336.022557870368</v>
      </c>
      <c r="X130" t="s">
        <v>42</v>
      </c>
      <c r="Y130" t="s">
        <v>4</v>
      </c>
      <c r="Z130" t="s">
        <v>27</v>
      </c>
      <c r="AA130">
        <v>0</v>
      </c>
    </row>
    <row r="131" spans="1:27" x14ac:dyDescent="0.25">
      <c r="A131" t="str">
        <f>'[1]PL 14 CDV Media'!B70</f>
        <v>201-107_PL14_CDV_CMX_T72_ds1_CC-004-778_095.lcd</v>
      </c>
      <c r="B131" t="str">
        <f>'[1]PL 14 CDV Media'!C70</f>
        <v>Unknown</v>
      </c>
      <c r="C131">
        <f>'[1]PL 14 CDV Media'!D70</f>
        <v>0</v>
      </c>
      <c r="D131" t="str">
        <f>'[1]PL 14 CDV Media'!E70</f>
        <v>CMX_T72_ds1</v>
      </c>
      <c r="E131">
        <f>'[1]PL 14 CDV Media'!F70</f>
        <v>1</v>
      </c>
      <c r="F131">
        <f>'[1]PL 14 CDV Media'!G70</f>
        <v>58</v>
      </c>
      <c r="G131" t="str">
        <f>'[1]PL 14 CDV Media'!H70</f>
        <v>-----</v>
      </c>
      <c r="H131" t="str">
        <f>'[1]PL 14 CDV Media'!I70</f>
        <v>-----</v>
      </c>
      <c r="I131" t="str">
        <f>'[1]PL 14 CDV Media'!J70</f>
        <v>-----</v>
      </c>
      <c r="J131" t="str">
        <f>'[1]PL 14 CDV Media'!K70</f>
        <v>-----</v>
      </c>
      <c r="K131" t="str">
        <f>'[1]PL 14 CDV Media'!L70</f>
        <v>-----</v>
      </c>
      <c r="L131" t="str">
        <f>'[1]PL 14 CDV Media'!M70</f>
        <v>-----</v>
      </c>
      <c r="M131" t="str">
        <f>'[1]PL 14 CDV Media'!N70</f>
        <v>-----</v>
      </c>
      <c r="N131" t="str">
        <f>'[1]PL 14 CDV Media'!O70</f>
        <v>-----</v>
      </c>
      <c r="O131">
        <f>'[1]PL 14 CDV Media'!P70</f>
        <v>0</v>
      </c>
      <c r="P131" t="str">
        <f>'[1]PL 14 CDV Media'!Q70</f>
        <v>-----</v>
      </c>
      <c r="Q131" t="str">
        <f>'[1]PL 14 CDV Media'!R70</f>
        <v>-----</v>
      </c>
      <c r="R131" t="str">
        <f>'[1]PL 14 CDV Media'!S70</f>
        <v>-----</v>
      </c>
      <c r="S131">
        <f>'[1]PL 14 CDV Media'!T70</f>
        <v>1</v>
      </c>
      <c r="T131" t="str">
        <f>'[1]PL 14 CDV Media'!U70</f>
        <v>-----</v>
      </c>
      <c r="U131" t="str">
        <f>'[1]PL 14 CDV Media'!V70</f>
        <v>-----</v>
      </c>
      <c r="V131" t="str">
        <f>'[1]PL 14 CDV Media'!W70</f>
        <v>-----</v>
      </c>
      <c r="W131" s="77">
        <f>'[1]PL 14 CDV Media'!X70</f>
        <v>43336.027418981481</v>
      </c>
      <c r="X131" t="s">
        <v>42</v>
      </c>
      <c r="Y131" t="s">
        <v>4</v>
      </c>
      <c r="Z131" t="s">
        <v>27</v>
      </c>
      <c r="AA131">
        <v>72</v>
      </c>
    </row>
    <row r="132" spans="1:27" x14ac:dyDescent="0.25">
      <c r="A132" t="str">
        <f>'[1]PL 14 CDV Media'!B71</f>
        <v>201-107_PL14_CDV_CMX_T72_ds2_CC-004-778_096.lcd</v>
      </c>
      <c r="B132" t="str">
        <f>'[1]PL 14 CDV Media'!C71</f>
        <v>Unknown</v>
      </c>
      <c r="C132">
        <f>'[1]PL 14 CDV Media'!D71</f>
        <v>0</v>
      </c>
      <c r="D132" t="str">
        <f>'[1]PL 14 CDV Media'!E71</f>
        <v>CMX_T72_ds2</v>
      </c>
      <c r="E132">
        <f>'[1]PL 14 CDV Media'!F71</f>
        <v>1</v>
      </c>
      <c r="F132">
        <f>'[1]PL 14 CDV Media'!G71</f>
        <v>59</v>
      </c>
      <c r="G132" t="str">
        <f>'[1]PL 14 CDV Media'!H71</f>
        <v>-----</v>
      </c>
      <c r="H132">
        <f>'[1]PL 14 CDV Media'!I71</f>
        <v>566</v>
      </c>
      <c r="I132" t="str">
        <f>'[1]PL 14 CDV Media'!J71</f>
        <v>-----</v>
      </c>
      <c r="J132" t="str">
        <f>'[1]PL 14 CDV Media'!K71</f>
        <v>-----</v>
      </c>
      <c r="K132" t="str">
        <f>'[1]PL 14 CDV Media'!L71</f>
        <v>-----</v>
      </c>
      <c r="L132" t="str">
        <f>'[1]PL 14 CDV Media'!M71</f>
        <v>-----</v>
      </c>
      <c r="M132" t="str">
        <f>'[1]PL 14 CDV Media'!N71</f>
        <v>-----</v>
      </c>
      <c r="N132" t="str">
        <f>'[1]PL 14 CDV Media'!O71</f>
        <v>-----</v>
      </c>
      <c r="O132">
        <f>'[1]PL 14 CDV Media'!P71</f>
        <v>0</v>
      </c>
      <c r="P132" t="str">
        <f>'[1]PL 14 CDV Media'!Q71</f>
        <v>-----</v>
      </c>
      <c r="Q132">
        <f>'[1]PL 14 CDV Media'!R71</f>
        <v>0</v>
      </c>
      <c r="R132" t="str">
        <f>'[1]PL 14 CDV Media'!S71</f>
        <v>-----</v>
      </c>
      <c r="S132">
        <f>'[1]PL 14 CDV Media'!T71</f>
        <v>1</v>
      </c>
      <c r="T132">
        <f>'[1]PL 14 CDV Media'!U71</f>
        <v>234</v>
      </c>
      <c r="U132">
        <f>'[1]PL 14 CDV Media'!V71</f>
        <v>253</v>
      </c>
      <c r="V132" t="str">
        <f>'[1]PL 14 CDV Media'!W71</f>
        <v>-----</v>
      </c>
      <c r="W132" s="77">
        <f>'[1]PL 14 CDV Media'!X71</f>
        <v>43336.02983796296</v>
      </c>
      <c r="X132" t="s">
        <v>42</v>
      </c>
      <c r="Y132" t="s">
        <v>4</v>
      </c>
      <c r="Z132" t="s">
        <v>27</v>
      </c>
      <c r="AA132">
        <v>72</v>
      </c>
    </row>
    <row r="133" spans="1:27" x14ac:dyDescent="0.25">
      <c r="A133" t="str">
        <f>'[1]PL 14 CDV Media'!B72</f>
        <v>201-107_PL14_CDV_CMX_T72_ds3_CC-004-778_097.lcd</v>
      </c>
      <c r="B133" t="str">
        <f>'[1]PL 14 CDV Media'!C72</f>
        <v>Unknown</v>
      </c>
      <c r="C133">
        <f>'[1]PL 14 CDV Media'!D72</f>
        <v>0</v>
      </c>
      <c r="D133" t="str">
        <f>'[1]PL 14 CDV Media'!E72</f>
        <v>CMX_T72_ds3</v>
      </c>
      <c r="E133">
        <f>'[1]PL 14 CDV Media'!F72</f>
        <v>1</v>
      </c>
      <c r="F133">
        <f>'[1]PL 14 CDV Media'!G72</f>
        <v>60</v>
      </c>
      <c r="G133" t="str">
        <f>'[1]PL 14 CDV Media'!H72</f>
        <v>-----</v>
      </c>
      <c r="H133">
        <f>'[1]PL 14 CDV Media'!I72</f>
        <v>484</v>
      </c>
      <c r="I133" t="str">
        <f>'[1]PL 14 CDV Media'!J72</f>
        <v>-----</v>
      </c>
      <c r="J133" t="str">
        <f>'[1]PL 14 CDV Media'!K72</f>
        <v>-----</v>
      </c>
      <c r="K133" t="str">
        <f>'[1]PL 14 CDV Media'!L72</f>
        <v>-----</v>
      </c>
      <c r="L133" t="str">
        <f>'[1]PL 14 CDV Media'!M72</f>
        <v>-----</v>
      </c>
      <c r="M133" t="str">
        <f>'[1]PL 14 CDV Media'!N72</f>
        <v>-----</v>
      </c>
      <c r="N133" t="str">
        <f>'[1]PL 14 CDV Media'!O72</f>
        <v>-----</v>
      </c>
      <c r="O133">
        <f>'[1]PL 14 CDV Media'!P72</f>
        <v>0</v>
      </c>
      <c r="P133" t="str">
        <f>'[1]PL 14 CDV Media'!Q72</f>
        <v>-----</v>
      </c>
      <c r="Q133">
        <f>'[1]PL 14 CDV Media'!R72</f>
        <v>20.61</v>
      </c>
      <c r="R133" t="str">
        <f>'[1]PL 14 CDV Media'!S72</f>
        <v>-----</v>
      </c>
      <c r="S133">
        <f>'[1]PL 14 CDV Media'!T72</f>
        <v>1</v>
      </c>
      <c r="T133">
        <f>'[1]PL 14 CDV Media'!U72</f>
        <v>241</v>
      </c>
      <c r="U133">
        <f>'[1]PL 14 CDV Media'!V72</f>
        <v>262</v>
      </c>
      <c r="V133" t="str">
        <f>'[1]PL 14 CDV Media'!W72</f>
        <v>-----</v>
      </c>
      <c r="W133" s="77">
        <f>'[1]PL 14 CDV Media'!X72</f>
        <v>43336.032280092593</v>
      </c>
      <c r="X133" t="s">
        <v>42</v>
      </c>
      <c r="Y133" t="s">
        <v>4</v>
      </c>
      <c r="Z133" t="s">
        <v>27</v>
      </c>
      <c r="AA133">
        <v>72</v>
      </c>
    </row>
    <row r="134" spans="1:27" x14ac:dyDescent="0.25">
      <c r="A134" t="str">
        <f>'[1]PL 14 CDV Media'!B73</f>
        <v>201-107_PL14_CDV_CMX_T72_med1_CC-004-778_099.lcd</v>
      </c>
      <c r="B134" t="str">
        <f>'[1]PL 14 CDV Media'!C73</f>
        <v>Unknown</v>
      </c>
      <c r="C134">
        <f>'[1]PL 14 CDV Media'!D73</f>
        <v>0</v>
      </c>
      <c r="D134" t="str">
        <f>'[1]PL 14 CDV Media'!E73</f>
        <v>CMX_T72_med1</v>
      </c>
      <c r="E134">
        <f>'[1]PL 14 CDV Media'!F73</f>
        <v>1</v>
      </c>
      <c r="F134">
        <f>'[1]PL 14 CDV Media'!G73</f>
        <v>70</v>
      </c>
      <c r="G134">
        <f>'[1]PL 14 CDV Media'!H73</f>
        <v>1.276</v>
      </c>
      <c r="H134">
        <f>'[1]PL 14 CDV Media'!I73</f>
        <v>542</v>
      </c>
      <c r="I134" t="str">
        <f>'[1]PL 14 CDV Media'!J73</f>
        <v>-----</v>
      </c>
      <c r="J134">
        <f>'[1]PL 14 CDV Media'!K73</f>
        <v>90.8</v>
      </c>
      <c r="K134" t="str">
        <f>'[1]PL 14 CDV Media'!L73</f>
        <v>-----</v>
      </c>
      <c r="L134" t="str">
        <f>'[1]PL 14 CDV Media'!M73</f>
        <v>-----</v>
      </c>
      <c r="M134" t="str">
        <f>'[1]PL 14 CDV Media'!N73</f>
        <v>-----</v>
      </c>
      <c r="N134" t="str">
        <f>'[1]PL 14 CDV Media'!O73</f>
        <v>-----</v>
      </c>
      <c r="O134" t="str">
        <f>'[1]PL 14 CDV Media'!P73</f>
        <v>Quant.Range(Low)</v>
      </c>
      <c r="P134">
        <f>'[1]PL 14 CDV Media'!Q73</f>
        <v>0.61</v>
      </c>
      <c r="Q134">
        <f>'[1]PL 14 CDV Media'!R73</f>
        <v>60.55</v>
      </c>
      <c r="R134" t="str">
        <f>'[1]PL 14 CDV Media'!S73</f>
        <v>-----</v>
      </c>
      <c r="S134">
        <f>'[1]PL 14 CDV Media'!T73</f>
        <v>1</v>
      </c>
      <c r="T134">
        <f>'[1]PL 14 CDV Media'!U73</f>
        <v>240</v>
      </c>
      <c r="U134">
        <f>'[1]PL 14 CDV Media'!V73</f>
        <v>256</v>
      </c>
      <c r="V134" t="str">
        <f>'[1]PL 14 CDV Media'!W73</f>
        <v xml:space="preserve">   </v>
      </c>
      <c r="W134" s="77">
        <f>'[1]PL 14 CDV Media'!X73</f>
        <v>43336.037152777775</v>
      </c>
      <c r="X134" t="s">
        <v>42</v>
      </c>
      <c r="Y134" t="s">
        <v>4</v>
      </c>
      <c r="Z134" t="s">
        <v>27</v>
      </c>
      <c r="AA134">
        <v>72</v>
      </c>
    </row>
    <row r="135" spans="1:27" x14ac:dyDescent="0.25">
      <c r="A135" t="str">
        <f>'[1]PL 14 CDV Media'!B74</f>
        <v>201-107_PL14_CDV_CMX_T72_med2_CC-004-778_100.lcd</v>
      </c>
      <c r="B135" t="str">
        <f>'[1]PL 14 CDV Media'!C74</f>
        <v>Unknown</v>
      </c>
      <c r="C135">
        <f>'[1]PL 14 CDV Media'!D74</f>
        <v>0</v>
      </c>
      <c r="D135" t="str">
        <f>'[1]PL 14 CDV Media'!E74</f>
        <v>CMX_T72_med2</v>
      </c>
      <c r="E135">
        <f>'[1]PL 14 CDV Media'!F74</f>
        <v>1</v>
      </c>
      <c r="F135">
        <f>'[1]PL 14 CDV Media'!G74</f>
        <v>71</v>
      </c>
      <c r="G135" t="str">
        <f>'[1]PL 14 CDV Media'!H74</f>
        <v>-----</v>
      </c>
      <c r="H135">
        <f>'[1]PL 14 CDV Media'!I74</f>
        <v>458</v>
      </c>
      <c r="I135" t="str">
        <f>'[1]PL 14 CDV Media'!J74</f>
        <v>-----</v>
      </c>
      <c r="J135" t="str">
        <f>'[1]PL 14 CDV Media'!K74</f>
        <v>-----</v>
      </c>
      <c r="K135" t="str">
        <f>'[1]PL 14 CDV Media'!L74</f>
        <v>-----</v>
      </c>
      <c r="L135" t="str">
        <f>'[1]PL 14 CDV Media'!M74</f>
        <v>-----</v>
      </c>
      <c r="M135" t="str">
        <f>'[1]PL 14 CDV Media'!N74</f>
        <v>-----</v>
      </c>
      <c r="N135" t="str">
        <f>'[1]PL 14 CDV Media'!O74</f>
        <v>-----</v>
      </c>
      <c r="O135">
        <f>'[1]PL 14 CDV Media'!P74</f>
        <v>0</v>
      </c>
      <c r="P135" t="str">
        <f>'[1]PL 14 CDV Media'!Q74</f>
        <v>-----</v>
      </c>
      <c r="Q135">
        <f>'[1]PL 14 CDV Media'!R74</f>
        <v>18.53</v>
      </c>
      <c r="R135" t="str">
        <f>'[1]PL 14 CDV Media'!S74</f>
        <v>-----</v>
      </c>
      <c r="S135">
        <f>'[1]PL 14 CDV Media'!T74</f>
        <v>1</v>
      </c>
      <c r="T135">
        <f>'[1]PL 14 CDV Media'!U74</f>
        <v>243</v>
      </c>
      <c r="U135">
        <f>'[1]PL 14 CDV Media'!V74</f>
        <v>259</v>
      </c>
      <c r="V135" t="str">
        <f>'[1]PL 14 CDV Media'!W74</f>
        <v>-----</v>
      </c>
      <c r="W135" s="77">
        <f>'[1]PL 14 CDV Media'!X74</f>
        <v>43336.039571759262</v>
      </c>
      <c r="X135" t="s">
        <v>42</v>
      </c>
      <c r="Y135" t="s">
        <v>4</v>
      </c>
      <c r="Z135" t="s">
        <v>27</v>
      </c>
      <c r="AA135">
        <v>72</v>
      </c>
    </row>
    <row r="136" spans="1:27" x14ac:dyDescent="0.25">
      <c r="A136" t="str">
        <f>'[1]PL 14 CDV Media'!B75</f>
        <v>201-107_PL14_CDV_CMX_T72_med3_CC-004-778_101.lcd</v>
      </c>
      <c r="B136" t="str">
        <f>'[1]PL 14 CDV Media'!C75</f>
        <v>Unknown</v>
      </c>
      <c r="C136">
        <f>'[1]PL 14 CDV Media'!D75</f>
        <v>0</v>
      </c>
      <c r="D136" t="str">
        <f>'[1]PL 14 CDV Media'!E75</f>
        <v>CMX_T72_med3</v>
      </c>
      <c r="E136">
        <f>'[1]PL 14 CDV Media'!F75</f>
        <v>1</v>
      </c>
      <c r="F136">
        <f>'[1]PL 14 CDV Media'!G75</f>
        <v>72</v>
      </c>
      <c r="G136" t="str">
        <f>'[1]PL 14 CDV Media'!H75</f>
        <v>-----</v>
      </c>
      <c r="H136">
        <f>'[1]PL 14 CDV Media'!I75</f>
        <v>825</v>
      </c>
      <c r="I136" t="str">
        <f>'[1]PL 14 CDV Media'!J75</f>
        <v>-----</v>
      </c>
      <c r="J136" t="str">
        <f>'[1]PL 14 CDV Media'!K75</f>
        <v>-----</v>
      </c>
      <c r="K136" t="str">
        <f>'[1]PL 14 CDV Media'!L75</f>
        <v>-----</v>
      </c>
      <c r="L136" t="str">
        <f>'[1]PL 14 CDV Media'!M75</f>
        <v>-----</v>
      </c>
      <c r="M136" t="str">
        <f>'[1]PL 14 CDV Media'!N75</f>
        <v>-----</v>
      </c>
      <c r="N136" t="str">
        <f>'[1]PL 14 CDV Media'!O75</f>
        <v>-----</v>
      </c>
      <c r="O136">
        <f>'[1]PL 14 CDV Media'!P75</f>
        <v>0</v>
      </c>
      <c r="P136" t="str">
        <f>'[1]PL 14 CDV Media'!Q75</f>
        <v>-----</v>
      </c>
      <c r="Q136">
        <f>'[1]PL 14 CDV Media'!R75</f>
        <v>16.52</v>
      </c>
      <c r="R136" t="str">
        <f>'[1]PL 14 CDV Media'!S75</f>
        <v>-----</v>
      </c>
      <c r="S136">
        <f>'[1]PL 14 CDV Media'!T75</f>
        <v>1</v>
      </c>
      <c r="T136">
        <f>'[1]PL 14 CDV Media'!U75</f>
        <v>311</v>
      </c>
      <c r="U136">
        <f>'[1]PL 14 CDV Media'!V75</f>
        <v>351</v>
      </c>
      <c r="V136" t="str">
        <f>'[1]PL 14 CDV Media'!W75</f>
        <v>-----</v>
      </c>
      <c r="W136" s="77">
        <f>'[1]PL 14 CDV Media'!X75</f>
        <v>43336.042013888888</v>
      </c>
      <c r="X136" t="s">
        <v>42</v>
      </c>
      <c r="Y136" t="s">
        <v>4</v>
      </c>
      <c r="Z136" t="s">
        <v>27</v>
      </c>
      <c r="AA136">
        <v>72</v>
      </c>
    </row>
    <row r="137" spans="1:27" x14ac:dyDescent="0.25">
      <c r="A137" t="str">
        <f>'[1]PL14 CDV 505 CMX'!B36</f>
        <v>201-107_PL14_CDV_CMX_T72_lys1_CC-004-777_035.lcd</v>
      </c>
      <c r="B137" t="str">
        <f>'[1]PL14 CDV 505 CMX'!C36</f>
        <v>Unknown</v>
      </c>
      <c r="C137">
        <f>'[1]PL14 CDV 505 CMX'!D36</f>
        <v>0</v>
      </c>
      <c r="D137" t="str">
        <f>'[1]PL14 CDV 505 CMX'!E36</f>
        <v>CMX_T72_lys1</v>
      </c>
      <c r="E137">
        <f>'[1]PL14 CDV 505 CMX'!F36</f>
        <v>2</v>
      </c>
      <c r="F137">
        <f>'[1]PL14 CDV 505 CMX'!G36</f>
        <v>73</v>
      </c>
      <c r="G137">
        <f>'[1]PL14 CDV 505 CMX'!H36</f>
        <v>1.246</v>
      </c>
      <c r="H137">
        <f>'[1]PL14 CDV 505 CMX'!I36</f>
        <v>29661</v>
      </c>
      <c r="I137" t="str">
        <f>'[1]PL14 CDV 505 CMX'!J36</f>
        <v>-----</v>
      </c>
      <c r="J137">
        <f>'[1]PL14 CDV 505 CMX'!K36</f>
        <v>414.7</v>
      </c>
      <c r="K137" t="str">
        <f>'[1]PL14 CDV 505 CMX'!L36</f>
        <v>-----</v>
      </c>
      <c r="L137" t="str">
        <f>'[1]PL14 CDV 505 CMX'!M36</f>
        <v>-----</v>
      </c>
      <c r="M137" t="str">
        <f>'[1]PL14 CDV 505 CMX'!N36</f>
        <v>-----</v>
      </c>
      <c r="N137" t="str">
        <f>'[1]PL14 CDV 505 CMX'!O36</f>
        <v>-----</v>
      </c>
      <c r="O137">
        <f>'[1]PL14 CDV 505 CMX'!P36</f>
        <v>0</v>
      </c>
      <c r="P137">
        <f>'[1]PL14 CDV 505 CMX'!Q36</f>
        <v>29.39</v>
      </c>
      <c r="Q137">
        <f>'[1]PL14 CDV 505 CMX'!R36</f>
        <v>37.58</v>
      </c>
      <c r="R137" t="str">
        <f>'[1]PL14 CDV 505 CMX'!S36</f>
        <v>-----</v>
      </c>
      <c r="S137">
        <f>'[1]PL14 CDV 505 CMX'!T36</f>
        <v>1</v>
      </c>
      <c r="T137">
        <f>'[1]PL14 CDV 505 CMX'!U36</f>
        <v>14968</v>
      </c>
      <c r="U137">
        <f>'[1]PL14 CDV 505 CMX'!V36</f>
        <v>15412</v>
      </c>
      <c r="V137" t="str">
        <f>'[1]PL14 CDV 505 CMX'!W36</f>
        <v xml:space="preserve">   </v>
      </c>
      <c r="W137" s="77">
        <f>'[1]PL14 CDV 505 CMX'!X36</f>
        <v>43335.265335648146</v>
      </c>
      <c r="X137" t="s">
        <v>42</v>
      </c>
      <c r="Y137" t="s">
        <v>4</v>
      </c>
      <c r="Z137" t="s">
        <v>28</v>
      </c>
      <c r="AA137">
        <v>72</v>
      </c>
    </row>
    <row r="138" spans="1:27" x14ac:dyDescent="0.25">
      <c r="A138" t="str">
        <f>'[1]PL14 CDV 505 CMX'!B37</f>
        <v>201-107_PL14_CDV_CMX_T72_lys2_CC-004-777_036.lcd</v>
      </c>
      <c r="B138" t="str">
        <f>'[1]PL14 CDV 505 CMX'!C37</f>
        <v>Unknown</v>
      </c>
      <c r="C138">
        <f>'[1]PL14 CDV 505 CMX'!D37</f>
        <v>0</v>
      </c>
      <c r="D138" t="str">
        <f>'[1]PL14 CDV 505 CMX'!E37</f>
        <v>CMX_T72_lys2</v>
      </c>
      <c r="E138">
        <f>'[1]PL14 CDV 505 CMX'!F37</f>
        <v>2</v>
      </c>
      <c r="F138">
        <f>'[1]PL14 CDV 505 CMX'!G37</f>
        <v>74</v>
      </c>
      <c r="G138">
        <f>'[1]PL14 CDV 505 CMX'!H37</f>
        <v>1.2410000000000001</v>
      </c>
      <c r="H138">
        <f>'[1]PL14 CDV 505 CMX'!I37</f>
        <v>17534</v>
      </c>
      <c r="I138" t="str">
        <f>'[1]PL14 CDV 505 CMX'!J37</f>
        <v>-----</v>
      </c>
      <c r="J138">
        <f>'[1]PL14 CDV 505 CMX'!K37</f>
        <v>244.8</v>
      </c>
      <c r="K138" t="str">
        <f>'[1]PL14 CDV 505 CMX'!L37</f>
        <v>-----</v>
      </c>
      <c r="L138" t="str">
        <f>'[1]PL14 CDV 505 CMX'!M37</f>
        <v>-----</v>
      </c>
      <c r="M138" t="str">
        <f>'[1]PL14 CDV 505 CMX'!N37</f>
        <v>-----</v>
      </c>
      <c r="N138" t="str">
        <f>'[1]PL14 CDV 505 CMX'!O37</f>
        <v>-----</v>
      </c>
      <c r="O138">
        <f>'[1]PL14 CDV 505 CMX'!P37</f>
        <v>0</v>
      </c>
      <c r="P138">
        <f>'[1]PL14 CDV 505 CMX'!Q37</f>
        <v>26.04</v>
      </c>
      <c r="Q138">
        <f>'[1]PL14 CDV 505 CMX'!R37</f>
        <v>36.65</v>
      </c>
      <c r="R138" t="str">
        <f>'[1]PL14 CDV 505 CMX'!S37</f>
        <v>-----</v>
      </c>
      <c r="S138">
        <f>'[1]PL14 CDV 505 CMX'!T37</f>
        <v>1</v>
      </c>
      <c r="T138">
        <f>'[1]PL14 CDV 505 CMX'!U37</f>
        <v>9586</v>
      </c>
      <c r="U138">
        <f>'[1]PL14 CDV 505 CMX'!V37</f>
        <v>9704</v>
      </c>
      <c r="V138" t="str">
        <f>'[1]PL14 CDV 505 CMX'!W37</f>
        <v xml:space="preserve">   </v>
      </c>
      <c r="W138" s="77">
        <f>'[1]PL14 CDV 505 CMX'!X37</f>
        <v>43335.267789351848</v>
      </c>
      <c r="X138" t="s">
        <v>42</v>
      </c>
      <c r="Y138" t="s">
        <v>4</v>
      </c>
      <c r="Z138" t="s">
        <v>28</v>
      </c>
      <c r="AA138">
        <v>72</v>
      </c>
    </row>
    <row r="139" spans="1:27" x14ac:dyDescent="0.25">
      <c r="A139" t="str">
        <f>'[1]PL14 CDV 505 CMX'!B38</f>
        <v>201-107_PL14_CDV_CMX_T72_lys3_CC-004-777_037.lcd</v>
      </c>
      <c r="B139" t="str">
        <f>'[1]PL14 CDV 505 CMX'!C38</f>
        <v>Unknown</v>
      </c>
      <c r="C139">
        <f>'[1]PL14 CDV 505 CMX'!D38</f>
        <v>0</v>
      </c>
      <c r="D139" t="str">
        <f>'[1]PL14 CDV 505 CMX'!E38</f>
        <v>CMX_T72_lys3</v>
      </c>
      <c r="E139">
        <f>'[1]PL14 CDV 505 CMX'!F38</f>
        <v>2</v>
      </c>
      <c r="F139">
        <f>'[1]PL14 CDV 505 CMX'!G38</f>
        <v>75</v>
      </c>
      <c r="G139">
        <f>'[1]PL14 CDV 505 CMX'!H38</f>
        <v>1.2450000000000001</v>
      </c>
      <c r="H139">
        <f>'[1]PL14 CDV 505 CMX'!I38</f>
        <v>23422</v>
      </c>
      <c r="I139" t="str">
        <f>'[1]PL14 CDV 505 CMX'!J38</f>
        <v>-----</v>
      </c>
      <c r="J139">
        <f>'[1]PL14 CDV 505 CMX'!K38</f>
        <v>327.3</v>
      </c>
      <c r="K139" t="str">
        <f>'[1]PL14 CDV 505 CMX'!L38</f>
        <v>-----</v>
      </c>
      <c r="L139" t="str">
        <f>'[1]PL14 CDV 505 CMX'!M38</f>
        <v>-----</v>
      </c>
      <c r="M139" t="str">
        <f>'[1]PL14 CDV 505 CMX'!N38</f>
        <v>-----</v>
      </c>
      <c r="N139" t="str">
        <f>'[1]PL14 CDV 505 CMX'!O38</f>
        <v>-----</v>
      </c>
      <c r="O139">
        <f>'[1]PL14 CDV 505 CMX'!P38</f>
        <v>0</v>
      </c>
      <c r="P139">
        <f>'[1]PL14 CDV 505 CMX'!Q38</f>
        <v>34.299999999999997</v>
      </c>
      <c r="Q139">
        <f>'[1]PL14 CDV 505 CMX'!R38</f>
        <v>43.47</v>
      </c>
      <c r="R139" t="str">
        <f>'[1]PL14 CDV 505 CMX'!S38</f>
        <v>-----</v>
      </c>
      <c r="S139">
        <f>'[1]PL14 CDV 505 CMX'!T38</f>
        <v>1</v>
      </c>
      <c r="T139">
        <f>'[1]PL14 CDV 505 CMX'!U38</f>
        <v>11785</v>
      </c>
      <c r="U139">
        <f>'[1]PL14 CDV 505 CMX'!V38</f>
        <v>11709</v>
      </c>
      <c r="V139" t="str">
        <f>'[1]PL14 CDV 505 CMX'!W38</f>
        <v xml:space="preserve">   </v>
      </c>
      <c r="W139" s="77">
        <f>'[1]PL14 CDV 505 CMX'!X38</f>
        <v>43335.270219907405</v>
      </c>
      <c r="X139" t="s">
        <v>42</v>
      </c>
      <c r="Y139" t="s">
        <v>4</v>
      </c>
      <c r="Z139" t="s">
        <v>28</v>
      </c>
      <c r="AA139">
        <v>72</v>
      </c>
    </row>
    <row r="140" spans="1:27" x14ac:dyDescent="0.25">
      <c r="A140" t="str">
        <f>'[1]PL13 CDVPP Lysate'!B52</f>
        <v>201-107_PL13_CDVPP_Lysate_CMX_T72_lys1_CC-004-773_051.lcd</v>
      </c>
      <c r="B140" t="str">
        <f>'[1]PL13 CDVPP Lysate'!C52</f>
        <v>Unknown</v>
      </c>
      <c r="C140">
        <f>'[1]PL13 CDVPP Lysate'!D52</f>
        <v>0</v>
      </c>
      <c r="D140" t="str">
        <f>'[1]PL13 CDVPP Lysate'!E52</f>
        <v>CMX_T72_lys1</v>
      </c>
      <c r="E140">
        <f>'[1]PL13 CDVPP Lysate'!F52</f>
        <v>2</v>
      </c>
      <c r="F140">
        <f>'[1]PL13 CDVPP Lysate'!G52</f>
        <v>88</v>
      </c>
      <c r="G140">
        <f>'[1]PL13 CDVPP Lysate'!H52</f>
        <v>2.2930000000000001</v>
      </c>
      <c r="H140">
        <f>'[1]PL13 CDVPP Lysate'!I52</f>
        <v>238904</v>
      </c>
      <c r="I140" t="str">
        <f>'[1]PL13 CDVPP Lysate'!J52</f>
        <v>-----</v>
      </c>
      <c r="J140">
        <f>'[1]PL13 CDVPP Lysate'!K52</f>
        <v>279.8</v>
      </c>
      <c r="K140" t="str">
        <f>'[1]PL13 CDVPP Lysate'!L52</f>
        <v>-----</v>
      </c>
      <c r="L140" t="str">
        <f>'[1]PL13 CDVPP Lysate'!M52</f>
        <v>-----</v>
      </c>
      <c r="M140" t="str">
        <f>'[1]PL13 CDVPP Lysate'!N52</f>
        <v>-----</v>
      </c>
      <c r="N140" t="str">
        <f>'[1]PL13 CDVPP Lysate'!O52</f>
        <v>-----</v>
      </c>
      <c r="O140">
        <f>'[1]PL13 CDVPP Lysate'!P52</f>
        <v>0</v>
      </c>
      <c r="P140">
        <f>'[1]PL13 CDVPP Lysate'!Q52</f>
        <v>1662.83</v>
      </c>
      <c r="Q140">
        <f>'[1]PL13 CDVPP Lysate'!R52</f>
        <v>26.44</v>
      </c>
      <c r="R140" t="str">
        <f>'[1]PL13 CDVPP Lysate'!S52</f>
        <v>-----</v>
      </c>
      <c r="S140">
        <f>'[1]PL13 CDVPP Lysate'!T52</f>
        <v>1</v>
      </c>
      <c r="T140">
        <f>'[1]PL13 CDVPP Lysate'!U52</f>
        <v>129339</v>
      </c>
      <c r="U140">
        <f>'[1]PL13 CDVPP Lysate'!V52</f>
        <v>127234</v>
      </c>
      <c r="V140" t="str">
        <f>'[1]PL13 CDVPP Lysate'!W52</f>
        <v xml:space="preserve">   </v>
      </c>
      <c r="W140" s="77">
        <f>'[1]PL13 CDVPP Lysate'!X52</f>
        <v>43333.804606481484</v>
      </c>
      <c r="X140" t="s">
        <v>42</v>
      </c>
      <c r="Y140" t="s">
        <v>96</v>
      </c>
      <c r="Z140" t="s">
        <v>28</v>
      </c>
      <c r="AA140">
        <v>72</v>
      </c>
    </row>
    <row r="141" spans="1:27" x14ac:dyDescent="0.25">
      <c r="A141" t="str">
        <f>'[1]PL13 CDVPP Lysate'!B53</f>
        <v>201-107_PL13_CDVPP_Lysate_CMX_T72_lys2_CC-004-773_052.lcd</v>
      </c>
      <c r="B141" t="str">
        <f>'[1]PL13 CDVPP Lysate'!C53</f>
        <v>Unknown</v>
      </c>
      <c r="C141">
        <f>'[1]PL13 CDVPP Lysate'!D53</f>
        <v>0</v>
      </c>
      <c r="D141" t="str">
        <f>'[1]PL13 CDVPP Lysate'!E53</f>
        <v>CMX_T72_lys2</v>
      </c>
      <c r="E141">
        <f>'[1]PL13 CDVPP Lysate'!F53</f>
        <v>2</v>
      </c>
      <c r="F141">
        <f>'[1]PL13 CDVPP Lysate'!G53</f>
        <v>89</v>
      </c>
      <c r="G141">
        <f>'[1]PL13 CDVPP Lysate'!H53</f>
        <v>2.294</v>
      </c>
      <c r="H141">
        <f>'[1]PL13 CDVPP Lysate'!I53</f>
        <v>255284</v>
      </c>
      <c r="I141" t="str">
        <f>'[1]PL13 CDVPP Lysate'!J53</f>
        <v>-----</v>
      </c>
      <c r="J141">
        <f>'[1]PL13 CDVPP Lysate'!K53</f>
        <v>299</v>
      </c>
      <c r="K141" t="str">
        <f>'[1]PL13 CDVPP Lysate'!L53</f>
        <v>-----</v>
      </c>
      <c r="L141" t="str">
        <f>'[1]PL13 CDVPP Lysate'!M53</f>
        <v>-----</v>
      </c>
      <c r="M141" t="str">
        <f>'[1]PL13 CDVPP Lysate'!N53</f>
        <v>-----</v>
      </c>
      <c r="N141" t="str">
        <f>'[1]PL13 CDVPP Lysate'!O53</f>
        <v>-----</v>
      </c>
      <c r="O141">
        <f>'[1]PL13 CDVPP Lysate'!P53</f>
        <v>0</v>
      </c>
      <c r="P141">
        <f>'[1]PL13 CDVPP Lysate'!Q53</f>
        <v>1356.34</v>
      </c>
      <c r="Q141">
        <f>'[1]PL13 CDVPP Lysate'!R53</f>
        <v>25.22</v>
      </c>
      <c r="R141" t="str">
        <f>'[1]PL13 CDVPP Lysate'!S53</f>
        <v>-----</v>
      </c>
      <c r="S141">
        <f>'[1]PL13 CDVPP Lysate'!T53</f>
        <v>1</v>
      </c>
      <c r="T141">
        <f>'[1]PL13 CDVPP Lysate'!U53</f>
        <v>133694</v>
      </c>
      <c r="U141">
        <f>'[1]PL13 CDVPP Lysate'!V53</f>
        <v>131601</v>
      </c>
      <c r="V141" t="str">
        <f>'[1]PL13 CDVPP Lysate'!W53</f>
        <v xml:space="preserve">   </v>
      </c>
      <c r="W141" s="77">
        <f>'[1]PL13 CDVPP Lysate'!X53</f>
        <v>43333.808171296296</v>
      </c>
      <c r="X141" t="s">
        <v>42</v>
      </c>
      <c r="Y141" t="s">
        <v>96</v>
      </c>
      <c r="Z141" t="s">
        <v>28</v>
      </c>
      <c r="AA141">
        <v>72</v>
      </c>
    </row>
    <row r="142" spans="1:27" x14ac:dyDescent="0.25">
      <c r="A142" t="str">
        <f>'[1]PL13 CDVPP Lysate'!B54</f>
        <v>201-107_PL13_CDVPP_Lysate_CMX_T72_lys3_CC-004-773_053.lcd</v>
      </c>
      <c r="B142" t="str">
        <f>'[1]PL13 CDVPP Lysate'!C54</f>
        <v>Unknown</v>
      </c>
      <c r="C142">
        <f>'[1]PL13 CDVPP Lysate'!D54</f>
        <v>0</v>
      </c>
      <c r="D142" t="str">
        <f>'[1]PL13 CDVPP Lysate'!E54</f>
        <v>CMX_T72_lys3</v>
      </c>
      <c r="E142">
        <f>'[1]PL13 CDVPP Lysate'!F54</f>
        <v>2</v>
      </c>
      <c r="F142">
        <f>'[1]PL13 CDVPP Lysate'!G54</f>
        <v>90</v>
      </c>
      <c r="G142">
        <f>'[1]PL13 CDVPP Lysate'!H54</f>
        <v>2.298</v>
      </c>
      <c r="H142">
        <f>'[1]PL13 CDVPP Lysate'!I54</f>
        <v>249487</v>
      </c>
      <c r="I142" t="str">
        <f>'[1]PL13 CDVPP Lysate'!J54</f>
        <v>-----</v>
      </c>
      <c r="J142">
        <f>'[1]PL13 CDVPP Lysate'!K54</f>
        <v>292.2</v>
      </c>
      <c r="K142" t="str">
        <f>'[1]PL13 CDVPP Lysate'!L54</f>
        <v>-----</v>
      </c>
      <c r="L142" t="str">
        <f>'[1]PL13 CDVPP Lysate'!M54</f>
        <v>-----</v>
      </c>
      <c r="M142" t="str">
        <f>'[1]PL13 CDVPP Lysate'!N54</f>
        <v>-----</v>
      </c>
      <c r="N142" t="str">
        <f>'[1]PL13 CDVPP Lysate'!O54</f>
        <v>-----</v>
      </c>
      <c r="O142">
        <f>'[1]PL13 CDVPP Lysate'!P54</f>
        <v>0</v>
      </c>
      <c r="P142">
        <f>'[1]PL13 CDVPP Lysate'!Q54</f>
        <v>1086.53</v>
      </c>
      <c r="Q142">
        <f>'[1]PL13 CDVPP Lysate'!R54</f>
        <v>27.16</v>
      </c>
      <c r="R142" t="str">
        <f>'[1]PL13 CDVPP Lysate'!S54</f>
        <v>-----</v>
      </c>
      <c r="S142">
        <f>'[1]PL13 CDVPP Lysate'!T54</f>
        <v>1</v>
      </c>
      <c r="T142">
        <f>'[1]PL13 CDVPP Lysate'!U54</f>
        <v>132401</v>
      </c>
      <c r="U142">
        <f>'[1]PL13 CDVPP Lysate'!V54</f>
        <v>130365</v>
      </c>
      <c r="V142" t="str">
        <f>'[1]PL13 CDVPP Lysate'!W54</f>
        <v xml:space="preserve">   </v>
      </c>
      <c r="W142" s="77">
        <f>'[1]PL13 CDVPP Lysate'!X54</f>
        <v>43333.811747685184</v>
      </c>
      <c r="X142" t="s">
        <v>42</v>
      </c>
      <c r="Y142" t="s">
        <v>96</v>
      </c>
      <c r="Z142" t="s">
        <v>28</v>
      </c>
      <c r="AA142">
        <v>72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topLeftCell="A4" zoomScale="120" zoomScaleNormal="120" workbookViewId="0">
      <selection activeCell="D15" sqref="D15"/>
    </sheetView>
  </sheetViews>
  <sheetFormatPr defaultRowHeight="15" x14ac:dyDescent="0.25"/>
  <cols>
    <col min="1" max="1" width="19.28515625" bestFit="1" customWidth="1"/>
    <col min="2" max="2" width="8.5703125" bestFit="1" customWidth="1"/>
    <col min="3" max="3" width="10.7109375" bestFit="1" customWidth="1"/>
    <col min="4" max="4" width="8.5703125" bestFit="1" customWidth="1"/>
    <col min="5" max="5" width="10.7109375" bestFit="1" customWidth="1"/>
    <col min="6" max="6" width="8.5703125" bestFit="1" customWidth="1"/>
    <col min="7" max="7" width="10.7109375" bestFit="1" customWidth="1"/>
    <col min="8" max="8" width="8.5703125" bestFit="1" customWidth="1"/>
    <col min="9" max="9" width="10.7109375" bestFit="1" customWidth="1"/>
    <col min="10" max="10" width="11.140625" bestFit="1" customWidth="1"/>
    <col min="11" max="11" width="10.7109375" bestFit="1" customWidth="1"/>
    <col min="12" max="12" width="8.42578125" bestFit="1" customWidth="1"/>
    <col min="13" max="13" width="10.7109375" bestFit="1" customWidth="1"/>
  </cols>
  <sheetData>
    <row r="1" spans="1:13" ht="15.75" thickBot="1" x14ac:dyDescent="0.3">
      <c r="A1" s="80"/>
      <c r="B1" s="173" t="s">
        <v>4</v>
      </c>
      <c r="C1" s="174"/>
      <c r="D1" s="173" t="s">
        <v>319</v>
      </c>
      <c r="E1" s="174"/>
      <c r="F1" s="173" t="s">
        <v>318</v>
      </c>
      <c r="G1" s="174"/>
      <c r="H1" s="173" t="s">
        <v>316</v>
      </c>
      <c r="I1" s="174"/>
      <c r="J1" s="173" t="s">
        <v>320</v>
      </c>
      <c r="K1" s="174"/>
      <c r="L1" s="173" t="s">
        <v>321</v>
      </c>
      <c r="M1" s="174"/>
    </row>
    <row r="2" spans="1:13" ht="15.75" thickBot="1" x14ac:dyDescent="0.3">
      <c r="A2" s="89"/>
      <c r="B2" s="121" t="s">
        <v>24</v>
      </c>
      <c r="C2" s="122" t="s">
        <v>311</v>
      </c>
      <c r="D2" s="123" t="s">
        <v>24</v>
      </c>
      <c r="E2" s="124" t="s">
        <v>311</v>
      </c>
      <c r="F2" s="121" t="s">
        <v>24</v>
      </c>
      <c r="G2" s="125" t="s">
        <v>311</v>
      </c>
      <c r="H2" s="121" t="s">
        <v>24</v>
      </c>
      <c r="I2" s="125" t="s">
        <v>311</v>
      </c>
      <c r="J2" s="121" t="s">
        <v>24</v>
      </c>
      <c r="K2" s="125" t="s">
        <v>311</v>
      </c>
      <c r="L2" s="121" t="s">
        <v>24</v>
      </c>
      <c r="M2" s="125" t="s">
        <v>311</v>
      </c>
    </row>
    <row r="3" spans="1:13" x14ac:dyDescent="0.25">
      <c r="A3" s="80" t="s">
        <v>19</v>
      </c>
      <c r="B3" s="131">
        <f>AVERAGE(nmol_CDV[CDV_t0_Media_nmole])</f>
        <v>11.76</v>
      </c>
      <c r="C3" s="155" t="s">
        <v>345</v>
      </c>
      <c r="D3" s="132">
        <f>AVERAGE(nmol_663[Pro_t0_Media_nmole])</f>
        <v>11.530999999999999</v>
      </c>
      <c r="E3" s="155" t="s">
        <v>345</v>
      </c>
      <c r="F3" s="131">
        <f>AVERAGE(nmol_666[Pro_t0_Media_nmole])</f>
        <v>12.606999999999999</v>
      </c>
      <c r="G3" s="155" t="s">
        <v>345</v>
      </c>
      <c r="H3" s="131">
        <f>AVERAGE(nmol_669[Pro_t0_Media_nmole])</f>
        <v>9.8980000000000015</v>
      </c>
      <c r="I3" s="155" t="s">
        <v>345</v>
      </c>
      <c r="J3" s="134" t="s">
        <v>134</v>
      </c>
      <c r="K3" s="135" t="s">
        <v>134</v>
      </c>
      <c r="L3" s="131">
        <f>AVERAGE(nmol_CMX[Pro_t0_Media_nmole])</f>
        <v>9.798</v>
      </c>
      <c r="M3" s="156" t="s">
        <v>345</v>
      </c>
    </row>
    <row r="4" spans="1:13" ht="15.75" thickBot="1" x14ac:dyDescent="0.3">
      <c r="A4" s="81" t="s">
        <v>312</v>
      </c>
      <c r="B4" s="136">
        <f>AVERAGE(nmol_CDV[t72_stability_nmol])</f>
        <v>12.066999999999998</v>
      </c>
      <c r="C4" s="137">
        <f>(B4-B3)/B3</f>
        <v>2.6105442176870629E-2</v>
      </c>
      <c r="D4" s="138">
        <f>AVERAGE(nmol_663[t72_stability_nmol])</f>
        <v>11.707333333333336</v>
      </c>
      <c r="E4" s="139">
        <f>(D4-D3)/D3</f>
        <v>1.5292111120747331E-2</v>
      </c>
      <c r="F4" s="136">
        <f>AVERAGE(nmol_666[t72_stability_nmol])</f>
        <v>13.236333333333334</v>
      </c>
      <c r="G4" s="140">
        <f>(F4-F3)/F3</f>
        <v>4.9919356970995088E-2</v>
      </c>
      <c r="H4" s="136">
        <f>AVERAGE(nmol_669[t72_stability_nmol])</f>
        <v>10.606333333333334</v>
      </c>
      <c r="I4" s="137">
        <f>(H4-H3)/H3</f>
        <v>7.1563278776857142E-2</v>
      </c>
      <c r="J4" s="141" t="s">
        <v>134</v>
      </c>
      <c r="K4" s="142" t="s">
        <v>134</v>
      </c>
      <c r="L4" s="136">
        <f>AVERAGE(nmol_CMX[t72_stability_nmol])</f>
        <v>8.6753333333333327</v>
      </c>
      <c r="M4" s="140">
        <f>(L4-L3)/L3</f>
        <v>-0.11458120704905771</v>
      </c>
    </row>
    <row r="5" spans="1:13" ht="15.75" thickBot="1" x14ac:dyDescent="0.3">
      <c r="A5" s="82"/>
      <c r="B5" s="126" t="s">
        <v>24</v>
      </c>
      <c r="C5" s="127" t="s">
        <v>25</v>
      </c>
      <c r="D5" s="128" t="s">
        <v>24</v>
      </c>
      <c r="E5" s="129" t="s">
        <v>25</v>
      </c>
      <c r="F5" s="126" t="s">
        <v>24</v>
      </c>
      <c r="G5" s="130" t="s">
        <v>25</v>
      </c>
      <c r="H5" s="126" t="s">
        <v>24</v>
      </c>
      <c r="I5" s="127" t="s">
        <v>25</v>
      </c>
      <c r="J5" s="128" t="s">
        <v>24</v>
      </c>
      <c r="K5" s="129" t="s">
        <v>25</v>
      </c>
      <c r="L5" s="126" t="s">
        <v>24</v>
      </c>
      <c r="M5" s="130" t="s">
        <v>25</v>
      </c>
    </row>
    <row r="6" spans="1:13" x14ac:dyDescent="0.25">
      <c r="A6" s="83" t="s">
        <v>20</v>
      </c>
      <c r="B6" s="143" t="s">
        <v>134</v>
      </c>
      <c r="C6" s="144" t="str">
        <f>IFERROR(B6/$B$3, "NA")</f>
        <v>NA</v>
      </c>
      <c r="D6" s="132">
        <f>AVERAGE(nmol_663[Pro_t72_Media_nmole])</f>
        <v>5.8443333333333323</v>
      </c>
      <c r="E6" s="133">
        <f>IFERROR(D6/D$3, "NA")</f>
        <v>0.50683664325152489</v>
      </c>
      <c r="F6" s="132">
        <f>AVERAGE(nmol_666[Pro_t72_Media_nmole])</f>
        <v>2.6629999999999998</v>
      </c>
      <c r="G6" s="133">
        <f>IFERROR(F6/F$3, "NA")</f>
        <v>0.21123185531847385</v>
      </c>
      <c r="H6" s="132">
        <f>AVERAGE(nmol_669[Pro_t72_Media_nmole])</f>
        <v>3.0209999999999995</v>
      </c>
      <c r="I6" s="145">
        <f>IFERROR(H6/H$3, "NA")</f>
        <v>0.30521317437866224</v>
      </c>
      <c r="J6" s="132" t="s">
        <v>134</v>
      </c>
      <c r="K6" s="146" t="s">
        <v>134</v>
      </c>
      <c r="L6" s="132">
        <f>AVERAGE(nmol_CMX[Pro_t72_Media_nmole])</f>
        <v>5.2936666666666667</v>
      </c>
      <c r="M6" s="133">
        <f>IFERROR(L6/L$3, "NA")</f>
        <v>0.54028032931890868</v>
      </c>
    </row>
    <row r="7" spans="1:13" x14ac:dyDescent="0.25">
      <c r="A7" s="83" t="s">
        <v>136</v>
      </c>
      <c r="B7" s="132">
        <f>AVERAGE(nmol_CDV[CDV_t72_Media_nmole])</f>
        <v>12.620333333333335</v>
      </c>
      <c r="C7" s="145">
        <f>IFERROR(B7/$B$3, "NA")</f>
        <v>1.0731575963718822</v>
      </c>
      <c r="D7" s="147">
        <f>IFERROR(AVERAGE(nmol_663[CDV_t72_Media_nmole]), "BLQ")</f>
        <v>0</v>
      </c>
      <c r="E7" s="133">
        <f>IFERROR(D7/D$3, "NA")</f>
        <v>0</v>
      </c>
      <c r="F7" s="132">
        <f>IFERROR(AVERAGE(nmol_666[CDV_t72_Media_nmole]), "BLQ")</f>
        <v>0</v>
      </c>
      <c r="G7" s="133">
        <f>IFERROR(F7/F$3, "NA")</f>
        <v>0</v>
      </c>
      <c r="H7" s="132">
        <f>IFERROR(AVERAGE(nmol_669[CDV_t72_Media_nmole]), "BLQ")</f>
        <v>0</v>
      </c>
      <c r="I7" s="145">
        <f>IFERROR(H7/H$3, "NA")</f>
        <v>0</v>
      </c>
      <c r="J7" s="147">
        <f>IFERROR(AVERAGE(nmol_USC[CDV_t72_Media_nmole]), "BLQ")</f>
        <v>0.54166666666666663</v>
      </c>
      <c r="K7" s="148" t="s">
        <v>134</v>
      </c>
      <c r="L7" s="132">
        <f>IFERROR(AVERAGE(nmol_CMX[CDV_t72_Media_nmole]), "BLQ")</f>
        <v>0</v>
      </c>
      <c r="M7" s="133">
        <f>IFERROR(L7/L$3, "NA")</f>
        <v>0</v>
      </c>
    </row>
    <row r="8" spans="1:13" x14ac:dyDescent="0.25">
      <c r="A8" s="84" t="s">
        <v>21</v>
      </c>
      <c r="B8" s="143" t="str">
        <f>IFERROR(AVERAGE(nmol_CDV[Pro_t72_Lysate_nmole]), "NA")</f>
        <v>NA</v>
      </c>
      <c r="C8" s="144" t="str">
        <f t="shared" ref="C8" si="0">IFERROR(B8/$B$3, "NA")</f>
        <v>NA</v>
      </c>
      <c r="D8" s="147">
        <f>AVERAGE(nmol_663[Pro_t72_Lysate_nmole])</f>
        <v>9.9356100000000003E-2</v>
      </c>
      <c r="E8" s="149">
        <f t="shared" ref="E8:E10" si="1">IFERROR(D8/D$3, "NA")</f>
        <v>8.6164339606278739E-3</v>
      </c>
      <c r="F8" s="132">
        <f>AVERAGE(nmol_666[Pro_t72_Lysate_nmole])</f>
        <v>0.29793510000000006</v>
      </c>
      <c r="G8" s="133">
        <f t="shared" ref="G8:G10" si="2">IFERROR(F8/F$3, "NA")</f>
        <v>2.3632513682874601E-2</v>
      </c>
      <c r="H8" s="132">
        <f>AVERAGE(nmol_669[Pro_t72_Lysate_nmole])</f>
        <v>0.49206300000000008</v>
      </c>
      <c r="I8" s="145">
        <f t="shared" ref="I8:I10" si="3">IFERROR(H8/H$3, "NA")</f>
        <v>4.9713376439684785E-2</v>
      </c>
      <c r="J8" s="147">
        <f>AVERAGE(nmol_USC[Pro_t72_Lysate_nmole])</f>
        <v>0.20290800000000001</v>
      </c>
      <c r="K8" s="148" t="s">
        <v>134</v>
      </c>
      <c r="L8" s="132">
        <f>AVERAGE(nmol_CMX[Pro_t72_Lysate_nmole])</f>
        <v>0.52940339999999997</v>
      </c>
      <c r="M8" s="133">
        <f t="shared" ref="M8:M10" si="4">IFERROR(L8/L$3, "NA")</f>
        <v>5.403178199632578E-2</v>
      </c>
    </row>
    <row r="9" spans="1:13" x14ac:dyDescent="0.25">
      <c r="A9" s="85" t="s">
        <v>22</v>
      </c>
      <c r="B9" s="143">
        <f>AVERAGE(nmol_CDV[CDV_t72_Lysate_nmole])</f>
        <v>1.1211000000000001E-3</v>
      </c>
      <c r="C9" s="144">
        <f>IFERROR(B9/$B$3, "NA")</f>
        <v>9.5331632653061231E-5</v>
      </c>
      <c r="D9" s="147">
        <f>AVERAGE(nmol_663[CDV_t72_Lysate_nmole])</f>
        <v>7.6945200000000005E-2</v>
      </c>
      <c r="E9" s="149">
        <f t="shared" si="1"/>
        <v>6.6728991414448024E-3</v>
      </c>
      <c r="F9" s="132">
        <f>AVERAGE(nmol_666[CDV_t72_Lysate_nmole])</f>
        <v>0.29035380000000005</v>
      </c>
      <c r="G9" s="133">
        <f t="shared" si="2"/>
        <v>2.303115729356707E-2</v>
      </c>
      <c r="H9" s="132">
        <f>AVERAGE(nmol_669[CDV_t72_Lysate_nmole])</f>
        <v>0.50917920000000005</v>
      </c>
      <c r="I9" s="145">
        <f t="shared" si="3"/>
        <v>5.1442634875732467E-2</v>
      </c>
      <c r="J9" s="147">
        <f>AVERAGE(nmol_USC[CDV_t72_Lysate_nmole])</f>
        <v>0.12412020000000001</v>
      </c>
      <c r="K9" s="148" t="s">
        <v>134</v>
      </c>
      <c r="L9" s="132">
        <f>AVERAGE(nmol_CMX[CDV_t72_Lysate_nmole])</f>
        <v>0.1095348</v>
      </c>
      <c r="M9" s="133">
        <f t="shared" si="4"/>
        <v>1.1179301898346601E-2</v>
      </c>
    </row>
    <row r="10" spans="1:13" x14ac:dyDescent="0.25">
      <c r="A10" s="88" t="s">
        <v>23</v>
      </c>
      <c r="B10" s="150">
        <f>IFERROR(AVERAGE(nmol_CDV[PP_t72_Lysate_nmole]), "BLQ")</f>
        <v>0</v>
      </c>
      <c r="C10" s="145">
        <f>IFERROR(B10/$B$3, "NA")</f>
        <v>0</v>
      </c>
      <c r="D10" s="147">
        <f>AVERAGE(nmol_663[PP_t72_Lysate_nmole])</f>
        <v>0.1357197</v>
      </c>
      <c r="E10" s="149">
        <f t="shared" si="1"/>
        <v>1.1769985257132947E-2</v>
      </c>
      <c r="F10" s="150">
        <f>AVERAGE(nmol_666[PP_t72_Lysate_nmole])</f>
        <v>0.45689820000000009</v>
      </c>
      <c r="G10" s="149">
        <f t="shared" si="2"/>
        <v>3.6241627667169041E-2</v>
      </c>
      <c r="H10" s="150">
        <f>AVERAGE(nmol_669[PP_t72_Lysate_nmole])</f>
        <v>0.45091530000000007</v>
      </c>
      <c r="I10" s="151">
        <f t="shared" si="3"/>
        <v>4.5556203273388565E-2</v>
      </c>
      <c r="J10" s="147">
        <f>AVERAGE(nmol_USC[PP_t72_Lysate_nmole])</f>
        <v>0.14499930000000003</v>
      </c>
      <c r="K10" s="148" t="s">
        <v>134</v>
      </c>
      <c r="L10" s="150">
        <f>AVERAGE(nmol_CMX[PP_t72_Lysate_nmole])</f>
        <v>9.6681000000000017E-2</v>
      </c>
      <c r="M10" s="149">
        <f t="shared" si="4"/>
        <v>9.8674219228413983E-3</v>
      </c>
    </row>
    <row r="11" spans="1:13" ht="15.75" thickBot="1" x14ac:dyDescent="0.3">
      <c r="A11" s="97" t="s">
        <v>313</v>
      </c>
      <c r="B11" s="152">
        <f>SUM(B6:B10)</f>
        <v>12.621454433333335</v>
      </c>
      <c r="C11" s="153">
        <f>IFERROR(B11/$B$3, "NA")</f>
        <v>1.0732529280045353</v>
      </c>
      <c r="D11" s="152">
        <f>SUM(D6:D10)</f>
        <v>6.1563543333333319</v>
      </c>
      <c r="E11" s="154">
        <f>IFERROR(D11/D$3, "NA")</f>
        <v>0.53389596161073039</v>
      </c>
      <c r="F11" s="152">
        <f>SUM(F6:F10)</f>
        <v>3.7081871</v>
      </c>
      <c r="G11" s="154">
        <f>IFERROR(F11/F$3, "NA")</f>
        <v>0.29413715396208456</v>
      </c>
      <c r="H11" s="152">
        <f>SUM(H6:H10)</f>
        <v>4.4731574999999992</v>
      </c>
      <c r="I11" s="153">
        <f>IFERROR(H11/H$3, "NA")</f>
        <v>0.45192538896746803</v>
      </c>
      <c r="J11" s="152" t="s">
        <v>134</v>
      </c>
      <c r="K11" s="154" t="s">
        <v>134</v>
      </c>
      <c r="L11" s="152">
        <f>SUM(L6:L10)</f>
        <v>6.0292858666666662</v>
      </c>
      <c r="M11" s="154">
        <f>IFERROR(L11/L$3, "NA")</f>
        <v>0.61535883513642231</v>
      </c>
    </row>
    <row r="13" spans="1:13" x14ac:dyDescent="0.25">
      <c r="A13" t="s">
        <v>347</v>
      </c>
      <c r="B13" s="179">
        <f>B10/(B3-B7)</f>
        <v>0</v>
      </c>
      <c r="D13" s="179">
        <f>D10/(D3-D6)</f>
        <v>2.3866301289566239E-2</v>
      </c>
      <c r="F13" s="179">
        <f>F10/(F3-F6)</f>
        <v>4.5947123893805321E-2</v>
      </c>
      <c r="H13" s="179">
        <f>H10/(H3-H6)</f>
        <v>6.5568605496582805E-2</v>
      </c>
      <c r="J13" s="178" t="e">
        <f>J10/(J3-J6)</f>
        <v>#VALUE!</v>
      </c>
      <c r="L13" s="179">
        <f>L10/(L3-L6)</f>
        <v>2.1463997631910016E-2</v>
      </c>
    </row>
    <row r="15" spans="1:13" x14ac:dyDescent="0.25">
      <c r="D15" s="180">
        <f>AVERAGE('663'!I21:I23)</f>
        <v>2.393730864283708E-2</v>
      </c>
      <c r="F15" s="180">
        <f>AVERAGE('666'!I21:I23)</f>
        <v>4.5970492946351964E-2</v>
      </c>
      <c r="H15" s="180">
        <f>AVERAGE('669'!I21:I23)</f>
        <v>6.5975888165733299E-2</v>
      </c>
      <c r="L15" s="180">
        <f>AVERAGE('CMX001'!I21:I23)</f>
        <v>2.1178255248451117E-2</v>
      </c>
    </row>
    <row r="16" spans="1:13" x14ac:dyDescent="0.25">
      <c r="D16" s="92"/>
    </row>
    <row r="17" spans="4:13" x14ac:dyDescent="0.25">
      <c r="D17" s="95"/>
      <c r="E17" s="93"/>
      <c r="M17" t="s">
        <v>39</v>
      </c>
    </row>
    <row r="18" spans="4:13" x14ac:dyDescent="0.25">
      <c r="I18" s="94"/>
    </row>
    <row r="19" spans="4:13" x14ac:dyDescent="0.25">
      <c r="J19" s="96"/>
    </row>
  </sheetData>
  <mergeCells count="6">
    <mergeCell ref="L1:M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8:G26"/>
  <sheetViews>
    <sheetView zoomScaleNormal="100" workbookViewId="0">
      <selection activeCell="K6" sqref="K6"/>
    </sheetView>
  </sheetViews>
  <sheetFormatPr defaultRowHeight="15" x14ac:dyDescent="0.25"/>
  <cols>
    <col min="1" max="1" width="10.28515625" bestFit="1" customWidth="1"/>
    <col min="2" max="3" width="18.7109375" bestFit="1" customWidth="1"/>
    <col min="4" max="4" width="20.42578125" bestFit="1" customWidth="1"/>
    <col min="5" max="5" width="18" bestFit="1" customWidth="1"/>
    <col min="6" max="7" width="13.140625" bestFit="1" customWidth="1"/>
  </cols>
  <sheetData>
    <row r="18" spans="1:7" ht="15.75" thickBot="1" x14ac:dyDescent="0.3"/>
    <row r="19" spans="1:7" x14ac:dyDescent="0.25">
      <c r="A19" s="157"/>
      <c r="B19" s="175" t="s">
        <v>322</v>
      </c>
      <c r="C19" s="176"/>
      <c r="D19" s="175" t="s">
        <v>308</v>
      </c>
      <c r="E19" s="176"/>
      <c r="F19" s="177" t="s">
        <v>41</v>
      </c>
      <c r="G19" s="176"/>
    </row>
    <row r="20" spans="1:7" ht="15.75" thickBot="1" x14ac:dyDescent="0.3">
      <c r="A20" s="88" t="s">
        <v>317</v>
      </c>
      <c r="B20" s="160" t="s">
        <v>43</v>
      </c>
      <c r="C20" s="159" t="s">
        <v>315</v>
      </c>
      <c r="D20" s="160" t="s">
        <v>4</v>
      </c>
      <c r="E20" s="159" t="s">
        <v>315</v>
      </c>
      <c r="F20" s="158" t="s">
        <v>44</v>
      </c>
      <c r="G20" s="159" t="s">
        <v>315</v>
      </c>
    </row>
    <row r="21" spans="1:7" x14ac:dyDescent="0.25">
      <c r="A21" s="157" t="s">
        <v>316</v>
      </c>
      <c r="B21" s="161">
        <f>(AVERAGE(percells669[pmol_Pro/10^6cells]))</f>
        <v>314.08276595744684</v>
      </c>
      <c r="C21" s="162">
        <f>(_xlfn.STDEV.P(percells669[pmol_Pro/10^6cells]))</f>
        <v>46.737246748310753</v>
      </c>
      <c r="D21" s="161">
        <f>(AVERAGE(percells669[pmol_CDV/10^6cells]))</f>
        <v>325.00800000000004</v>
      </c>
      <c r="E21" s="162">
        <f>(_xlfn.STDEV.P(percells669[pmol_CDV/10^6cells]))</f>
        <v>29.292525568435668</v>
      </c>
      <c r="F21" s="167">
        <f>(AVERAGE(percells669[pmol_PP/10^6cells]))</f>
        <v>287.81827659574469</v>
      </c>
      <c r="G21" s="162">
        <f>(_xlfn.STDEV.P(percells669[pmol_PP/10^6cells]))</f>
        <v>11.318106512389916</v>
      </c>
    </row>
    <row r="22" spans="1:7" x14ac:dyDescent="0.25">
      <c r="A22" s="84" t="s">
        <v>318</v>
      </c>
      <c r="B22" s="163">
        <f>(AVERAGE(percells666[pmol_Pro/10^6cells]))</f>
        <v>132.41560000000001</v>
      </c>
      <c r="C22" s="164">
        <f>(_xlfn.STDEV.P(percells666[pmol_Pro/10^6cells]))</f>
        <v>5.435812535398914</v>
      </c>
      <c r="D22" s="163">
        <f>(AVERAGE(percells666[pmol_CDV/10^6cells]))</f>
        <v>129.04613333333336</v>
      </c>
      <c r="E22" s="164">
        <f>(_xlfn.STDEV.P(percells666[pmol_CDV/10^6cells]))</f>
        <v>18.239130474400895</v>
      </c>
      <c r="F22" s="168">
        <f>(AVERAGE(percells666[pmol_PP/10^6cells]))</f>
        <v>203.06586666666669</v>
      </c>
      <c r="G22" s="164">
        <f>(_xlfn.STDEV.P(percells666[pmol_PP/10^6cells]))</f>
        <v>2.5535707252568667</v>
      </c>
    </row>
    <row r="23" spans="1:7" x14ac:dyDescent="0.25">
      <c r="A23" s="84" t="s">
        <v>319</v>
      </c>
      <c r="B23" s="163">
        <f>(AVERAGE(percells663[pmol_Pro/10^6cells]))</f>
        <v>47.882457831325297</v>
      </c>
      <c r="C23" s="164">
        <f>(_xlfn.STDEV.P(percells663[pmol_Pro/10^6cells]))</f>
        <v>5.1015811219629406</v>
      </c>
      <c r="D23" s="163">
        <f>(AVERAGE(percells663[pmol_CDV/10^6cells]))</f>
        <v>37.082024096385538</v>
      </c>
      <c r="E23" s="164">
        <f>(_xlfn.STDEV.P(percells663[pmol_CDV/10^6cells]))</f>
        <v>4.7709189544173114</v>
      </c>
      <c r="F23" s="168">
        <f>(AVERAGE(percells663[pmol_PP/10^6cells]))</f>
        <v>65.407084337349389</v>
      </c>
      <c r="G23" s="164">
        <f>(_xlfn.STDEV.P(percells663[pmol_PP/10^6cells]))</f>
        <v>2.7467685112097282</v>
      </c>
    </row>
    <row r="24" spans="1:7" x14ac:dyDescent="0.25">
      <c r="A24" s="84" t="s">
        <v>4</v>
      </c>
      <c r="B24" s="163" t="s">
        <v>134</v>
      </c>
      <c r="C24" s="164" t="s">
        <v>134</v>
      </c>
      <c r="D24" s="163">
        <f>(AVERAGE(percellsCDV[pmol_CDV/10^6cells]))</f>
        <v>0.43397419354838712</v>
      </c>
      <c r="E24" s="164">
        <f>(_xlfn.STDEV.P(percellsCDV[pmol_CDV/10^6cells]))</f>
        <v>0.61373219023605552</v>
      </c>
      <c r="F24" s="168">
        <f>(AVERAGE(percellsCDV[pmol_PP/10^6cells]))</f>
        <v>0</v>
      </c>
      <c r="G24" s="164">
        <f>(_xlfn.STDEV.P(percellsCDV[pmol_PP/10^6cells]))</f>
        <v>0</v>
      </c>
    </row>
    <row r="25" spans="1:7" x14ac:dyDescent="0.25">
      <c r="A25" s="84" t="s">
        <v>320</v>
      </c>
      <c r="B25" s="163">
        <f>(AVERAGE(percellsUSC[pmol_Pro/10^6cells]))</f>
        <v>113.25097674418605</v>
      </c>
      <c r="C25" s="164">
        <f>(_xlfn.STDEV.P(percellsUSC[pmol_Pro/10^6cells]))</f>
        <v>12.236549531024846</v>
      </c>
      <c r="D25" s="163">
        <f>(AVERAGE(percellsUSC[pmol_CDV/10^6cells]))</f>
        <v>69.276390697674415</v>
      </c>
      <c r="E25" s="164">
        <f>(_xlfn.STDEV.P(percellsUSC[pmol_CDV/10^6cells]))</f>
        <v>13.731657726829367</v>
      </c>
      <c r="F25" s="168">
        <f>(AVERAGE(percellsUSC[pmol_PP/10^6cells]))</f>
        <v>80.929841860465118</v>
      </c>
      <c r="G25" s="164">
        <f>(_xlfn.STDEV.P(percellsUSC[pmol_PP/10^6cells]))</f>
        <v>2.2455725355406093</v>
      </c>
    </row>
    <row r="26" spans="1:7" ht="15.75" thickBot="1" x14ac:dyDescent="0.3">
      <c r="A26" s="81" t="s">
        <v>321</v>
      </c>
      <c r="B26" s="165">
        <f>AVERAGE(percellsCMX[pmol_Pro/10^6cells])</f>
        <v>336.12914285714288</v>
      </c>
      <c r="C26" s="166">
        <f>(_xlfn.STDEV.P(percellsCMX[pmol_Pro/10^6cells]))</f>
        <v>3.3365992055539517</v>
      </c>
      <c r="D26" s="165">
        <f>(AVERAGE(percellsCMX[pmol_CDV/10^6cells]))</f>
        <v>69.545904761904765</v>
      </c>
      <c r="E26" s="166">
        <f>(_xlfn.STDEV.P(percellsCMX[pmol_CDV/10^6cells]))</f>
        <v>14.667011298362842</v>
      </c>
      <c r="F26" s="169">
        <f>(AVERAGE(percellsCMX[pmol_PP/10^6cells]))</f>
        <v>61.384761904761909</v>
      </c>
      <c r="G26" s="166">
        <f>(_xlfn.STDEV.P(percellsCMX[pmol_PP/10^6cells]))</f>
        <v>1.6805874796165774</v>
      </c>
    </row>
  </sheetData>
  <mergeCells count="3">
    <mergeCell ref="B19:C19"/>
    <mergeCell ref="D19:E19"/>
    <mergeCell ref="F19:G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2"/>
  <sheetViews>
    <sheetView topLeftCell="B73" zoomScale="85" zoomScaleNormal="85" workbookViewId="0">
      <selection activeCell="F83" sqref="F83"/>
    </sheetView>
  </sheetViews>
  <sheetFormatPr defaultRowHeight="15" x14ac:dyDescent="0.25"/>
  <cols>
    <col min="1" max="1" width="64" bestFit="1" customWidth="1"/>
    <col min="2" max="2" width="14.28515625" style="77" bestFit="1" customWidth="1"/>
    <col min="3" max="3" width="15.140625" bestFit="1" customWidth="1"/>
    <col min="4" max="4" width="7.7109375" bestFit="1" customWidth="1"/>
    <col min="5" max="5" width="15.42578125" customWidth="1"/>
    <col min="6" max="6" width="13.42578125" customWidth="1"/>
    <col min="7" max="7" width="9" customWidth="1"/>
    <col min="8" max="8" width="13.42578125" bestFit="1" customWidth="1"/>
    <col min="9" max="9" width="16" bestFit="1" customWidth="1"/>
    <col min="10" max="10" width="26.28515625" bestFit="1" customWidth="1"/>
    <col min="11" max="11" width="13.7109375" bestFit="1" customWidth="1"/>
  </cols>
  <sheetData>
    <row r="1" spans="1:11" x14ac:dyDescent="0.25">
      <c r="A1" t="s">
        <v>45</v>
      </c>
      <c r="B1" s="77" t="s">
        <v>157</v>
      </c>
      <c r="C1" t="s">
        <v>46</v>
      </c>
      <c r="D1" t="s">
        <v>1</v>
      </c>
      <c r="E1" t="s">
        <v>306</v>
      </c>
      <c r="F1" t="s">
        <v>137</v>
      </c>
      <c r="G1" t="s">
        <v>26</v>
      </c>
      <c r="H1" t="s">
        <v>29</v>
      </c>
      <c r="I1" t="s">
        <v>307</v>
      </c>
      <c r="J1" t="s">
        <v>101</v>
      </c>
      <c r="K1" t="s">
        <v>30</v>
      </c>
    </row>
    <row r="2" spans="1:11" x14ac:dyDescent="0.25">
      <c r="A2" t="s">
        <v>47</v>
      </c>
      <c r="B2" s="77">
        <v>43326.855729166666</v>
      </c>
      <c r="C2" t="s">
        <v>48</v>
      </c>
      <c r="D2" t="s">
        <v>7</v>
      </c>
      <c r="E2" t="s">
        <v>48</v>
      </c>
      <c r="F2" t="s">
        <v>43</v>
      </c>
      <c r="G2" t="s">
        <v>27</v>
      </c>
      <c r="H2">
        <v>0</v>
      </c>
      <c r="I2">
        <v>1068.8</v>
      </c>
      <c r="J2" t="str">
        <f t="shared" ref="J2:J33" si="0">D2&amp;"_"&amp;E2&amp;"_"&amp;F2</f>
        <v>NPP663_T0_ds1_Prodrug</v>
      </c>
      <c r="K2">
        <v>1068.8</v>
      </c>
    </row>
    <row r="3" spans="1:11" x14ac:dyDescent="0.25">
      <c r="A3" t="s">
        <v>49</v>
      </c>
      <c r="B3" s="77">
        <v>43326.859212962961</v>
      </c>
      <c r="C3" t="s">
        <v>50</v>
      </c>
      <c r="D3" t="s">
        <v>7</v>
      </c>
      <c r="E3" t="s">
        <v>50</v>
      </c>
      <c r="F3" t="s">
        <v>43</v>
      </c>
      <c r="G3" t="s">
        <v>27</v>
      </c>
      <c r="H3">
        <v>0</v>
      </c>
      <c r="I3">
        <v>1241.7</v>
      </c>
      <c r="J3" t="str">
        <f t="shared" si="0"/>
        <v>NPP663_T0_ds2_Prodrug</v>
      </c>
      <c r="K3">
        <v>1241.7</v>
      </c>
    </row>
    <row r="4" spans="1:11" x14ac:dyDescent="0.25">
      <c r="A4" t="s">
        <v>51</v>
      </c>
      <c r="B4" s="77">
        <v>43326.862685185188</v>
      </c>
      <c r="C4" t="s">
        <v>52</v>
      </c>
      <c r="D4" t="s">
        <v>7</v>
      </c>
      <c r="E4" t="s">
        <v>52</v>
      </c>
      <c r="F4" t="s">
        <v>43</v>
      </c>
      <c r="G4" t="s">
        <v>27</v>
      </c>
      <c r="H4">
        <v>0</v>
      </c>
      <c r="I4">
        <v>1148.8</v>
      </c>
      <c r="J4" t="str">
        <f t="shared" si="0"/>
        <v>NPP663_T0_ds3_Prodrug</v>
      </c>
      <c r="K4">
        <v>1148.8</v>
      </c>
    </row>
    <row r="5" spans="1:11" x14ac:dyDescent="0.25">
      <c r="A5" t="s">
        <v>53</v>
      </c>
      <c r="B5" s="77">
        <v>43326.869629629633</v>
      </c>
      <c r="C5" t="s">
        <v>54</v>
      </c>
      <c r="D5" t="s">
        <v>7</v>
      </c>
      <c r="E5" t="s">
        <v>54</v>
      </c>
      <c r="F5" t="s">
        <v>43</v>
      </c>
      <c r="G5" t="s">
        <v>27</v>
      </c>
      <c r="H5">
        <v>72</v>
      </c>
      <c r="I5">
        <v>1252.0999999999999</v>
      </c>
      <c r="J5" t="str">
        <f t="shared" si="0"/>
        <v>NPP663_T72_ds1_Prodrug</v>
      </c>
      <c r="K5">
        <v>1252.0999999999999</v>
      </c>
    </row>
    <row r="6" spans="1:11" x14ac:dyDescent="0.25">
      <c r="A6" t="s">
        <v>55</v>
      </c>
      <c r="B6" s="77">
        <v>43326.873113425929</v>
      </c>
      <c r="C6" t="s">
        <v>56</v>
      </c>
      <c r="D6" t="s">
        <v>7</v>
      </c>
      <c r="E6" t="s">
        <v>56</v>
      </c>
      <c r="F6" t="s">
        <v>43</v>
      </c>
      <c r="G6" t="s">
        <v>27</v>
      </c>
      <c r="H6">
        <v>72</v>
      </c>
      <c r="I6">
        <v>1100.2</v>
      </c>
      <c r="J6" t="str">
        <f t="shared" si="0"/>
        <v>NPP663_T72_ds2_Prodrug</v>
      </c>
      <c r="K6">
        <v>1100.2</v>
      </c>
    </row>
    <row r="7" spans="1:11" x14ac:dyDescent="0.25">
      <c r="A7" t="s">
        <v>57</v>
      </c>
      <c r="B7" s="77">
        <v>43326.876585648148</v>
      </c>
      <c r="C7" t="s">
        <v>58</v>
      </c>
      <c r="D7" t="s">
        <v>7</v>
      </c>
      <c r="E7" t="s">
        <v>58</v>
      </c>
      <c r="F7" t="s">
        <v>43</v>
      </c>
      <c r="G7" t="s">
        <v>27</v>
      </c>
      <c r="H7">
        <v>72</v>
      </c>
      <c r="I7">
        <v>1159.9000000000001</v>
      </c>
      <c r="J7" t="str">
        <f t="shared" si="0"/>
        <v>NPP663_T72_ds3_Prodrug</v>
      </c>
      <c r="K7">
        <v>1159.9000000000001</v>
      </c>
    </row>
    <row r="8" spans="1:11" x14ac:dyDescent="0.25">
      <c r="A8" t="s">
        <v>59</v>
      </c>
      <c r="B8" s="77">
        <v>43326.883599537039</v>
      </c>
      <c r="C8" t="s">
        <v>60</v>
      </c>
      <c r="D8" t="s">
        <v>7</v>
      </c>
      <c r="E8" t="s">
        <v>60</v>
      </c>
      <c r="F8" t="s">
        <v>43</v>
      </c>
      <c r="G8" t="s">
        <v>27</v>
      </c>
      <c r="H8">
        <v>72</v>
      </c>
      <c r="I8">
        <v>582.5</v>
      </c>
      <c r="J8" t="str">
        <f t="shared" si="0"/>
        <v>NPP663_T72_med1_Prodrug</v>
      </c>
      <c r="K8">
        <v>582.5</v>
      </c>
    </row>
    <row r="9" spans="1:11" x14ac:dyDescent="0.25">
      <c r="A9" t="s">
        <v>61</v>
      </c>
      <c r="B9" s="77">
        <v>43326.887048611112</v>
      </c>
      <c r="C9" t="s">
        <v>62</v>
      </c>
      <c r="D9" t="s">
        <v>7</v>
      </c>
      <c r="E9" t="s">
        <v>62</v>
      </c>
      <c r="F9" t="s">
        <v>43</v>
      </c>
      <c r="G9" t="s">
        <v>27</v>
      </c>
      <c r="H9">
        <v>72</v>
      </c>
      <c r="I9">
        <v>611.29999999999995</v>
      </c>
      <c r="J9" t="str">
        <f t="shared" si="0"/>
        <v>NPP663_T72_med2_Prodrug</v>
      </c>
      <c r="K9">
        <v>611.29999999999995</v>
      </c>
    </row>
    <row r="10" spans="1:11" x14ac:dyDescent="0.25">
      <c r="A10" t="s">
        <v>63</v>
      </c>
      <c r="B10" s="77">
        <v>43326.890532407408</v>
      </c>
      <c r="C10" t="s">
        <v>64</v>
      </c>
      <c r="D10" t="s">
        <v>7</v>
      </c>
      <c r="E10" t="s">
        <v>64</v>
      </c>
      <c r="F10" t="s">
        <v>43</v>
      </c>
      <c r="G10" t="s">
        <v>27</v>
      </c>
      <c r="H10">
        <v>72</v>
      </c>
      <c r="I10">
        <v>559.5</v>
      </c>
      <c r="J10" t="str">
        <f t="shared" si="0"/>
        <v>NPP663_T72_med3_Prodrug</v>
      </c>
      <c r="K10">
        <v>559.5</v>
      </c>
    </row>
    <row r="11" spans="1:11" x14ac:dyDescent="0.25">
      <c r="A11" t="s">
        <v>65</v>
      </c>
      <c r="B11" s="77">
        <v>43327.753125000003</v>
      </c>
      <c r="C11" t="s">
        <v>66</v>
      </c>
      <c r="D11" t="s">
        <v>7</v>
      </c>
      <c r="E11" t="s">
        <v>66</v>
      </c>
      <c r="F11" t="s">
        <v>43</v>
      </c>
      <c r="G11" t="s">
        <v>28</v>
      </c>
      <c r="H11">
        <v>72</v>
      </c>
      <c r="I11">
        <v>268.5</v>
      </c>
      <c r="J11" t="str">
        <f t="shared" si="0"/>
        <v>NPP663_T72_lys1_Prodrug</v>
      </c>
      <c r="K11">
        <v>268.5</v>
      </c>
    </row>
    <row r="12" spans="1:11" x14ac:dyDescent="0.25">
      <c r="A12" t="s">
        <v>67</v>
      </c>
      <c r="B12" s="77">
        <v>43327.756597222222</v>
      </c>
      <c r="C12" t="s">
        <v>68</v>
      </c>
      <c r="D12" t="s">
        <v>7</v>
      </c>
      <c r="E12" t="s">
        <v>68</v>
      </c>
      <c r="F12" t="s">
        <v>43</v>
      </c>
      <c r="G12" t="s">
        <v>28</v>
      </c>
      <c r="H12">
        <v>72</v>
      </c>
      <c r="I12">
        <v>284.2</v>
      </c>
      <c r="J12" t="str">
        <f t="shared" si="0"/>
        <v>NPP663_T72_lys2_Prodrug</v>
      </c>
      <c r="K12">
        <v>284.2</v>
      </c>
    </row>
    <row r="13" spans="1:11" ht="15.75" customHeight="1" x14ac:dyDescent="0.25">
      <c r="A13" t="s">
        <v>69</v>
      </c>
      <c r="B13" s="77">
        <v>43327.760069444441</v>
      </c>
      <c r="C13" t="s">
        <v>70</v>
      </c>
      <c r="D13" t="s">
        <v>7</v>
      </c>
      <c r="E13" t="s">
        <v>70</v>
      </c>
      <c r="F13" t="s">
        <v>43</v>
      </c>
      <c r="G13" t="s">
        <v>28</v>
      </c>
      <c r="H13">
        <v>72</v>
      </c>
      <c r="I13">
        <v>342.4</v>
      </c>
      <c r="J13" t="str">
        <f t="shared" si="0"/>
        <v>NPP663_T72_lys3_Prodrug</v>
      </c>
      <c r="K13">
        <v>342.4</v>
      </c>
    </row>
    <row r="14" spans="1:11" x14ac:dyDescent="0.25">
      <c r="A14" t="s">
        <v>177</v>
      </c>
      <c r="B14" s="77">
        <v>43335.872083333335</v>
      </c>
      <c r="C14" t="s">
        <v>246</v>
      </c>
      <c r="D14" t="s">
        <v>7</v>
      </c>
      <c r="E14" t="s">
        <v>48</v>
      </c>
      <c r="F14" t="s">
        <v>4</v>
      </c>
      <c r="G14" t="s">
        <v>27</v>
      </c>
      <c r="H14">
        <v>0</v>
      </c>
      <c r="I14" s="170" t="s">
        <v>158</v>
      </c>
      <c r="J14" s="170" t="str">
        <f t="shared" si="0"/>
        <v>NPP663_T0_ds1_CDV</v>
      </c>
      <c r="K14" s="170">
        <v>0</v>
      </c>
    </row>
    <row r="15" spans="1:11" x14ac:dyDescent="0.25">
      <c r="A15" t="s">
        <v>178</v>
      </c>
      <c r="B15" s="77">
        <v>43335.874513888892</v>
      </c>
      <c r="C15" t="s">
        <v>247</v>
      </c>
      <c r="D15" t="s">
        <v>7</v>
      </c>
      <c r="E15" t="s">
        <v>50</v>
      </c>
      <c r="F15" t="s">
        <v>4</v>
      </c>
      <c r="G15" t="s">
        <v>27</v>
      </c>
      <c r="H15">
        <v>0</v>
      </c>
      <c r="I15" s="170" t="s">
        <v>158</v>
      </c>
      <c r="J15" s="170" t="str">
        <f t="shared" si="0"/>
        <v>NPP663_T0_ds2_CDV</v>
      </c>
      <c r="K15" s="170">
        <v>0</v>
      </c>
    </row>
    <row r="16" spans="1:11" x14ac:dyDescent="0.25">
      <c r="A16" t="s">
        <v>179</v>
      </c>
      <c r="B16" s="77">
        <v>43335.876944444448</v>
      </c>
      <c r="C16" t="s">
        <v>248</v>
      </c>
      <c r="D16" t="s">
        <v>7</v>
      </c>
      <c r="E16" t="s">
        <v>52</v>
      </c>
      <c r="F16" t="s">
        <v>4</v>
      </c>
      <c r="G16" t="s">
        <v>27</v>
      </c>
      <c r="H16">
        <v>0</v>
      </c>
      <c r="I16" s="170" t="s">
        <v>158</v>
      </c>
      <c r="J16" s="170" t="str">
        <f t="shared" si="0"/>
        <v>NPP663_T0_ds3_CDV</v>
      </c>
      <c r="K16" s="170">
        <v>0</v>
      </c>
    </row>
    <row r="17" spans="1:14" x14ac:dyDescent="0.25">
      <c r="A17" t="s">
        <v>180</v>
      </c>
      <c r="B17" s="77">
        <v>43335.88181712963</v>
      </c>
      <c r="C17" t="s">
        <v>249</v>
      </c>
      <c r="D17" t="s">
        <v>7</v>
      </c>
      <c r="E17" t="s">
        <v>54</v>
      </c>
      <c r="F17" t="s">
        <v>4</v>
      </c>
      <c r="G17" t="s">
        <v>27</v>
      </c>
      <c r="H17">
        <v>72</v>
      </c>
      <c r="I17" s="170" t="s">
        <v>158</v>
      </c>
      <c r="J17" s="170" t="str">
        <f t="shared" si="0"/>
        <v>NPP663_T72_ds1_CDV</v>
      </c>
      <c r="K17" s="170">
        <v>0</v>
      </c>
      <c r="M17" s="170"/>
      <c r="N17" s="171" t="s">
        <v>346</v>
      </c>
    </row>
    <row r="18" spans="1:14" x14ac:dyDescent="0.25">
      <c r="A18" t="s">
        <v>181</v>
      </c>
      <c r="B18" s="77">
        <v>43335.884247685186</v>
      </c>
      <c r="C18" t="s">
        <v>250</v>
      </c>
      <c r="D18" t="s">
        <v>7</v>
      </c>
      <c r="E18" t="s">
        <v>56</v>
      </c>
      <c r="F18" t="s">
        <v>4</v>
      </c>
      <c r="G18" t="s">
        <v>27</v>
      </c>
      <c r="H18">
        <v>72</v>
      </c>
      <c r="I18" s="170">
        <v>87.2</v>
      </c>
      <c r="J18" s="170" t="str">
        <f t="shared" si="0"/>
        <v>NPP663_T72_ds2_CDV</v>
      </c>
      <c r="K18" s="170">
        <v>0</v>
      </c>
    </row>
    <row r="19" spans="1:14" x14ac:dyDescent="0.25">
      <c r="A19" t="s">
        <v>182</v>
      </c>
      <c r="B19" s="77">
        <v>43335.886678240742</v>
      </c>
      <c r="C19" t="s">
        <v>251</v>
      </c>
      <c r="D19" t="s">
        <v>7</v>
      </c>
      <c r="E19" t="s">
        <v>58</v>
      </c>
      <c r="F19" t="s">
        <v>4</v>
      </c>
      <c r="G19" t="s">
        <v>27</v>
      </c>
      <c r="H19">
        <v>72</v>
      </c>
      <c r="I19" s="170" t="s">
        <v>158</v>
      </c>
      <c r="J19" s="170" t="str">
        <f t="shared" si="0"/>
        <v>NPP663_T72_ds3_CDV</v>
      </c>
      <c r="K19" s="170">
        <v>0</v>
      </c>
    </row>
    <row r="20" spans="1:14" x14ac:dyDescent="0.25">
      <c r="A20" t="s">
        <v>183</v>
      </c>
      <c r="B20" s="77">
        <v>43335.891527777778</v>
      </c>
      <c r="C20" t="s">
        <v>252</v>
      </c>
      <c r="D20" t="s">
        <v>7</v>
      </c>
      <c r="E20" t="s">
        <v>60</v>
      </c>
      <c r="F20" t="s">
        <v>4</v>
      </c>
      <c r="G20" t="s">
        <v>27</v>
      </c>
      <c r="H20">
        <v>72</v>
      </c>
      <c r="I20" s="170">
        <v>135.6</v>
      </c>
      <c r="J20" s="170" t="str">
        <f t="shared" si="0"/>
        <v>NPP663_T72_med1_CDV</v>
      </c>
      <c r="K20" s="170">
        <v>0</v>
      </c>
    </row>
    <row r="21" spans="1:14" x14ac:dyDescent="0.25">
      <c r="A21" t="s">
        <v>184</v>
      </c>
      <c r="B21" s="77">
        <v>43335.893946759257</v>
      </c>
      <c r="C21" t="s">
        <v>253</v>
      </c>
      <c r="D21" t="s">
        <v>7</v>
      </c>
      <c r="E21" t="s">
        <v>62</v>
      </c>
      <c r="F21" t="s">
        <v>4</v>
      </c>
      <c r="G21" t="s">
        <v>27</v>
      </c>
      <c r="H21">
        <v>72</v>
      </c>
      <c r="I21" s="170" t="s">
        <v>158</v>
      </c>
      <c r="J21" s="170" t="str">
        <f t="shared" si="0"/>
        <v>NPP663_T72_med2_CDV</v>
      </c>
      <c r="K21" s="170">
        <v>0</v>
      </c>
    </row>
    <row r="22" spans="1:14" x14ac:dyDescent="0.25">
      <c r="A22" t="s">
        <v>185</v>
      </c>
      <c r="B22" s="77">
        <v>43335.896377314813</v>
      </c>
      <c r="C22" t="s">
        <v>254</v>
      </c>
      <c r="D22" t="s">
        <v>7</v>
      </c>
      <c r="E22" t="s">
        <v>64</v>
      </c>
      <c r="F22" t="s">
        <v>4</v>
      </c>
      <c r="G22" t="s">
        <v>27</v>
      </c>
      <c r="H22">
        <v>72</v>
      </c>
      <c r="I22" s="170" t="s">
        <v>158</v>
      </c>
      <c r="J22" s="170" t="str">
        <f t="shared" si="0"/>
        <v>NPP663_T72_med3_CDV</v>
      </c>
      <c r="K22" s="170">
        <v>0</v>
      </c>
    </row>
    <row r="23" spans="1:14" x14ac:dyDescent="0.25">
      <c r="A23" t="s">
        <v>104</v>
      </c>
      <c r="B23" s="77">
        <v>43329.668055555558</v>
      </c>
      <c r="C23" t="s">
        <v>243</v>
      </c>
      <c r="D23" t="s">
        <v>7</v>
      </c>
      <c r="E23" t="s">
        <v>66</v>
      </c>
      <c r="F23" t="s">
        <v>4</v>
      </c>
      <c r="G23" t="s">
        <v>28</v>
      </c>
      <c r="H23">
        <v>72</v>
      </c>
      <c r="I23" s="172">
        <v>190</v>
      </c>
      <c r="J23" s="172" t="str">
        <f t="shared" si="0"/>
        <v>NPP663_T72_lys1_CDV</v>
      </c>
      <c r="K23" s="172">
        <v>190</v>
      </c>
    </row>
    <row r="24" spans="1:14" x14ac:dyDescent="0.25">
      <c r="A24" t="s">
        <v>105</v>
      </c>
      <c r="B24" s="77">
        <v>43329.670486111114</v>
      </c>
      <c r="C24" t="s">
        <v>244</v>
      </c>
      <c r="D24" t="s">
        <v>7</v>
      </c>
      <c r="E24" t="s">
        <v>68</v>
      </c>
      <c r="F24" t="s">
        <v>4</v>
      </c>
      <c r="G24" t="s">
        <v>28</v>
      </c>
      <c r="H24">
        <v>72</v>
      </c>
      <c r="I24">
        <v>243.8</v>
      </c>
      <c r="J24" t="str">
        <f t="shared" si="0"/>
        <v>NPP663_T72_lys2_CDV</v>
      </c>
      <c r="K24">
        <v>243.8</v>
      </c>
    </row>
    <row r="25" spans="1:14" x14ac:dyDescent="0.25">
      <c r="A25" t="s">
        <v>106</v>
      </c>
      <c r="B25" s="77">
        <v>43329.67292824074</v>
      </c>
      <c r="C25" t="s">
        <v>245</v>
      </c>
      <c r="D25" t="s">
        <v>7</v>
      </c>
      <c r="E25" t="s">
        <v>70</v>
      </c>
      <c r="F25" t="s">
        <v>4</v>
      </c>
      <c r="G25" t="s">
        <v>28</v>
      </c>
      <c r="H25">
        <v>72</v>
      </c>
      <c r="I25">
        <v>259.39999999999998</v>
      </c>
      <c r="J25" t="str">
        <f t="shared" si="0"/>
        <v>NPP663_T72_lys3_CDV</v>
      </c>
      <c r="K25">
        <v>259.39999999999998</v>
      </c>
    </row>
    <row r="26" spans="1:14" x14ac:dyDescent="0.25">
      <c r="A26" t="s">
        <v>107</v>
      </c>
      <c r="B26" s="77">
        <v>43333.733020833337</v>
      </c>
      <c r="C26" t="s">
        <v>243</v>
      </c>
      <c r="D26" t="s">
        <v>7</v>
      </c>
      <c r="E26" t="s">
        <v>66</v>
      </c>
      <c r="F26" t="s">
        <v>96</v>
      </c>
      <c r="G26" t="s">
        <v>28</v>
      </c>
      <c r="H26">
        <v>72</v>
      </c>
      <c r="I26">
        <v>405.7</v>
      </c>
      <c r="J26" t="str">
        <f t="shared" si="0"/>
        <v>NPP663_T72_lys1_PP</v>
      </c>
      <c r="K26">
        <v>405.7</v>
      </c>
    </row>
    <row r="27" spans="1:14" x14ac:dyDescent="0.25">
      <c r="A27" t="s">
        <v>108</v>
      </c>
      <c r="B27" s="77">
        <v>43333.736597222225</v>
      </c>
      <c r="C27" t="s">
        <v>244</v>
      </c>
      <c r="D27" t="s">
        <v>7</v>
      </c>
      <c r="E27" t="s">
        <v>68</v>
      </c>
      <c r="F27" t="s">
        <v>96</v>
      </c>
      <c r="G27" t="s">
        <v>28</v>
      </c>
      <c r="H27">
        <v>72</v>
      </c>
      <c r="I27">
        <v>429.4</v>
      </c>
      <c r="J27" t="str">
        <f t="shared" si="0"/>
        <v>NPP663_T72_lys2_PP</v>
      </c>
      <c r="K27">
        <v>429.4</v>
      </c>
    </row>
    <row r="28" spans="1:14" x14ac:dyDescent="0.25">
      <c r="A28" t="s">
        <v>109</v>
      </c>
      <c r="B28" s="77">
        <v>43333.740162037036</v>
      </c>
      <c r="C28" t="s">
        <v>245</v>
      </c>
      <c r="D28" t="s">
        <v>7</v>
      </c>
      <c r="E28" t="s">
        <v>70</v>
      </c>
      <c r="F28" t="s">
        <v>96</v>
      </c>
      <c r="G28" t="s">
        <v>28</v>
      </c>
      <c r="H28">
        <v>72</v>
      </c>
      <c r="I28">
        <v>387.6</v>
      </c>
      <c r="J28" t="str">
        <f t="shared" si="0"/>
        <v>NPP663_T72_lys3_PP</v>
      </c>
      <c r="K28">
        <v>387.6</v>
      </c>
    </row>
    <row r="29" spans="1:14" x14ac:dyDescent="0.25">
      <c r="A29" t="s">
        <v>71</v>
      </c>
      <c r="B29" s="77">
        <v>43327.062997685185</v>
      </c>
      <c r="C29" t="s">
        <v>48</v>
      </c>
      <c r="D29" t="s">
        <v>6</v>
      </c>
      <c r="E29" t="s">
        <v>48</v>
      </c>
      <c r="F29" t="s">
        <v>43</v>
      </c>
      <c r="G29" t="s">
        <v>27</v>
      </c>
      <c r="H29">
        <v>0</v>
      </c>
      <c r="I29">
        <v>1268.4000000000001</v>
      </c>
      <c r="J29" t="str">
        <f t="shared" si="0"/>
        <v>NPP666_T0_ds1_Prodrug</v>
      </c>
      <c r="K29">
        <v>1268.4000000000001</v>
      </c>
    </row>
    <row r="30" spans="1:14" x14ac:dyDescent="0.25">
      <c r="A30" t="s">
        <v>72</v>
      </c>
      <c r="B30" s="77">
        <v>43327.066481481481</v>
      </c>
      <c r="C30" t="s">
        <v>50</v>
      </c>
      <c r="D30" t="s">
        <v>6</v>
      </c>
      <c r="E30" t="s">
        <v>50</v>
      </c>
      <c r="F30" t="s">
        <v>43</v>
      </c>
      <c r="G30" t="s">
        <v>27</v>
      </c>
      <c r="H30">
        <v>0</v>
      </c>
      <c r="I30">
        <v>1294</v>
      </c>
      <c r="J30" t="str">
        <f t="shared" si="0"/>
        <v>NPP666_T0_ds2_Prodrug</v>
      </c>
      <c r="K30">
        <v>1294</v>
      </c>
    </row>
    <row r="31" spans="1:14" x14ac:dyDescent="0.25">
      <c r="A31" t="s">
        <v>73</v>
      </c>
      <c r="B31" s="77">
        <v>43327.069965277777</v>
      </c>
      <c r="C31" t="s">
        <v>52</v>
      </c>
      <c r="D31" t="s">
        <v>6</v>
      </c>
      <c r="E31" t="s">
        <v>52</v>
      </c>
      <c r="F31" t="s">
        <v>43</v>
      </c>
      <c r="G31" t="s">
        <v>27</v>
      </c>
      <c r="H31">
        <v>0</v>
      </c>
      <c r="I31">
        <v>1219.7</v>
      </c>
      <c r="J31" t="str">
        <f t="shared" si="0"/>
        <v>NPP666_T0_ds3_Prodrug</v>
      </c>
      <c r="K31">
        <v>1219.7</v>
      </c>
    </row>
    <row r="32" spans="1:14" x14ac:dyDescent="0.25">
      <c r="A32" t="s">
        <v>74</v>
      </c>
      <c r="B32" s="77">
        <v>43327.076909722222</v>
      </c>
      <c r="C32" t="s">
        <v>54</v>
      </c>
      <c r="D32" t="s">
        <v>6</v>
      </c>
      <c r="E32" t="s">
        <v>54</v>
      </c>
      <c r="F32" t="s">
        <v>43</v>
      </c>
      <c r="G32" t="s">
        <v>27</v>
      </c>
      <c r="H32">
        <v>72</v>
      </c>
      <c r="I32">
        <v>1321.9</v>
      </c>
      <c r="J32" t="str">
        <f t="shared" si="0"/>
        <v>NPP666_T72_ds1_Prodrug</v>
      </c>
      <c r="K32">
        <v>1321.9</v>
      </c>
    </row>
    <row r="33" spans="1:11" x14ac:dyDescent="0.25">
      <c r="A33" t="s">
        <v>75</v>
      </c>
      <c r="B33" s="77">
        <v>43327.080405092594</v>
      </c>
      <c r="C33" t="s">
        <v>56</v>
      </c>
      <c r="D33" t="s">
        <v>6</v>
      </c>
      <c r="E33" t="s">
        <v>56</v>
      </c>
      <c r="F33" t="s">
        <v>43</v>
      </c>
      <c r="G33" t="s">
        <v>27</v>
      </c>
      <c r="H33">
        <v>72</v>
      </c>
      <c r="I33">
        <v>1302.7</v>
      </c>
      <c r="J33" t="str">
        <f t="shared" si="0"/>
        <v>NPP666_T72_ds2_Prodrug</v>
      </c>
      <c r="K33">
        <v>1302.7</v>
      </c>
    </row>
    <row r="34" spans="1:11" x14ac:dyDescent="0.25">
      <c r="A34" t="s">
        <v>76</v>
      </c>
      <c r="B34" s="77">
        <v>43327.08388888889</v>
      </c>
      <c r="C34" t="s">
        <v>58</v>
      </c>
      <c r="D34" t="s">
        <v>6</v>
      </c>
      <c r="E34" t="s">
        <v>58</v>
      </c>
      <c r="F34" t="s">
        <v>43</v>
      </c>
      <c r="G34" t="s">
        <v>27</v>
      </c>
      <c r="H34">
        <v>72</v>
      </c>
      <c r="I34">
        <v>1346.3</v>
      </c>
      <c r="J34" t="str">
        <f t="shared" ref="J34:J65" si="1">D34&amp;"_"&amp;E34&amp;"_"&amp;F34</f>
        <v>NPP666_T72_ds3_Prodrug</v>
      </c>
      <c r="K34">
        <v>1346.3</v>
      </c>
    </row>
    <row r="35" spans="1:11" x14ac:dyDescent="0.25">
      <c r="A35" t="s">
        <v>77</v>
      </c>
      <c r="B35" s="77">
        <v>43327.090879629628</v>
      </c>
      <c r="C35" t="s">
        <v>60</v>
      </c>
      <c r="D35" t="s">
        <v>6</v>
      </c>
      <c r="E35" t="s">
        <v>60</v>
      </c>
      <c r="F35" t="s">
        <v>43</v>
      </c>
      <c r="G35" t="s">
        <v>27</v>
      </c>
      <c r="H35">
        <v>72</v>
      </c>
      <c r="I35">
        <v>239.4</v>
      </c>
      <c r="J35" t="str">
        <f t="shared" si="1"/>
        <v>NPP666_T72_med1_Prodrug</v>
      </c>
      <c r="K35">
        <v>239.4</v>
      </c>
    </row>
    <row r="36" spans="1:11" x14ac:dyDescent="0.25">
      <c r="A36" t="s">
        <v>78</v>
      </c>
      <c r="B36" s="77">
        <v>43327.094351851854</v>
      </c>
      <c r="C36" t="s">
        <v>62</v>
      </c>
      <c r="D36" t="s">
        <v>6</v>
      </c>
      <c r="E36" t="s">
        <v>62</v>
      </c>
      <c r="F36" t="s">
        <v>43</v>
      </c>
      <c r="G36" t="s">
        <v>27</v>
      </c>
      <c r="H36">
        <v>72</v>
      </c>
      <c r="I36">
        <v>289.10000000000002</v>
      </c>
      <c r="J36" t="str">
        <f t="shared" si="1"/>
        <v>NPP666_T72_med2_Prodrug</v>
      </c>
      <c r="K36">
        <v>289.10000000000002</v>
      </c>
    </row>
    <row r="37" spans="1:11" x14ac:dyDescent="0.25">
      <c r="A37" t="s">
        <v>79</v>
      </c>
      <c r="B37" s="77">
        <v>43327.097824074073</v>
      </c>
      <c r="C37" t="s">
        <v>64</v>
      </c>
      <c r="D37" t="s">
        <v>6</v>
      </c>
      <c r="E37" t="s">
        <v>64</v>
      </c>
      <c r="F37" t="s">
        <v>43</v>
      </c>
      <c r="G37" t="s">
        <v>27</v>
      </c>
      <c r="H37">
        <v>72</v>
      </c>
      <c r="I37">
        <v>270.39999999999998</v>
      </c>
      <c r="J37" t="str">
        <f t="shared" si="1"/>
        <v>NPP666_T72_med3_Prodrug</v>
      </c>
      <c r="K37">
        <v>270.39999999999998</v>
      </c>
    </row>
    <row r="38" spans="1:11" x14ac:dyDescent="0.25">
      <c r="A38" t="s">
        <v>80</v>
      </c>
      <c r="B38" s="77">
        <v>43327.931423611109</v>
      </c>
      <c r="C38" t="s">
        <v>66</v>
      </c>
      <c r="D38" t="s">
        <v>6</v>
      </c>
      <c r="E38" t="s">
        <v>66</v>
      </c>
      <c r="F38" t="s">
        <v>43</v>
      </c>
      <c r="G38" t="s">
        <v>28</v>
      </c>
      <c r="H38">
        <v>72</v>
      </c>
      <c r="I38">
        <v>946</v>
      </c>
      <c r="J38" t="str">
        <f t="shared" si="1"/>
        <v>NPP666_T72_lys1_Prodrug</v>
      </c>
      <c r="K38">
        <v>946</v>
      </c>
    </row>
    <row r="39" spans="1:11" x14ac:dyDescent="0.25">
      <c r="A39" t="s">
        <v>81</v>
      </c>
      <c r="B39" s="77">
        <v>43327.934884259259</v>
      </c>
      <c r="C39" t="s">
        <v>68</v>
      </c>
      <c r="D39" t="s">
        <v>6</v>
      </c>
      <c r="E39" t="s">
        <v>68</v>
      </c>
      <c r="F39" t="s">
        <v>43</v>
      </c>
      <c r="G39" t="s">
        <v>28</v>
      </c>
      <c r="H39">
        <v>72</v>
      </c>
      <c r="I39">
        <v>862</v>
      </c>
      <c r="J39" t="str">
        <f t="shared" si="1"/>
        <v>NPP666_T72_lys2_Prodrug</v>
      </c>
      <c r="K39">
        <v>862</v>
      </c>
    </row>
    <row r="40" spans="1:11" x14ac:dyDescent="0.25">
      <c r="A40" t="s">
        <v>82</v>
      </c>
      <c r="B40" s="77">
        <v>43327.938391203701</v>
      </c>
      <c r="C40" t="s">
        <v>70</v>
      </c>
      <c r="D40" t="s">
        <v>6</v>
      </c>
      <c r="E40" t="s">
        <v>70</v>
      </c>
      <c r="F40" t="s">
        <v>43</v>
      </c>
      <c r="G40" t="s">
        <v>28</v>
      </c>
      <c r="H40">
        <v>72</v>
      </c>
      <c r="I40">
        <v>876.1</v>
      </c>
      <c r="J40" t="str">
        <f t="shared" si="1"/>
        <v>NPP666_T72_lys3_Prodrug</v>
      </c>
      <c r="K40">
        <v>876.1</v>
      </c>
    </row>
    <row r="41" spans="1:11" x14ac:dyDescent="0.25">
      <c r="A41" t="s">
        <v>186</v>
      </c>
      <c r="B41" s="77">
        <v>43335.901238425926</v>
      </c>
      <c r="C41" t="s">
        <v>255</v>
      </c>
      <c r="D41" t="s">
        <v>6</v>
      </c>
      <c r="E41" t="s">
        <v>48</v>
      </c>
      <c r="F41" t="s">
        <v>4</v>
      </c>
      <c r="G41" t="s">
        <v>27</v>
      </c>
      <c r="H41">
        <v>0</v>
      </c>
      <c r="I41" s="170" t="s">
        <v>158</v>
      </c>
      <c r="J41" s="170" t="str">
        <f t="shared" si="1"/>
        <v>NPP666_T0_ds1_CDV</v>
      </c>
      <c r="K41" s="170">
        <v>0</v>
      </c>
    </row>
    <row r="42" spans="1:11" x14ac:dyDescent="0.25">
      <c r="A42" t="s">
        <v>187</v>
      </c>
      <c r="B42" s="77">
        <v>43335.903645833336</v>
      </c>
      <c r="C42" t="s">
        <v>256</v>
      </c>
      <c r="D42" t="s">
        <v>6</v>
      </c>
      <c r="E42" t="s">
        <v>50</v>
      </c>
      <c r="F42" t="s">
        <v>4</v>
      </c>
      <c r="G42" t="s">
        <v>27</v>
      </c>
      <c r="H42">
        <v>0</v>
      </c>
      <c r="I42" s="170" t="s">
        <v>158</v>
      </c>
      <c r="J42" s="170" t="str">
        <f t="shared" si="1"/>
        <v>NPP666_T0_ds2_CDV</v>
      </c>
      <c r="K42" s="170">
        <v>0</v>
      </c>
    </row>
    <row r="43" spans="1:11" x14ac:dyDescent="0.25">
      <c r="A43" t="s">
        <v>188</v>
      </c>
      <c r="B43" s="77">
        <v>43335.906099537038</v>
      </c>
      <c r="C43" t="s">
        <v>257</v>
      </c>
      <c r="D43" t="s">
        <v>6</v>
      </c>
      <c r="E43" t="s">
        <v>52</v>
      </c>
      <c r="F43" t="s">
        <v>4</v>
      </c>
      <c r="G43" t="s">
        <v>27</v>
      </c>
      <c r="H43">
        <v>0</v>
      </c>
      <c r="I43" s="170" t="s">
        <v>158</v>
      </c>
      <c r="J43" s="170" t="str">
        <f t="shared" si="1"/>
        <v>NPP666_T0_ds3_CDV</v>
      </c>
      <c r="K43" s="170">
        <v>0</v>
      </c>
    </row>
    <row r="44" spans="1:11" x14ac:dyDescent="0.25">
      <c r="A44" t="s">
        <v>189</v>
      </c>
      <c r="B44" s="77">
        <v>43335.910960648151</v>
      </c>
      <c r="C44" t="s">
        <v>258</v>
      </c>
      <c r="D44" t="s">
        <v>6</v>
      </c>
      <c r="E44" t="s">
        <v>54</v>
      </c>
      <c r="F44" t="s">
        <v>4</v>
      </c>
      <c r="G44" t="s">
        <v>27</v>
      </c>
      <c r="H44">
        <v>72</v>
      </c>
      <c r="I44" s="170" t="s">
        <v>158</v>
      </c>
      <c r="J44" s="170" t="str">
        <f t="shared" si="1"/>
        <v>NPP666_T72_ds1_CDV</v>
      </c>
      <c r="K44" s="170">
        <v>0</v>
      </c>
    </row>
    <row r="45" spans="1:11" x14ac:dyDescent="0.25">
      <c r="A45" t="s">
        <v>190</v>
      </c>
      <c r="B45" s="77">
        <v>43335.91337962963</v>
      </c>
      <c r="C45" t="s">
        <v>259</v>
      </c>
      <c r="D45" t="s">
        <v>6</v>
      </c>
      <c r="E45" t="s">
        <v>56</v>
      </c>
      <c r="F45" t="s">
        <v>4</v>
      </c>
      <c r="G45" t="s">
        <v>27</v>
      </c>
      <c r="H45">
        <v>72</v>
      </c>
      <c r="I45" s="170" t="s">
        <v>158</v>
      </c>
      <c r="J45" s="170" t="str">
        <f t="shared" si="1"/>
        <v>NPP666_T72_ds2_CDV</v>
      </c>
      <c r="K45" s="170">
        <v>0</v>
      </c>
    </row>
    <row r="46" spans="1:11" x14ac:dyDescent="0.25">
      <c r="A46" t="s">
        <v>191</v>
      </c>
      <c r="B46" s="77">
        <v>43335.915821759256</v>
      </c>
      <c r="C46" t="s">
        <v>260</v>
      </c>
      <c r="D46" t="s">
        <v>6</v>
      </c>
      <c r="E46" t="s">
        <v>58</v>
      </c>
      <c r="F46" t="s">
        <v>4</v>
      </c>
      <c r="G46" t="s">
        <v>27</v>
      </c>
      <c r="H46">
        <v>72</v>
      </c>
      <c r="I46" s="170" t="s">
        <v>158</v>
      </c>
      <c r="J46" s="170" t="str">
        <f t="shared" si="1"/>
        <v>NPP666_T72_ds3_CDV</v>
      </c>
      <c r="K46" s="170">
        <v>0</v>
      </c>
    </row>
    <row r="47" spans="1:11" x14ac:dyDescent="0.25">
      <c r="A47" t="s">
        <v>192</v>
      </c>
      <c r="B47" s="77">
        <v>43335.920671296299</v>
      </c>
      <c r="C47" t="s">
        <v>261</v>
      </c>
      <c r="D47" t="s">
        <v>6</v>
      </c>
      <c r="E47" t="s">
        <v>60</v>
      </c>
      <c r="F47" t="s">
        <v>4</v>
      </c>
      <c r="G47" t="s">
        <v>27</v>
      </c>
      <c r="H47">
        <v>72</v>
      </c>
      <c r="I47" s="170" t="s">
        <v>158</v>
      </c>
      <c r="J47" s="170" t="str">
        <f t="shared" si="1"/>
        <v>NPP666_T72_med1_CDV</v>
      </c>
      <c r="K47" s="170">
        <v>0</v>
      </c>
    </row>
    <row r="48" spans="1:11" x14ac:dyDescent="0.25">
      <c r="A48" t="s">
        <v>193</v>
      </c>
      <c r="B48" s="77">
        <v>43335.923090277778</v>
      </c>
      <c r="C48" t="s">
        <v>262</v>
      </c>
      <c r="D48" t="s">
        <v>6</v>
      </c>
      <c r="E48" t="s">
        <v>62</v>
      </c>
      <c r="F48" t="s">
        <v>4</v>
      </c>
      <c r="G48" t="s">
        <v>27</v>
      </c>
      <c r="H48">
        <v>72</v>
      </c>
      <c r="I48" s="170" t="s">
        <v>158</v>
      </c>
      <c r="J48" s="170" t="str">
        <f t="shared" si="1"/>
        <v>NPP666_T72_med2_CDV</v>
      </c>
      <c r="K48" s="170">
        <v>0</v>
      </c>
    </row>
    <row r="49" spans="1:11" x14ac:dyDescent="0.25">
      <c r="A49" t="s">
        <v>194</v>
      </c>
      <c r="B49" s="77">
        <v>43335.925543981481</v>
      </c>
      <c r="C49" t="s">
        <v>263</v>
      </c>
      <c r="D49" t="s">
        <v>6</v>
      </c>
      <c r="E49" t="s">
        <v>64</v>
      </c>
      <c r="F49" t="s">
        <v>4</v>
      </c>
      <c r="G49" t="s">
        <v>27</v>
      </c>
      <c r="H49">
        <v>72</v>
      </c>
      <c r="I49" s="170">
        <v>219.4</v>
      </c>
      <c r="J49" s="170" t="str">
        <f t="shared" si="1"/>
        <v>NPP666_T72_med3_CDV</v>
      </c>
      <c r="K49" s="170">
        <v>0</v>
      </c>
    </row>
    <row r="50" spans="1:11" x14ac:dyDescent="0.25">
      <c r="A50" t="s">
        <v>110</v>
      </c>
      <c r="B50" s="77">
        <v>43329.677766203706</v>
      </c>
      <c r="C50" t="s">
        <v>264</v>
      </c>
      <c r="D50" t="s">
        <v>6</v>
      </c>
      <c r="E50" t="s">
        <v>66</v>
      </c>
      <c r="F50" t="s">
        <v>4</v>
      </c>
      <c r="G50" t="s">
        <v>28</v>
      </c>
      <c r="H50">
        <v>72</v>
      </c>
      <c r="I50">
        <v>1035.8</v>
      </c>
      <c r="J50" t="str">
        <f t="shared" si="1"/>
        <v>NPP666_T72_lys1_CDV</v>
      </c>
      <c r="K50">
        <v>1035.8</v>
      </c>
    </row>
    <row r="51" spans="1:11" x14ac:dyDescent="0.25">
      <c r="A51" t="s">
        <v>111</v>
      </c>
      <c r="B51" s="77">
        <v>43329.680196759262</v>
      </c>
      <c r="C51" t="s">
        <v>265</v>
      </c>
      <c r="D51" t="s">
        <v>6</v>
      </c>
      <c r="E51" t="s">
        <v>68</v>
      </c>
      <c r="F51" t="s">
        <v>4</v>
      </c>
      <c r="G51" t="s">
        <v>28</v>
      </c>
      <c r="H51">
        <v>72</v>
      </c>
      <c r="I51">
        <v>738.6</v>
      </c>
      <c r="J51" t="str">
        <f t="shared" si="1"/>
        <v>NPP666_T72_lys2_CDV</v>
      </c>
      <c r="K51">
        <v>738.6</v>
      </c>
    </row>
    <row r="52" spans="1:11" x14ac:dyDescent="0.25">
      <c r="A52" t="s">
        <v>112</v>
      </c>
      <c r="B52" s="77">
        <v>43329.682638888888</v>
      </c>
      <c r="C52" t="s">
        <v>266</v>
      </c>
      <c r="D52" t="s">
        <v>6</v>
      </c>
      <c r="E52" t="s">
        <v>70</v>
      </c>
      <c r="F52" t="s">
        <v>4</v>
      </c>
      <c r="G52" t="s">
        <v>28</v>
      </c>
      <c r="H52">
        <v>72</v>
      </c>
      <c r="I52">
        <v>841.4</v>
      </c>
      <c r="J52" t="str">
        <f t="shared" si="1"/>
        <v>NPP666_T72_lys3_CDV</v>
      </c>
      <c r="K52">
        <v>841.4</v>
      </c>
    </row>
    <row r="53" spans="1:11" x14ac:dyDescent="0.25">
      <c r="A53" t="s">
        <v>113</v>
      </c>
      <c r="B53" s="77">
        <v>43333.74732638889</v>
      </c>
      <c r="C53" t="s">
        <v>264</v>
      </c>
      <c r="D53" t="s">
        <v>6</v>
      </c>
      <c r="E53" t="s">
        <v>66</v>
      </c>
      <c r="F53" t="s">
        <v>96</v>
      </c>
      <c r="G53" t="s">
        <v>28</v>
      </c>
      <c r="H53">
        <v>72</v>
      </c>
      <c r="I53">
        <v>1373.4</v>
      </c>
      <c r="J53" t="str">
        <f t="shared" si="1"/>
        <v>NPP666_T72_lys1_PP</v>
      </c>
      <c r="K53">
        <v>1373.4</v>
      </c>
    </row>
    <row r="54" spans="1:11" x14ac:dyDescent="0.25">
      <c r="A54" t="s">
        <v>114</v>
      </c>
      <c r="B54" s="77">
        <v>43333.750914351855</v>
      </c>
      <c r="C54" t="s">
        <v>265</v>
      </c>
      <c r="D54" t="s">
        <v>6</v>
      </c>
      <c r="E54" t="s">
        <v>68</v>
      </c>
      <c r="F54" t="s">
        <v>96</v>
      </c>
      <c r="G54" t="s">
        <v>28</v>
      </c>
      <c r="H54">
        <v>72</v>
      </c>
      <c r="I54">
        <v>1392.5</v>
      </c>
      <c r="J54" t="str">
        <f t="shared" si="1"/>
        <v>NPP666_T72_lys2_PP</v>
      </c>
      <c r="K54">
        <v>1392.5</v>
      </c>
    </row>
    <row r="55" spans="1:11" x14ac:dyDescent="0.25">
      <c r="A55" t="s">
        <v>115</v>
      </c>
      <c r="B55" s="77">
        <v>43333.754525462966</v>
      </c>
      <c r="C55" t="s">
        <v>266</v>
      </c>
      <c r="D55" t="s">
        <v>6</v>
      </c>
      <c r="E55" t="s">
        <v>70</v>
      </c>
      <c r="F55" t="s">
        <v>96</v>
      </c>
      <c r="G55" t="s">
        <v>28</v>
      </c>
      <c r="H55">
        <v>72</v>
      </c>
      <c r="I55">
        <v>1350.3</v>
      </c>
      <c r="J55" t="str">
        <f t="shared" si="1"/>
        <v>NPP666_T72_lys3_PP</v>
      </c>
      <c r="K55">
        <v>1350.3</v>
      </c>
    </row>
    <row r="56" spans="1:11" x14ac:dyDescent="0.25">
      <c r="A56" t="s">
        <v>83</v>
      </c>
      <c r="B56" s="77">
        <v>43327.271168981482</v>
      </c>
      <c r="C56" t="s">
        <v>48</v>
      </c>
      <c r="D56" t="s">
        <v>5</v>
      </c>
      <c r="E56" t="s">
        <v>48</v>
      </c>
      <c r="F56" t="s">
        <v>43</v>
      </c>
      <c r="G56" t="s">
        <v>27</v>
      </c>
      <c r="H56">
        <v>0</v>
      </c>
      <c r="I56">
        <v>963.4</v>
      </c>
      <c r="J56" t="str">
        <f t="shared" si="1"/>
        <v>NPP669_T0_ds1_Prodrug</v>
      </c>
      <c r="K56">
        <v>963.4</v>
      </c>
    </row>
    <row r="57" spans="1:11" x14ac:dyDescent="0.25">
      <c r="A57" t="s">
        <v>84</v>
      </c>
      <c r="B57" s="77">
        <v>43327.274652777778</v>
      </c>
      <c r="C57" t="s">
        <v>50</v>
      </c>
      <c r="D57" t="s">
        <v>5</v>
      </c>
      <c r="E57" t="s">
        <v>50</v>
      </c>
      <c r="F57" t="s">
        <v>43</v>
      </c>
      <c r="G57" t="s">
        <v>27</v>
      </c>
      <c r="H57">
        <v>0</v>
      </c>
      <c r="I57">
        <v>980.2</v>
      </c>
      <c r="J57" t="str">
        <f t="shared" si="1"/>
        <v>NPP669_T0_ds2_Prodrug</v>
      </c>
      <c r="K57">
        <v>980.2</v>
      </c>
    </row>
    <row r="58" spans="1:11" x14ac:dyDescent="0.25">
      <c r="A58" t="s">
        <v>85</v>
      </c>
      <c r="B58" s="77">
        <v>43327.278148148151</v>
      </c>
      <c r="C58" t="s">
        <v>52</v>
      </c>
      <c r="D58" t="s">
        <v>5</v>
      </c>
      <c r="E58" t="s">
        <v>52</v>
      </c>
      <c r="F58" t="s">
        <v>43</v>
      </c>
      <c r="G58" t="s">
        <v>27</v>
      </c>
      <c r="H58">
        <v>0</v>
      </c>
      <c r="I58">
        <v>1025.8</v>
      </c>
      <c r="J58" t="str">
        <f t="shared" si="1"/>
        <v>NPP669_T0_ds3_Prodrug</v>
      </c>
      <c r="K58">
        <v>1025.8</v>
      </c>
    </row>
    <row r="59" spans="1:11" x14ac:dyDescent="0.25">
      <c r="A59" t="s">
        <v>86</v>
      </c>
      <c r="B59" s="77">
        <v>43327.285115740742</v>
      </c>
      <c r="C59" t="s">
        <v>54</v>
      </c>
      <c r="D59" t="s">
        <v>5</v>
      </c>
      <c r="E59" t="s">
        <v>54</v>
      </c>
      <c r="F59" t="s">
        <v>43</v>
      </c>
      <c r="G59" t="s">
        <v>27</v>
      </c>
      <c r="H59">
        <v>72</v>
      </c>
      <c r="I59">
        <v>1084.3</v>
      </c>
      <c r="J59" t="str">
        <f t="shared" si="1"/>
        <v>NPP669_T72_ds1_Prodrug</v>
      </c>
      <c r="K59">
        <v>1084.3</v>
      </c>
    </row>
    <row r="60" spans="1:11" x14ac:dyDescent="0.25">
      <c r="A60" t="s">
        <v>87</v>
      </c>
      <c r="B60" s="77">
        <v>43327.288599537038</v>
      </c>
      <c r="C60" t="s">
        <v>56</v>
      </c>
      <c r="D60" t="s">
        <v>5</v>
      </c>
      <c r="E60" t="s">
        <v>56</v>
      </c>
      <c r="F60" t="s">
        <v>43</v>
      </c>
      <c r="G60" t="s">
        <v>27</v>
      </c>
      <c r="H60">
        <v>72</v>
      </c>
      <c r="I60">
        <v>1036.3</v>
      </c>
      <c r="J60" t="str">
        <f t="shared" si="1"/>
        <v>NPP669_T72_ds2_Prodrug</v>
      </c>
      <c r="K60">
        <v>1036.3</v>
      </c>
    </row>
    <row r="61" spans="1:11" x14ac:dyDescent="0.25">
      <c r="A61" t="s">
        <v>88</v>
      </c>
      <c r="B61" s="77">
        <v>43327.292094907411</v>
      </c>
      <c r="C61" t="s">
        <v>58</v>
      </c>
      <c r="D61" t="s">
        <v>5</v>
      </c>
      <c r="E61" t="s">
        <v>58</v>
      </c>
      <c r="F61" t="s">
        <v>43</v>
      </c>
      <c r="G61" t="s">
        <v>27</v>
      </c>
      <c r="H61">
        <v>72</v>
      </c>
      <c r="I61">
        <v>1061.3</v>
      </c>
      <c r="J61" t="str">
        <f t="shared" si="1"/>
        <v>NPP669_T72_ds3_Prodrug</v>
      </c>
      <c r="K61">
        <v>1061.3</v>
      </c>
    </row>
    <row r="62" spans="1:11" x14ac:dyDescent="0.25">
      <c r="A62" t="s">
        <v>89</v>
      </c>
      <c r="B62" s="77">
        <v>43327.300104166665</v>
      </c>
      <c r="C62" t="s">
        <v>60</v>
      </c>
      <c r="D62" t="s">
        <v>5</v>
      </c>
      <c r="E62" t="s">
        <v>60</v>
      </c>
      <c r="F62" t="s">
        <v>43</v>
      </c>
      <c r="G62" t="s">
        <v>27</v>
      </c>
      <c r="H62">
        <v>72</v>
      </c>
      <c r="I62">
        <v>268.10000000000002</v>
      </c>
      <c r="J62" t="str">
        <f t="shared" si="1"/>
        <v>NPP669_T72_med1_Prodrug</v>
      </c>
      <c r="K62">
        <v>268.10000000000002</v>
      </c>
    </row>
    <row r="63" spans="1:11" x14ac:dyDescent="0.25">
      <c r="A63" t="s">
        <v>90</v>
      </c>
      <c r="B63" s="77">
        <v>43327.303587962961</v>
      </c>
      <c r="C63" t="s">
        <v>62</v>
      </c>
      <c r="D63" t="s">
        <v>5</v>
      </c>
      <c r="E63" t="s">
        <v>62</v>
      </c>
      <c r="F63" t="s">
        <v>43</v>
      </c>
      <c r="G63" t="s">
        <v>27</v>
      </c>
      <c r="H63">
        <v>72</v>
      </c>
      <c r="I63">
        <v>277.3</v>
      </c>
      <c r="J63" t="str">
        <f t="shared" si="1"/>
        <v>NPP669_T72_med2_Prodrug</v>
      </c>
      <c r="K63">
        <v>277.3</v>
      </c>
    </row>
    <row r="64" spans="1:11" x14ac:dyDescent="0.25">
      <c r="A64" t="s">
        <v>91</v>
      </c>
      <c r="B64" s="77">
        <v>43327.30709490741</v>
      </c>
      <c r="C64" t="s">
        <v>64</v>
      </c>
      <c r="D64" t="s">
        <v>5</v>
      </c>
      <c r="E64" t="s">
        <v>64</v>
      </c>
      <c r="F64" t="s">
        <v>43</v>
      </c>
      <c r="G64" t="s">
        <v>27</v>
      </c>
      <c r="H64">
        <v>72</v>
      </c>
      <c r="I64">
        <v>360.9</v>
      </c>
      <c r="J64" t="str">
        <f t="shared" si="1"/>
        <v>NPP669_T72_med3_Prodrug</v>
      </c>
      <c r="K64">
        <v>360.9</v>
      </c>
    </row>
    <row r="65" spans="1:11" x14ac:dyDescent="0.25">
      <c r="A65" t="s">
        <v>92</v>
      </c>
      <c r="B65" s="77">
        <v>43328.109548611108</v>
      </c>
      <c r="C65" t="s">
        <v>66</v>
      </c>
      <c r="D65" t="s">
        <v>5</v>
      </c>
      <c r="E65" t="s">
        <v>66</v>
      </c>
      <c r="F65" t="s">
        <v>43</v>
      </c>
      <c r="G65" t="s">
        <v>28</v>
      </c>
      <c r="H65">
        <v>72</v>
      </c>
      <c r="I65">
        <v>1280.5</v>
      </c>
      <c r="J65" t="str">
        <f t="shared" si="1"/>
        <v>NPP669_T72_lys1_Prodrug</v>
      </c>
      <c r="K65">
        <v>1280.5</v>
      </c>
    </row>
    <row r="66" spans="1:11" x14ac:dyDescent="0.25">
      <c r="A66" t="s">
        <v>93</v>
      </c>
      <c r="B66" s="77">
        <v>43328.113032407404</v>
      </c>
      <c r="C66" t="s">
        <v>68</v>
      </c>
      <c r="D66" t="s">
        <v>5</v>
      </c>
      <c r="E66" t="s">
        <v>68</v>
      </c>
      <c r="F66" t="s">
        <v>43</v>
      </c>
      <c r="G66" t="s">
        <v>28</v>
      </c>
      <c r="H66">
        <v>72</v>
      </c>
      <c r="I66">
        <v>1368</v>
      </c>
      <c r="J66" t="str">
        <f t="shared" ref="J66:J97" si="2">D66&amp;"_"&amp;E66&amp;"_"&amp;F66</f>
        <v>NPP669_T72_lys2_Prodrug</v>
      </c>
      <c r="K66">
        <v>1368</v>
      </c>
    </row>
    <row r="67" spans="1:11" x14ac:dyDescent="0.25">
      <c r="A67" t="s">
        <v>94</v>
      </c>
      <c r="B67" s="77">
        <v>43328.11650462963</v>
      </c>
      <c r="C67" t="s">
        <v>70</v>
      </c>
      <c r="D67" t="s">
        <v>5</v>
      </c>
      <c r="E67" t="s">
        <v>70</v>
      </c>
      <c r="F67" t="s">
        <v>43</v>
      </c>
      <c r="G67" t="s">
        <v>28</v>
      </c>
      <c r="H67">
        <v>72</v>
      </c>
      <c r="I67">
        <v>1784.5</v>
      </c>
      <c r="J67" t="str">
        <f t="shared" si="2"/>
        <v>NPP669_T72_lys3_Prodrug</v>
      </c>
      <c r="K67">
        <v>1784.5</v>
      </c>
    </row>
    <row r="68" spans="1:11" x14ac:dyDescent="0.25">
      <c r="A68" t="s">
        <v>195</v>
      </c>
      <c r="B68" s="77">
        <v>43335.93037037037</v>
      </c>
      <c r="C68" t="s">
        <v>267</v>
      </c>
      <c r="D68" t="s">
        <v>5</v>
      </c>
      <c r="E68" t="s">
        <v>48</v>
      </c>
      <c r="F68" t="s">
        <v>4</v>
      </c>
      <c r="G68" t="s">
        <v>27</v>
      </c>
      <c r="H68">
        <v>0</v>
      </c>
      <c r="I68" s="170" t="s">
        <v>158</v>
      </c>
      <c r="J68" s="170" t="str">
        <f t="shared" si="2"/>
        <v>NPP669_T0_ds1_CDV</v>
      </c>
      <c r="K68" s="170">
        <v>0</v>
      </c>
    </row>
    <row r="69" spans="1:11" x14ac:dyDescent="0.25">
      <c r="A69" t="s">
        <v>196</v>
      </c>
      <c r="B69" s="77">
        <v>43335.932824074072</v>
      </c>
      <c r="C69" t="s">
        <v>268</v>
      </c>
      <c r="D69" t="s">
        <v>5</v>
      </c>
      <c r="E69" t="s">
        <v>50</v>
      </c>
      <c r="F69" t="s">
        <v>4</v>
      </c>
      <c r="G69" t="s">
        <v>27</v>
      </c>
      <c r="H69">
        <v>0</v>
      </c>
      <c r="I69" s="170" t="s">
        <v>158</v>
      </c>
      <c r="J69" s="170" t="str">
        <f t="shared" si="2"/>
        <v>NPP669_T0_ds2_CDV</v>
      </c>
      <c r="K69" s="170">
        <v>0</v>
      </c>
    </row>
    <row r="70" spans="1:11" x14ac:dyDescent="0.25">
      <c r="A70" t="s">
        <v>197</v>
      </c>
      <c r="B70" s="77">
        <v>43335.935266203705</v>
      </c>
      <c r="C70" t="s">
        <v>269</v>
      </c>
      <c r="D70" t="s">
        <v>5</v>
      </c>
      <c r="E70" t="s">
        <v>52</v>
      </c>
      <c r="F70" t="s">
        <v>4</v>
      </c>
      <c r="G70" t="s">
        <v>27</v>
      </c>
      <c r="H70">
        <v>0</v>
      </c>
      <c r="I70" s="170" t="s">
        <v>158</v>
      </c>
      <c r="J70" s="170" t="str">
        <f t="shared" si="2"/>
        <v>NPP669_T0_ds3_CDV</v>
      </c>
      <c r="K70" s="170">
        <v>0</v>
      </c>
    </row>
    <row r="71" spans="1:11" x14ac:dyDescent="0.25">
      <c r="A71" t="s">
        <v>198</v>
      </c>
      <c r="B71" s="77">
        <v>43335.940104166664</v>
      </c>
      <c r="C71" t="s">
        <v>270</v>
      </c>
      <c r="D71" t="s">
        <v>5</v>
      </c>
      <c r="E71" t="s">
        <v>54</v>
      </c>
      <c r="F71" t="s">
        <v>4</v>
      </c>
      <c r="G71" t="s">
        <v>27</v>
      </c>
      <c r="H71">
        <v>72</v>
      </c>
      <c r="I71" s="170" t="s">
        <v>158</v>
      </c>
      <c r="J71" s="170" t="str">
        <f t="shared" si="2"/>
        <v>NPP669_T72_ds1_CDV</v>
      </c>
      <c r="K71" s="170">
        <v>0</v>
      </c>
    </row>
    <row r="72" spans="1:11" x14ac:dyDescent="0.25">
      <c r="A72" t="s">
        <v>199</v>
      </c>
      <c r="B72" s="77">
        <v>43335.942546296297</v>
      </c>
      <c r="C72" t="s">
        <v>271</v>
      </c>
      <c r="D72" t="s">
        <v>5</v>
      </c>
      <c r="E72" t="s">
        <v>56</v>
      </c>
      <c r="F72" t="s">
        <v>4</v>
      </c>
      <c r="G72" t="s">
        <v>27</v>
      </c>
      <c r="H72">
        <v>72</v>
      </c>
      <c r="I72" s="170" t="s">
        <v>158</v>
      </c>
      <c r="J72" s="170" t="str">
        <f t="shared" si="2"/>
        <v>NPP669_T72_ds2_CDV</v>
      </c>
      <c r="K72" s="170">
        <v>0</v>
      </c>
    </row>
    <row r="73" spans="1:11" x14ac:dyDescent="0.25">
      <c r="A73" t="s">
        <v>200</v>
      </c>
      <c r="B73" s="77">
        <v>43335.944988425923</v>
      </c>
      <c r="C73" t="s">
        <v>272</v>
      </c>
      <c r="D73" t="s">
        <v>5</v>
      </c>
      <c r="E73" t="s">
        <v>58</v>
      </c>
      <c r="F73" t="s">
        <v>4</v>
      </c>
      <c r="G73" t="s">
        <v>27</v>
      </c>
      <c r="H73">
        <v>72</v>
      </c>
      <c r="I73" s="170" t="s">
        <v>158</v>
      </c>
      <c r="J73" s="170" t="str">
        <f t="shared" si="2"/>
        <v>NPP669_T72_ds3_CDV</v>
      </c>
      <c r="K73" s="170">
        <v>0</v>
      </c>
    </row>
    <row r="74" spans="1:11" x14ac:dyDescent="0.25">
      <c r="A74" t="s">
        <v>201</v>
      </c>
      <c r="B74" s="77">
        <v>43335.949861111112</v>
      </c>
      <c r="C74" t="s">
        <v>273</v>
      </c>
      <c r="D74" t="s">
        <v>5</v>
      </c>
      <c r="E74" t="s">
        <v>60</v>
      </c>
      <c r="F74" t="s">
        <v>4</v>
      </c>
      <c r="G74" t="s">
        <v>27</v>
      </c>
      <c r="H74">
        <v>72</v>
      </c>
      <c r="I74" s="170">
        <v>204.2</v>
      </c>
      <c r="J74" s="170" t="str">
        <f t="shared" si="2"/>
        <v>NPP669_T72_med1_CDV</v>
      </c>
      <c r="K74" s="170">
        <v>0</v>
      </c>
    </row>
    <row r="75" spans="1:11" x14ac:dyDescent="0.25">
      <c r="A75" t="s">
        <v>202</v>
      </c>
      <c r="B75" s="77">
        <v>43335.952280092592</v>
      </c>
      <c r="C75" t="s">
        <v>274</v>
      </c>
      <c r="D75" t="s">
        <v>5</v>
      </c>
      <c r="E75" t="s">
        <v>62</v>
      </c>
      <c r="F75" t="s">
        <v>4</v>
      </c>
      <c r="G75" t="s">
        <v>27</v>
      </c>
      <c r="H75">
        <v>72</v>
      </c>
      <c r="I75" s="170">
        <v>263.5</v>
      </c>
      <c r="J75" s="170" t="str">
        <f t="shared" si="2"/>
        <v>NPP669_T72_med2_CDV</v>
      </c>
      <c r="K75" s="170">
        <v>0</v>
      </c>
    </row>
    <row r="76" spans="1:11" x14ac:dyDescent="0.25">
      <c r="A76" t="s">
        <v>203</v>
      </c>
      <c r="B76" s="77">
        <v>43335.954699074071</v>
      </c>
      <c r="C76" t="s">
        <v>275</v>
      </c>
      <c r="D76" t="s">
        <v>5</v>
      </c>
      <c r="E76" t="s">
        <v>64</v>
      </c>
      <c r="F76" t="s">
        <v>4</v>
      </c>
      <c r="G76" t="s">
        <v>27</v>
      </c>
      <c r="H76">
        <v>72</v>
      </c>
      <c r="I76" s="170">
        <v>233.3</v>
      </c>
      <c r="J76" s="170" t="str">
        <f t="shared" si="2"/>
        <v>NPP669_T72_med3_CDV</v>
      </c>
      <c r="K76" s="170">
        <v>0</v>
      </c>
    </row>
    <row r="77" spans="1:11" x14ac:dyDescent="0.25">
      <c r="A77" t="s">
        <v>116</v>
      </c>
      <c r="B77" s="77">
        <v>43329.687488425923</v>
      </c>
      <c r="C77" t="s">
        <v>276</v>
      </c>
      <c r="D77" t="s">
        <v>5</v>
      </c>
      <c r="E77" t="s">
        <v>66</v>
      </c>
      <c r="F77" t="s">
        <v>4</v>
      </c>
      <c r="G77" t="s">
        <v>28</v>
      </c>
      <c r="H77">
        <v>72</v>
      </c>
      <c r="I77">
        <v>1370.8</v>
      </c>
      <c r="J77" t="str">
        <f t="shared" si="2"/>
        <v>NPP669_T72_lys1_CDV</v>
      </c>
      <c r="K77">
        <v>1370.8</v>
      </c>
    </row>
    <row r="78" spans="1:11" x14ac:dyDescent="0.25">
      <c r="A78" t="s">
        <v>117</v>
      </c>
      <c r="B78" s="77">
        <v>43329.689930555556</v>
      </c>
      <c r="C78" t="s">
        <v>277</v>
      </c>
      <c r="D78" t="s">
        <v>5</v>
      </c>
      <c r="E78" t="s">
        <v>68</v>
      </c>
      <c r="F78" t="s">
        <v>4</v>
      </c>
      <c r="G78" t="s">
        <v>28</v>
      </c>
      <c r="H78">
        <v>72</v>
      </c>
      <c r="I78">
        <v>1509.7</v>
      </c>
      <c r="J78" t="str">
        <f t="shared" si="2"/>
        <v>NPP669_T72_lys2_CDV</v>
      </c>
      <c r="K78">
        <v>1509.7</v>
      </c>
    </row>
    <row r="79" spans="1:11" x14ac:dyDescent="0.25">
      <c r="A79" t="s">
        <v>118</v>
      </c>
      <c r="B79" s="77">
        <v>43329.692337962966</v>
      </c>
      <c r="C79" t="s">
        <v>278</v>
      </c>
      <c r="D79" t="s">
        <v>5</v>
      </c>
      <c r="E79" t="s">
        <v>70</v>
      </c>
      <c r="F79" t="s">
        <v>4</v>
      </c>
      <c r="G79" t="s">
        <v>28</v>
      </c>
      <c r="H79">
        <v>72</v>
      </c>
      <c r="I79">
        <v>1706.7</v>
      </c>
      <c r="J79" t="str">
        <f t="shared" si="2"/>
        <v>NPP669_T72_lys3_CDV</v>
      </c>
      <c r="K79">
        <v>1706.7</v>
      </c>
    </row>
    <row r="80" spans="1:11" x14ac:dyDescent="0.25">
      <c r="A80" t="s">
        <v>119</v>
      </c>
      <c r="B80" s="77">
        <v>43333.761701388888</v>
      </c>
      <c r="C80" t="s">
        <v>276</v>
      </c>
      <c r="D80" t="s">
        <v>5</v>
      </c>
      <c r="E80" t="s">
        <v>66</v>
      </c>
      <c r="F80" t="s">
        <v>96</v>
      </c>
      <c r="G80" t="s">
        <v>28</v>
      </c>
      <c r="H80">
        <v>72</v>
      </c>
      <c r="I80">
        <v>1292.9000000000001</v>
      </c>
      <c r="J80" t="str">
        <f t="shared" si="2"/>
        <v>NPP669_T72_lys1_PP</v>
      </c>
      <c r="K80">
        <v>1292.9000000000001</v>
      </c>
    </row>
    <row r="81" spans="1:11" x14ac:dyDescent="0.25">
      <c r="A81" t="s">
        <v>120</v>
      </c>
      <c r="B81" s="77">
        <v>43333.765277777777</v>
      </c>
      <c r="C81" t="s">
        <v>277</v>
      </c>
      <c r="D81" t="s">
        <v>5</v>
      </c>
      <c r="E81" t="s">
        <v>68</v>
      </c>
      <c r="F81" t="s">
        <v>96</v>
      </c>
      <c r="G81" t="s">
        <v>28</v>
      </c>
      <c r="H81">
        <v>72</v>
      </c>
      <c r="I81">
        <v>1346.7</v>
      </c>
      <c r="J81" t="str">
        <f t="shared" si="2"/>
        <v>NPP669_T72_lys2_PP</v>
      </c>
      <c r="K81">
        <v>1346.7</v>
      </c>
    </row>
    <row r="82" spans="1:11" x14ac:dyDescent="0.25">
      <c r="A82" t="s">
        <v>121</v>
      </c>
      <c r="B82" s="77">
        <v>43333.768865740742</v>
      </c>
      <c r="C82" t="s">
        <v>278</v>
      </c>
      <c r="D82" t="s">
        <v>5</v>
      </c>
      <c r="E82" t="s">
        <v>70</v>
      </c>
      <c r="F82" t="s">
        <v>96</v>
      </c>
      <c r="G82" t="s">
        <v>28</v>
      </c>
      <c r="H82">
        <v>72</v>
      </c>
      <c r="I82">
        <v>1422.7</v>
      </c>
      <c r="J82" t="str">
        <f t="shared" si="2"/>
        <v>NPP669_T72_lys3_PP</v>
      </c>
      <c r="K82">
        <v>1422.7</v>
      </c>
    </row>
    <row r="83" spans="1:11" x14ac:dyDescent="0.25">
      <c r="A83" t="s">
        <v>204</v>
      </c>
      <c r="B83" s="77">
        <v>43335.959548611114</v>
      </c>
      <c r="C83" t="s">
        <v>279</v>
      </c>
      <c r="D83" t="s">
        <v>4</v>
      </c>
      <c r="E83" t="s">
        <v>48</v>
      </c>
      <c r="F83" t="s">
        <v>4</v>
      </c>
      <c r="G83" t="s">
        <v>27</v>
      </c>
      <c r="H83">
        <v>0</v>
      </c>
      <c r="I83">
        <v>1315.2</v>
      </c>
      <c r="J83" t="str">
        <f t="shared" si="2"/>
        <v>CDV_T0_ds1_CDV</v>
      </c>
      <c r="K83">
        <v>1315.2</v>
      </c>
    </row>
    <row r="84" spans="1:11" x14ac:dyDescent="0.25">
      <c r="A84" t="s">
        <v>205</v>
      </c>
      <c r="B84" s="77">
        <v>43335.96199074074</v>
      </c>
      <c r="C84" t="s">
        <v>280</v>
      </c>
      <c r="D84" t="s">
        <v>4</v>
      </c>
      <c r="E84" t="s">
        <v>50</v>
      </c>
      <c r="F84" t="s">
        <v>4</v>
      </c>
      <c r="G84" t="s">
        <v>27</v>
      </c>
      <c r="H84">
        <v>0</v>
      </c>
      <c r="I84">
        <v>1146.0999999999999</v>
      </c>
      <c r="J84" t="str">
        <f t="shared" si="2"/>
        <v>CDV_T0_ds2_CDV</v>
      </c>
      <c r="K84">
        <v>1146.0999999999999</v>
      </c>
    </row>
    <row r="85" spans="1:11" x14ac:dyDescent="0.25">
      <c r="A85" t="s">
        <v>206</v>
      </c>
      <c r="B85" s="77">
        <v>43335.964432870373</v>
      </c>
      <c r="C85" t="s">
        <v>281</v>
      </c>
      <c r="D85" t="s">
        <v>4</v>
      </c>
      <c r="E85" t="s">
        <v>52</v>
      </c>
      <c r="F85" t="s">
        <v>4</v>
      </c>
      <c r="G85" t="s">
        <v>27</v>
      </c>
      <c r="H85">
        <v>0</v>
      </c>
      <c r="I85">
        <v>1066.7</v>
      </c>
      <c r="J85" t="str">
        <f t="shared" si="2"/>
        <v>CDV_T0_ds3_CDV</v>
      </c>
      <c r="K85">
        <v>1066.7</v>
      </c>
    </row>
    <row r="86" spans="1:11" x14ac:dyDescent="0.25">
      <c r="A86" t="s">
        <v>207</v>
      </c>
      <c r="B86" s="77">
        <v>43335.969270833331</v>
      </c>
      <c r="C86" t="s">
        <v>282</v>
      </c>
      <c r="D86" t="s">
        <v>4</v>
      </c>
      <c r="E86" t="s">
        <v>54</v>
      </c>
      <c r="F86" t="s">
        <v>4</v>
      </c>
      <c r="G86" t="s">
        <v>27</v>
      </c>
      <c r="H86">
        <v>72</v>
      </c>
      <c r="I86">
        <v>1314.6</v>
      </c>
      <c r="J86" t="str">
        <f t="shared" si="2"/>
        <v>CDV_T72_ds1_CDV</v>
      </c>
      <c r="K86">
        <v>1314.6</v>
      </c>
    </row>
    <row r="87" spans="1:11" x14ac:dyDescent="0.25">
      <c r="A87" t="s">
        <v>208</v>
      </c>
      <c r="B87" s="77">
        <v>43335.971689814818</v>
      </c>
      <c r="C87" t="s">
        <v>283</v>
      </c>
      <c r="D87" t="s">
        <v>4</v>
      </c>
      <c r="E87" t="s">
        <v>56</v>
      </c>
      <c r="F87" t="s">
        <v>4</v>
      </c>
      <c r="G87" t="s">
        <v>27</v>
      </c>
      <c r="H87">
        <v>72</v>
      </c>
      <c r="I87">
        <v>1130</v>
      </c>
      <c r="J87" t="str">
        <f t="shared" si="2"/>
        <v>CDV_T72_ds2_CDV</v>
      </c>
      <c r="K87">
        <v>1130</v>
      </c>
    </row>
    <row r="88" spans="1:11" x14ac:dyDescent="0.25">
      <c r="A88" t="s">
        <v>209</v>
      </c>
      <c r="B88" s="77">
        <v>43335.974120370367</v>
      </c>
      <c r="C88" t="s">
        <v>284</v>
      </c>
      <c r="D88" t="s">
        <v>4</v>
      </c>
      <c r="E88" t="s">
        <v>58</v>
      </c>
      <c r="F88" t="s">
        <v>4</v>
      </c>
      <c r="G88" t="s">
        <v>27</v>
      </c>
      <c r="H88">
        <v>72</v>
      </c>
      <c r="I88">
        <v>1175.5</v>
      </c>
      <c r="J88" t="str">
        <f t="shared" si="2"/>
        <v>CDV_T72_ds3_CDV</v>
      </c>
      <c r="K88">
        <v>1175.5</v>
      </c>
    </row>
    <row r="89" spans="1:11" x14ac:dyDescent="0.25">
      <c r="A89" t="s">
        <v>210</v>
      </c>
      <c r="B89" s="77">
        <v>43335.978946759256</v>
      </c>
      <c r="C89" t="s">
        <v>285</v>
      </c>
      <c r="D89" t="s">
        <v>4</v>
      </c>
      <c r="E89" t="s">
        <v>60</v>
      </c>
      <c r="F89" t="s">
        <v>4</v>
      </c>
      <c r="G89" t="s">
        <v>27</v>
      </c>
      <c r="H89">
        <v>72</v>
      </c>
      <c r="I89">
        <v>1285.5</v>
      </c>
      <c r="J89" t="str">
        <f t="shared" si="2"/>
        <v>CDV_T72_med1_CDV</v>
      </c>
      <c r="K89">
        <v>1285.5</v>
      </c>
    </row>
    <row r="90" spans="1:11" x14ac:dyDescent="0.25">
      <c r="A90" t="s">
        <v>211</v>
      </c>
      <c r="B90" s="77">
        <v>43335.981354166666</v>
      </c>
      <c r="C90" t="s">
        <v>286</v>
      </c>
      <c r="D90" t="s">
        <v>4</v>
      </c>
      <c r="E90" t="s">
        <v>62</v>
      </c>
      <c r="F90" t="s">
        <v>4</v>
      </c>
      <c r="G90" t="s">
        <v>27</v>
      </c>
      <c r="H90">
        <v>72</v>
      </c>
      <c r="I90">
        <v>1283.5</v>
      </c>
      <c r="J90" t="str">
        <f t="shared" si="2"/>
        <v>CDV_T72_med2_CDV</v>
      </c>
      <c r="K90">
        <v>1283.5</v>
      </c>
    </row>
    <row r="91" spans="1:11" x14ac:dyDescent="0.25">
      <c r="A91" t="s">
        <v>212</v>
      </c>
      <c r="B91" s="77">
        <v>43335.983784722222</v>
      </c>
      <c r="C91" t="s">
        <v>287</v>
      </c>
      <c r="D91" t="s">
        <v>4</v>
      </c>
      <c r="E91" t="s">
        <v>64</v>
      </c>
      <c r="F91" t="s">
        <v>4</v>
      </c>
      <c r="G91" t="s">
        <v>27</v>
      </c>
      <c r="H91">
        <v>72</v>
      </c>
      <c r="I91">
        <v>1217.0999999999999</v>
      </c>
      <c r="J91" t="str">
        <f t="shared" si="2"/>
        <v>CDV_T72_med3_CDV</v>
      </c>
      <c r="K91">
        <v>1217.0999999999999</v>
      </c>
    </row>
    <row r="92" spans="1:11" x14ac:dyDescent="0.25">
      <c r="A92" t="s">
        <v>122</v>
      </c>
      <c r="B92" s="77">
        <v>43329.697222222225</v>
      </c>
      <c r="C92" t="s">
        <v>288</v>
      </c>
      <c r="D92" t="s">
        <v>4</v>
      </c>
      <c r="E92" t="s">
        <v>66</v>
      </c>
      <c r="F92" t="s">
        <v>4</v>
      </c>
      <c r="G92" t="s">
        <v>28</v>
      </c>
      <c r="H92">
        <v>72</v>
      </c>
      <c r="I92" s="170">
        <v>8.1999999999999993</v>
      </c>
      <c r="J92" s="170" t="str">
        <f t="shared" si="2"/>
        <v>CDV_T72_lys1_CDV</v>
      </c>
      <c r="K92" s="170">
        <v>0</v>
      </c>
    </row>
    <row r="93" spans="1:11" x14ac:dyDescent="0.25">
      <c r="A93" t="s">
        <v>123</v>
      </c>
      <c r="B93" s="77">
        <v>43329.699675925927</v>
      </c>
      <c r="C93" t="s">
        <v>289</v>
      </c>
      <c r="D93" t="s">
        <v>4</v>
      </c>
      <c r="E93" t="s">
        <v>68</v>
      </c>
      <c r="F93" t="s">
        <v>4</v>
      </c>
      <c r="G93" t="s">
        <v>28</v>
      </c>
      <c r="H93">
        <v>72</v>
      </c>
      <c r="I93" s="172">
        <v>10.1</v>
      </c>
      <c r="J93" s="172" t="str">
        <f t="shared" si="2"/>
        <v>CDV_T72_lys2_CDV</v>
      </c>
      <c r="K93" s="172">
        <v>10.1</v>
      </c>
    </row>
    <row r="94" spans="1:11" x14ac:dyDescent="0.25">
      <c r="A94" t="s">
        <v>124</v>
      </c>
      <c r="B94" s="77">
        <v>43329.702118055553</v>
      </c>
      <c r="C94" t="s">
        <v>290</v>
      </c>
      <c r="D94" t="s">
        <v>4</v>
      </c>
      <c r="E94" t="s">
        <v>70</v>
      </c>
      <c r="F94" t="s">
        <v>4</v>
      </c>
      <c r="G94" t="s">
        <v>28</v>
      </c>
      <c r="H94">
        <v>72</v>
      </c>
      <c r="I94" s="170">
        <v>8.1</v>
      </c>
      <c r="J94" s="170" t="str">
        <f t="shared" si="2"/>
        <v>CDV_T72_lys3_CDV</v>
      </c>
      <c r="K94" s="170">
        <v>0</v>
      </c>
    </row>
    <row r="95" spans="1:11" x14ac:dyDescent="0.25">
      <c r="A95" t="s">
        <v>125</v>
      </c>
      <c r="B95" s="77">
        <v>43333.776006944441</v>
      </c>
      <c r="C95" t="s">
        <v>288</v>
      </c>
      <c r="D95" t="s">
        <v>4</v>
      </c>
      <c r="E95" t="s">
        <v>66</v>
      </c>
      <c r="F95" t="s">
        <v>96</v>
      </c>
      <c r="G95" t="s">
        <v>28</v>
      </c>
      <c r="H95">
        <v>72</v>
      </c>
      <c r="I95" s="170">
        <v>1.9</v>
      </c>
      <c r="J95" s="170" t="str">
        <f t="shared" si="2"/>
        <v>CDV_T72_lys1_PP</v>
      </c>
      <c r="K95" s="170">
        <v>0</v>
      </c>
    </row>
    <row r="96" spans="1:11" x14ac:dyDescent="0.25">
      <c r="A96" t="s">
        <v>126</v>
      </c>
      <c r="B96" s="77">
        <v>43333.779594907406</v>
      </c>
      <c r="C96" t="s">
        <v>289</v>
      </c>
      <c r="D96" t="s">
        <v>4</v>
      </c>
      <c r="E96" t="s">
        <v>68</v>
      </c>
      <c r="F96" t="s">
        <v>96</v>
      </c>
      <c r="G96" t="s">
        <v>28</v>
      </c>
      <c r="H96">
        <v>72</v>
      </c>
      <c r="I96" s="170">
        <v>1.9</v>
      </c>
      <c r="J96" s="170" t="str">
        <f t="shared" si="2"/>
        <v>CDV_T72_lys2_PP</v>
      </c>
      <c r="K96" s="170">
        <v>0</v>
      </c>
    </row>
    <row r="97" spans="1:11" x14ac:dyDescent="0.25">
      <c r="A97" t="s">
        <v>127</v>
      </c>
      <c r="B97" s="77">
        <v>43333.783171296294</v>
      </c>
      <c r="C97" t="s">
        <v>290</v>
      </c>
      <c r="D97" t="s">
        <v>4</v>
      </c>
      <c r="E97" t="s">
        <v>70</v>
      </c>
      <c r="F97" t="s">
        <v>96</v>
      </c>
      <c r="G97" t="s">
        <v>28</v>
      </c>
      <c r="H97">
        <v>72</v>
      </c>
      <c r="I97" s="170">
        <v>1.9</v>
      </c>
      <c r="J97" s="170" t="str">
        <f t="shared" si="2"/>
        <v>CDV_T72_lys3_PP</v>
      </c>
      <c r="K97" s="170">
        <v>0</v>
      </c>
    </row>
    <row r="98" spans="1:11" x14ac:dyDescent="0.25">
      <c r="A98" t="s">
        <v>213</v>
      </c>
      <c r="B98" s="77">
        <v>43334.850659722222</v>
      </c>
      <c r="C98" t="s">
        <v>291</v>
      </c>
      <c r="D98" t="s">
        <v>8</v>
      </c>
      <c r="E98" t="s">
        <v>66</v>
      </c>
      <c r="F98" t="s">
        <v>43</v>
      </c>
      <c r="G98" t="s">
        <v>28</v>
      </c>
      <c r="H98">
        <v>72</v>
      </c>
      <c r="I98">
        <v>695.5</v>
      </c>
      <c r="J98" t="str">
        <f t="shared" ref="J98:J129" si="3">D98&amp;"_"&amp;E98&amp;"_"&amp;F98</f>
        <v>USC505_T72_lys1_Prodrug</v>
      </c>
      <c r="K98">
        <v>695.5</v>
      </c>
    </row>
    <row r="99" spans="1:11" x14ac:dyDescent="0.25">
      <c r="A99" t="s">
        <v>214</v>
      </c>
      <c r="B99" s="77">
        <v>43334.853125000001</v>
      </c>
      <c r="C99" t="s">
        <v>292</v>
      </c>
      <c r="D99" t="s">
        <v>8</v>
      </c>
      <c r="E99" t="s">
        <v>68</v>
      </c>
      <c r="F99" t="s">
        <v>43</v>
      </c>
      <c r="G99" t="s">
        <v>28</v>
      </c>
      <c r="H99">
        <v>72</v>
      </c>
      <c r="I99">
        <v>596.79999999999995</v>
      </c>
      <c r="J99" t="str">
        <f t="shared" si="3"/>
        <v>USC505_T72_lys2_Prodrug</v>
      </c>
      <c r="K99">
        <v>596.79999999999995</v>
      </c>
    </row>
    <row r="100" spans="1:11" x14ac:dyDescent="0.25">
      <c r="A100" t="s">
        <v>215</v>
      </c>
      <c r="B100" s="77">
        <v>43334.855567129627</v>
      </c>
      <c r="C100" t="s">
        <v>293</v>
      </c>
      <c r="D100" t="s">
        <v>8</v>
      </c>
      <c r="E100" t="s">
        <v>70</v>
      </c>
      <c r="F100" t="s">
        <v>43</v>
      </c>
      <c r="G100" t="s">
        <v>28</v>
      </c>
      <c r="H100">
        <v>72</v>
      </c>
      <c r="I100">
        <v>535.70000000000005</v>
      </c>
      <c r="J100" t="str">
        <f t="shared" si="3"/>
        <v>USC505_T72_lys3_Prodrug</v>
      </c>
      <c r="K100">
        <v>535.70000000000005</v>
      </c>
    </row>
    <row r="101" spans="1:11" x14ac:dyDescent="0.25">
      <c r="A101" t="s">
        <v>216</v>
      </c>
      <c r="B101" s="77">
        <v>43335.988645833335</v>
      </c>
      <c r="C101" t="s">
        <v>294</v>
      </c>
      <c r="D101" t="s">
        <v>8</v>
      </c>
      <c r="E101" t="s">
        <v>48</v>
      </c>
      <c r="F101" t="s">
        <v>4</v>
      </c>
      <c r="G101" t="s">
        <v>27</v>
      </c>
      <c r="H101">
        <v>0</v>
      </c>
      <c r="I101" s="170" t="s">
        <v>158</v>
      </c>
      <c r="J101" s="170" t="str">
        <f t="shared" si="3"/>
        <v>USC505_T0_ds1_CDV</v>
      </c>
      <c r="K101" s="170">
        <v>0</v>
      </c>
    </row>
    <row r="102" spans="1:11" x14ac:dyDescent="0.25">
      <c r="A102" t="s">
        <v>217</v>
      </c>
      <c r="B102" s="77">
        <v>43335.991087962961</v>
      </c>
      <c r="C102" t="s">
        <v>295</v>
      </c>
      <c r="D102" t="s">
        <v>8</v>
      </c>
      <c r="E102" t="s">
        <v>50</v>
      </c>
      <c r="F102" t="s">
        <v>4</v>
      </c>
      <c r="G102" t="s">
        <v>27</v>
      </c>
      <c r="H102">
        <v>0</v>
      </c>
      <c r="I102" s="170">
        <v>69.900000000000006</v>
      </c>
      <c r="J102" s="170" t="str">
        <f t="shared" si="3"/>
        <v>USC505_T0_ds2_CDV</v>
      </c>
      <c r="K102" s="170">
        <v>0</v>
      </c>
    </row>
    <row r="103" spans="1:11" x14ac:dyDescent="0.25">
      <c r="A103" t="s">
        <v>218</v>
      </c>
      <c r="B103" s="77">
        <v>43335.993495370371</v>
      </c>
      <c r="C103" t="s">
        <v>296</v>
      </c>
      <c r="D103" t="s">
        <v>8</v>
      </c>
      <c r="E103" t="s">
        <v>52</v>
      </c>
      <c r="F103" t="s">
        <v>4</v>
      </c>
      <c r="G103" t="s">
        <v>27</v>
      </c>
      <c r="H103">
        <v>0</v>
      </c>
      <c r="I103" s="170" t="s">
        <v>158</v>
      </c>
      <c r="J103" s="170" t="str">
        <f t="shared" si="3"/>
        <v>USC505_T0_ds3_CDV</v>
      </c>
      <c r="K103" s="170">
        <v>0</v>
      </c>
    </row>
    <row r="104" spans="1:11" x14ac:dyDescent="0.25">
      <c r="A104" t="s">
        <v>219</v>
      </c>
      <c r="B104" s="77">
        <v>43335.998344907406</v>
      </c>
      <c r="C104" t="s">
        <v>297</v>
      </c>
      <c r="D104" t="s">
        <v>8</v>
      </c>
      <c r="E104" t="s">
        <v>54</v>
      </c>
      <c r="F104" t="s">
        <v>4</v>
      </c>
      <c r="G104" t="s">
        <v>27</v>
      </c>
      <c r="H104">
        <v>72</v>
      </c>
      <c r="I104" s="170" t="s">
        <v>158</v>
      </c>
      <c r="J104" s="170" t="str">
        <f t="shared" si="3"/>
        <v>USC505_T72_ds1_CDV</v>
      </c>
      <c r="K104" s="170">
        <v>0</v>
      </c>
    </row>
    <row r="105" spans="1:11" x14ac:dyDescent="0.25">
      <c r="A105" t="s">
        <v>220</v>
      </c>
      <c r="B105" s="77">
        <v>43336.000775462962</v>
      </c>
      <c r="C105" t="s">
        <v>298</v>
      </c>
      <c r="D105" t="s">
        <v>8</v>
      </c>
      <c r="E105" t="s">
        <v>56</v>
      </c>
      <c r="F105" t="s">
        <v>4</v>
      </c>
      <c r="G105" t="s">
        <v>27</v>
      </c>
      <c r="H105">
        <v>72</v>
      </c>
      <c r="I105" s="170">
        <v>91.7</v>
      </c>
      <c r="J105" s="170" t="str">
        <f t="shared" si="3"/>
        <v>USC505_T72_ds2_CDV</v>
      </c>
      <c r="K105" s="170">
        <v>0</v>
      </c>
    </row>
    <row r="106" spans="1:11" x14ac:dyDescent="0.25">
      <c r="A106" t="s">
        <v>221</v>
      </c>
      <c r="B106" s="77">
        <v>43336.003194444442</v>
      </c>
      <c r="C106" t="s">
        <v>299</v>
      </c>
      <c r="D106" t="s">
        <v>8</v>
      </c>
      <c r="E106" t="s">
        <v>58</v>
      </c>
      <c r="F106" t="s">
        <v>4</v>
      </c>
      <c r="G106" t="s">
        <v>27</v>
      </c>
      <c r="H106">
        <v>72</v>
      </c>
      <c r="I106" s="170">
        <v>116.2</v>
      </c>
      <c r="J106" s="170" t="str">
        <f t="shared" si="3"/>
        <v>USC505_T72_ds3_CDV</v>
      </c>
      <c r="K106" s="170">
        <v>0</v>
      </c>
    </row>
    <row r="107" spans="1:11" x14ac:dyDescent="0.25">
      <c r="A107" t="s">
        <v>222</v>
      </c>
      <c r="B107" s="77">
        <v>43336.008020833331</v>
      </c>
      <c r="C107" t="s">
        <v>300</v>
      </c>
      <c r="D107" t="s">
        <v>8</v>
      </c>
      <c r="E107" t="s">
        <v>60</v>
      </c>
      <c r="F107" t="s">
        <v>4</v>
      </c>
      <c r="G107" t="s">
        <v>27</v>
      </c>
      <c r="H107">
        <v>72</v>
      </c>
      <c r="I107" s="170" t="s">
        <v>158</v>
      </c>
      <c r="J107" s="170" t="str">
        <f t="shared" si="3"/>
        <v>USC505_T72_med1_CDV</v>
      </c>
      <c r="K107" s="170">
        <v>0</v>
      </c>
    </row>
    <row r="108" spans="1:11" x14ac:dyDescent="0.25">
      <c r="A108" t="s">
        <v>223</v>
      </c>
      <c r="B108" s="77">
        <v>43336.010428240741</v>
      </c>
      <c r="C108" t="s">
        <v>301</v>
      </c>
      <c r="D108" t="s">
        <v>8</v>
      </c>
      <c r="E108" t="s">
        <v>62</v>
      </c>
      <c r="F108" t="s">
        <v>4</v>
      </c>
      <c r="G108" t="s">
        <v>27</v>
      </c>
      <c r="H108">
        <v>72</v>
      </c>
      <c r="I108" s="170" t="s">
        <v>158</v>
      </c>
      <c r="J108" s="170" t="str">
        <f t="shared" si="3"/>
        <v>USC505_T72_med2_CDV</v>
      </c>
      <c r="K108" s="170">
        <v>0</v>
      </c>
    </row>
    <row r="109" spans="1:11" x14ac:dyDescent="0.25">
      <c r="A109" t="s">
        <v>224</v>
      </c>
      <c r="B109" s="77">
        <v>43336.012881944444</v>
      </c>
      <c r="C109" t="s">
        <v>302</v>
      </c>
      <c r="D109" t="s">
        <v>8</v>
      </c>
      <c r="E109" t="s">
        <v>64</v>
      </c>
      <c r="F109" t="s">
        <v>4</v>
      </c>
      <c r="G109" t="s">
        <v>27</v>
      </c>
      <c r="H109">
        <v>72</v>
      </c>
      <c r="I109">
        <v>162.5</v>
      </c>
      <c r="J109" t="str">
        <f t="shared" si="3"/>
        <v>USC505_T72_med3_CDV</v>
      </c>
      <c r="K109">
        <v>162.5</v>
      </c>
    </row>
    <row r="110" spans="1:11" x14ac:dyDescent="0.25">
      <c r="A110" t="s">
        <v>225</v>
      </c>
      <c r="B110" s="77">
        <v>43335.255578703705</v>
      </c>
      <c r="C110" t="s">
        <v>291</v>
      </c>
      <c r="D110" t="s">
        <v>8</v>
      </c>
      <c r="E110" t="s">
        <v>66</v>
      </c>
      <c r="F110" t="s">
        <v>4</v>
      </c>
      <c r="G110" t="s">
        <v>28</v>
      </c>
      <c r="H110">
        <v>72</v>
      </c>
      <c r="I110">
        <v>456.4</v>
      </c>
      <c r="J110" t="str">
        <f t="shared" si="3"/>
        <v>USC505_T72_lys1_CDV</v>
      </c>
      <c r="K110">
        <v>456.4</v>
      </c>
    </row>
    <row r="111" spans="1:11" x14ac:dyDescent="0.25">
      <c r="A111" t="s">
        <v>226</v>
      </c>
      <c r="B111" s="77">
        <v>43335.258020833331</v>
      </c>
      <c r="C111" t="s">
        <v>292</v>
      </c>
      <c r="D111" t="s">
        <v>8</v>
      </c>
      <c r="E111" t="s">
        <v>68</v>
      </c>
      <c r="F111" t="s">
        <v>4</v>
      </c>
      <c r="G111" t="s">
        <v>28</v>
      </c>
      <c r="H111">
        <v>72</v>
      </c>
      <c r="I111">
        <v>385.1</v>
      </c>
      <c r="J111" t="str">
        <f t="shared" si="3"/>
        <v>USC505_T72_lys2_CDV</v>
      </c>
      <c r="K111">
        <v>385.1</v>
      </c>
    </row>
    <row r="112" spans="1:11" x14ac:dyDescent="0.25">
      <c r="A112" t="s">
        <v>227</v>
      </c>
      <c r="B112" s="77">
        <v>43335.260474537034</v>
      </c>
      <c r="C112" t="s">
        <v>293</v>
      </c>
      <c r="D112" t="s">
        <v>8</v>
      </c>
      <c r="E112" t="s">
        <v>70</v>
      </c>
      <c r="F112" t="s">
        <v>4</v>
      </c>
      <c r="G112" t="s">
        <v>28</v>
      </c>
      <c r="H112">
        <v>72</v>
      </c>
      <c r="I112">
        <v>276.7</v>
      </c>
      <c r="J112" t="str">
        <f t="shared" si="3"/>
        <v>USC505_T72_lys3_CDV</v>
      </c>
      <c r="K112">
        <v>276.7</v>
      </c>
    </row>
    <row r="113" spans="1:11" x14ac:dyDescent="0.25">
      <c r="A113" t="s">
        <v>128</v>
      </c>
      <c r="B113" s="77">
        <v>43333.790324074071</v>
      </c>
      <c r="C113" t="s">
        <v>291</v>
      </c>
      <c r="D113" t="s">
        <v>8</v>
      </c>
      <c r="E113" t="s">
        <v>66</v>
      </c>
      <c r="F113" t="s">
        <v>96</v>
      </c>
      <c r="G113" t="s">
        <v>28</v>
      </c>
      <c r="H113">
        <v>72</v>
      </c>
      <c r="I113">
        <v>449.5</v>
      </c>
      <c r="J113" t="str">
        <f t="shared" si="3"/>
        <v>USC505_T72_lys1_PP</v>
      </c>
      <c r="K113">
        <v>449.5</v>
      </c>
    </row>
    <row r="114" spans="1:11" x14ac:dyDescent="0.25">
      <c r="A114" t="s">
        <v>129</v>
      </c>
      <c r="B114" s="77">
        <v>43333.793888888889</v>
      </c>
      <c r="C114" t="s">
        <v>292</v>
      </c>
      <c r="D114" t="s">
        <v>8</v>
      </c>
      <c r="E114" t="s">
        <v>68</v>
      </c>
      <c r="F114" t="s">
        <v>96</v>
      </c>
      <c r="G114" t="s">
        <v>28</v>
      </c>
      <c r="H114">
        <v>72</v>
      </c>
      <c r="I114">
        <v>436.8</v>
      </c>
      <c r="J114" t="str">
        <f t="shared" si="3"/>
        <v>USC505_T72_lys2_PP</v>
      </c>
      <c r="K114">
        <v>436.8</v>
      </c>
    </row>
    <row r="115" spans="1:11" x14ac:dyDescent="0.25">
      <c r="A115" t="s">
        <v>130</v>
      </c>
      <c r="B115" s="77">
        <v>43333.797465277778</v>
      </c>
      <c r="C115" t="s">
        <v>293</v>
      </c>
      <c r="D115" t="s">
        <v>8</v>
      </c>
      <c r="E115" t="s">
        <v>70</v>
      </c>
      <c r="F115" t="s">
        <v>96</v>
      </c>
      <c r="G115" t="s">
        <v>28</v>
      </c>
      <c r="H115">
        <v>72</v>
      </c>
      <c r="I115">
        <v>420</v>
      </c>
      <c r="J115" t="str">
        <f t="shared" si="3"/>
        <v>USC505_T72_lys3_PP</v>
      </c>
      <c r="K115">
        <v>420</v>
      </c>
    </row>
    <row r="116" spans="1:11" x14ac:dyDescent="0.25">
      <c r="A116" t="s">
        <v>228</v>
      </c>
      <c r="B116" s="77">
        <v>43334.976273148146</v>
      </c>
      <c r="C116" t="s">
        <v>160</v>
      </c>
      <c r="D116" t="s">
        <v>10</v>
      </c>
      <c r="E116" t="s">
        <v>48</v>
      </c>
      <c r="F116" t="s">
        <v>43</v>
      </c>
      <c r="G116" t="s">
        <v>27</v>
      </c>
      <c r="H116">
        <v>0</v>
      </c>
      <c r="I116">
        <v>957</v>
      </c>
      <c r="J116" t="str">
        <f t="shared" si="3"/>
        <v>CMX001_T0_ds1_Prodrug</v>
      </c>
      <c r="K116">
        <v>957</v>
      </c>
    </row>
    <row r="117" spans="1:11" x14ac:dyDescent="0.25">
      <c r="A117" t="s">
        <v>229</v>
      </c>
      <c r="B117" s="77">
        <v>43334.978715277779</v>
      </c>
      <c r="C117" t="s">
        <v>162</v>
      </c>
      <c r="D117" t="s">
        <v>10</v>
      </c>
      <c r="E117" t="s">
        <v>50</v>
      </c>
      <c r="F117" t="s">
        <v>43</v>
      </c>
      <c r="G117" t="s">
        <v>27</v>
      </c>
      <c r="H117">
        <v>0</v>
      </c>
      <c r="I117">
        <v>1012.7</v>
      </c>
      <c r="J117" t="str">
        <f t="shared" si="3"/>
        <v>CMX001_T0_ds2_Prodrug</v>
      </c>
      <c r="K117">
        <v>1012.7</v>
      </c>
    </row>
    <row r="118" spans="1:11" x14ac:dyDescent="0.25">
      <c r="A118" t="s">
        <v>230</v>
      </c>
      <c r="B118" s="77">
        <v>43334.981157407405</v>
      </c>
      <c r="C118" t="s">
        <v>164</v>
      </c>
      <c r="D118" t="s">
        <v>10</v>
      </c>
      <c r="E118" t="s">
        <v>52</v>
      </c>
      <c r="F118" t="s">
        <v>43</v>
      </c>
      <c r="G118" t="s">
        <v>27</v>
      </c>
      <c r="H118">
        <v>0</v>
      </c>
      <c r="I118">
        <v>969.7</v>
      </c>
      <c r="J118" t="str">
        <f t="shared" si="3"/>
        <v>CMX001_T0_ds3_Prodrug</v>
      </c>
      <c r="K118">
        <v>969.7</v>
      </c>
    </row>
    <row r="119" spans="1:11" x14ac:dyDescent="0.25">
      <c r="A119" t="s">
        <v>231</v>
      </c>
      <c r="B119" s="77">
        <v>43334.98847222222</v>
      </c>
      <c r="C119" t="s">
        <v>166</v>
      </c>
      <c r="D119" t="s">
        <v>10</v>
      </c>
      <c r="E119" t="s">
        <v>54</v>
      </c>
      <c r="F119" t="s">
        <v>43</v>
      </c>
      <c r="G119" t="s">
        <v>27</v>
      </c>
      <c r="H119">
        <v>72</v>
      </c>
      <c r="I119">
        <v>887.3</v>
      </c>
      <c r="J119" t="str">
        <f t="shared" si="3"/>
        <v>CMX001_T72_ds1_Prodrug</v>
      </c>
      <c r="K119">
        <v>887.3</v>
      </c>
    </row>
    <row r="120" spans="1:11" x14ac:dyDescent="0.25">
      <c r="A120" t="s">
        <v>232</v>
      </c>
      <c r="B120" s="77">
        <v>43334.990914351853</v>
      </c>
      <c r="C120" t="s">
        <v>168</v>
      </c>
      <c r="D120" t="s">
        <v>10</v>
      </c>
      <c r="E120" t="s">
        <v>56</v>
      </c>
      <c r="F120" t="s">
        <v>43</v>
      </c>
      <c r="G120" t="s">
        <v>27</v>
      </c>
      <c r="H120">
        <v>72</v>
      </c>
      <c r="I120">
        <v>867.9</v>
      </c>
      <c r="J120" t="str">
        <f t="shared" si="3"/>
        <v>CMX001_T72_ds2_Prodrug</v>
      </c>
      <c r="K120">
        <v>867.9</v>
      </c>
    </row>
    <row r="121" spans="1:11" x14ac:dyDescent="0.25">
      <c r="A121" t="s">
        <v>233</v>
      </c>
      <c r="B121" s="77">
        <v>43334.993344907409</v>
      </c>
      <c r="C121" t="s">
        <v>170</v>
      </c>
      <c r="D121" t="s">
        <v>10</v>
      </c>
      <c r="E121" t="s">
        <v>58</v>
      </c>
      <c r="F121" t="s">
        <v>43</v>
      </c>
      <c r="G121" t="s">
        <v>27</v>
      </c>
      <c r="H121">
        <v>72</v>
      </c>
      <c r="I121">
        <v>847.4</v>
      </c>
      <c r="J121" t="str">
        <f t="shared" si="3"/>
        <v>CMX001_T72_ds3_Prodrug</v>
      </c>
      <c r="K121">
        <v>847.4</v>
      </c>
    </row>
    <row r="122" spans="1:11" x14ac:dyDescent="0.25">
      <c r="A122" t="s">
        <v>234</v>
      </c>
      <c r="B122" s="77">
        <v>43335.000752314816</v>
      </c>
      <c r="C122" t="s">
        <v>172</v>
      </c>
      <c r="D122" t="s">
        <v>10</v>
      </c>
      <c r="E122" t="s">
        <v>60</v>
      </c>
      <c r="F122" t="s">
        <v>43</v>
      </c>
      <c r="G122" t="s">
        <v>27</v>
      </c>
      <c r="H122">
        <v>72</v>
      </c>
      <c r="I122">
        <v>521.79999999999995</v>
      </c>
      <c r="J122" t="str">
        <f t="shared" si="3"/>
        <v>CMX001_T72_med1_Prodrug</v>
      </c>
      <c r="K122">
        <v>521.79999999999995</v>
      </c>
    </row>
    <row r="123" spans="1:11" x14ac:dyDescent="0.25">
      <c r="A123" t="s">
        <v>235</v>
      </c>
      <c r="B123" s="77">
        <v>43335.003194444442</v>
      </c>
      <c r="C123" t="s">
        <v>174</v>
      </c>
      <c r="D123" t="s">
        <v>10</v>
      </c>
      <c r="E123" t="s">
        <v>62</v>
      </c>
      <c r="F123" t="s">
        <v>43</v>
      </c>
      <c r="G123" t="s">
        <v>27</v>
      </c>
      <c r="H123">
        <v>72</v>
      </c>
      <c r="I123">
        <v>580.20000000000005</v>
      </c>
      <c r="J123" t="str">
        <f t="shared" si="3"/>
        <v>CMX001_T72_med2_Prodrug</v>
      </c>
      <c r="K123">
        <v>580.20000000000005</v>
      </c>
    </row>
    <row r="124" spans="1:11" x14ac:dyDescent="0.25">
      <c r="A124" t="s">
        <v>236</v>
      </c>
      <c r="B124" s="77">
        <v>43335.005648148152</v>
      </c>
      <c r="C124" t="s">
        <v>176</v>
      </c>
      <c r="D124" t="s">
        <v>10</v>
      </c>
      <c r="E124" t="s">
        <v>64</v>
      </c>
      <c r="F124" t="s">
        <v>43</v>
      </c>
      <c r="G124" t="s">
        <v>27</v>
      </c>
      <c r="H124">
        <v>72</v>
      </c>
      <c r="I124">
        <v>486.1</v>
      </c>
      <c r="J124" t="str">
        <f t="shared" si="3"/>
        <v>CMX001_T72_med3_Prodrug</v>
      </c>
      <c r="K124">
        <v>486.1</v>
      </c>
    </row>
    <row r="125" spans="1:11" x14ac:dyDescent="0.25">
      <c r="A125" t="s">
        <v>237</v>
      </c>
      <c r="B125" s="77">
        <v>43335.127280092594</v>
      </c>
      <c r="C125" t="s">
        <v>303</v>
      </c>
      <c r="D125" t="s">
        <v>10</v>
      </c>
      <c r="E125" t="s">
        <v>66</v>
      </c>
      <c r="F125" t="s">
        <v>43</v>
      </c>
      <c r="G125" t="s">
        <v>28</v>
      </c>
      <c r="H125">
        <v>72</v>
      </c>
      <c r="I125">
        <v>1588.6</v>
      </c>
      <c r="J125" t="str">
        <f t="shared" si="3"/>
        <v>CMX001_T72_lys1_Prodrug</v>
      </c>
      <c r="K125">
        <v>1588.6</v>
      </c>
    </row>
    <row r="126" spans="1:11" x14ac:dyDescent="0.25">
      <c r="A126" t="s">
        <v>238</v>
      </c>
      <c r="B126" s="77">
        <v>43335.12972222222</v>
      </c>
      <c r="C126" t="s">
        <v>304</v>
      </c>
      <c r="D126" t="s">
        <v>10</v>
      </c>
      <c r="E126" t="s">
        <v>68</v>
      </c>
      <c r="F126" t="s">
        <v>43</v>
      </c>
      <c r="G126" t="s">
        <v>28</v>
      </c>
      <c r="H126">
        <v>72</v>
      </c>
      <c r="I126">
        <v>1609.7</v>
      </c>
      <c r="J126" t="str">
        <f t="shared" si="3"/>
        <v>CMX001_T72_lys2_Prodrug</v>
      </c>
      <c r="K126">
        <v>1609.7</v>
      </c>
    </row>
    <row r="127" spans="1:11" x14ac:dyDescent="0.25">
      <c r="A127" t="s">
        <v>239</v>
      </c>
      <c r="B127" s="77">
        <v>43335.132141203707</v>
      </c>
      <c r="C127" t="s">
        <v>305</v>
      </c>
      <c r="D127" t="s">
        <v>10</v>
      </c>
      <c r="E127" t="s">
        <v>70</v>
      </c>
      <c r="F127" t="s">
        <v>43</v>
      </c>
      <c r="G127" t="s">
        <v>28</v>
      </c>
      <c r="H127">
        <v>72</v>
      </c>
      <c r="I127">
        <v>1571.1</v>
      </c>
      <c r="J127" t="str">
        <f t="shared" si="3"/>
        <v>CMX001_T72_lys3_Prodrug</v>
      </c>
      <c r="K127">
        <v>1571.1</v>
      </c>
    </row>
    <row r="128" spans="1:11" x14ac:dyDescent="0.25">
      <c r="A128" t="s">
        <v>159</v>
      </c>
      <c r="B128" s="77">
        <v>43336.01771990741</v>
      </c>
      <c r="C128" t="s">
        <v>160</v>
      </c>
      <c r="D128" t="s">
        <v>10</v>
      </c>
      <c r="E128" t="s">
        <v>48</v>
      </c>
      <c r="F128" t="s">
        <v>4</v>
      </c>
      <c r="G128" t="s">
        <v>27</v>
      </c>
      <c r="H128">
        <v>0</v>
      </c>
      <c r="I128" s="170" t="s">
        <v>158</v>
      </c>
      <c r="J128" s="170" t="str">
        <f t="shared" si="3"/>
        <v>CMX001_T0_ds1_CDV</v>
      </c>
      <c r="K128" s="170">
        <v>0</v>
      </c>
    </row>
    <row r="129" spans="1:11" x14ac:dyDescent="0.25">
      <c r="A129" t="s">
        <v>161</v>
      </c>
      <c r="B129" s="77">
        <v>43336.020127314812</v>
      </c>
      <c r="C129" t="s">
        <v>162</v>
      </c>
      <c r="D129" t="s">
        <v>10</v>
      </c>
      <c r="E129" t="s">
        <v>50</v>
      </c>
      <c r="F129" t="s">
        <v>4</v>
      </c>
      <c r="G129" t="s">
        <v>27</v>
      </c>
      <c r="H129">
        <v>0</v>
      </c>
      <c r="I129" s="170" t="s">
        <v>158</v>
      </c>
      <c r="J129" s="170" t="str">
        <f t="shared" si="3"/>
        <v>CMX001_T0_ds2_CDV</v>
      </c>
      <c r="K129" s="170">
        <v>0</v>
      </c>
    </row>
    <row r="130" spans="1:11" x14ac:dyDescent="0.25">
      <c r="A130" t="s">
        <v>163</v>
      </c>
      <c r="B130" s="77">
        <v>43336.022557870368</v>
      </c>
      <c r="C130" t="s">
        <v>164</v>
      </c>
      <c r="D130" t="s">
        <v>10</v>
      </c>
      <c r="E130" t="s">
        <v>52</v>
      </c>
      <c r="F130" t="s">
        <v>4</v>
      </c>
      <c r="G130" t="s">
        <v>27</v>
      </c>
      <c r="H130">
        <v>0</v>
      </c>
      <c r="I130" s="170" t="s">
        <v>158</v>
      </c>
      <c r="J130" s="170" t="str">
        <f t="shared" ref="J130:J142" si="4">D130&amp;"_"&amp;E130&amp;"_"&amp;F130</f>
        <v>CMX001_T0_ds3_CDV</v>
      </c>
      <c r="K130" s="170">
        <v>0</v>
      </c>
    </row>
    <row r="131" spans="1:11" x14ac:dyDescent="0.25">
      <c r="A131" t="s">
        <v>165</v>
      </c>
      <c r="B131" s="77">
        <v>43336.027418981481</v>
      </c>
      <c r="C131" t="s">
        <v>166</v>
      </c>
      <c r="D131" t="s">
        <v>10</v>
      </c>
      <c r="E131" t="s">
        <v>54</v>
      </c>
      <c r="F131" t="s">
        <v>4</v>
      </c>
      <c r="G131" t="s">
        <v>27</v>
      </c>
      <c r="H131">
        <v>72</v>
      </c>
      <c r="I131" s="170" t="s">
        <v>158</v>
      </c>
      <c r="J131" s="170" t="str">
        <f t="shared" si="4"/>
        <v>CMX001_T72_ds1_CDV</v>
      </c>
      <c r="K131" s="170">
        <v>0</v>
      </c>
    </row>
    <row r="132" spans="1:11" x14ac:dyDescent="0.25">
      <c r="A132" t="s">
        <v>167</v>
      </c>
      <c r="B132" s="77">
        <v>43336.02983796296</v>
      </c>
      <c r="C132" t="s">
        <v>168</v>
      </c>
      <c r="D132" t="s">
        <v>10</v>
      </c>
      <c r="E132" t="s">
        <v>56</v>
      </c>
      <c r="F132" t="s">
        <v>4</v>
      </c>
      <c r="G132" t="s">
        <v>27</v>
      </c>
      <c r="H132">
        <v>72</v>
      </c>
      <c r="I132" s="170" t="s">
        <v>158</v>
      </c>
      <c r="J132" s="170" t="str">
        <f t="shared" si="4"/>
        <v>CMX001_T72_ds2_CDV</v>
      </c>
      <c r="K132" s="170">
        <v>0</v>
      </c>
    </row>
    <row r="133" spans="1:11" x14ac:dyDescent="0.25">
      <c r="A133" t="s">
        <v>169</v>
      </c>
      <c r="B133" s="77">
        <v>43336.032280092593</v>
      </c>
      <c r="C133" t="s">
        <v>170</v>
      </c>
      <c r="D133" t="s">
        <v>10</v>
      </c>
      <c r="E133" t="s">
        <v>58</v>
      </c>
      <c r="F133" t="s">
        <v>4</v>
      </c>
      <c r="G133" t="s">
        <v>27</v>
      </c>
      <c r="H133">
        <v>72</v>
      </c>
      <c r="I133" s="170" t="s">
        <v>158</v>
      </c>
      <c r="J133" s="170" t="str">
        <f t="shared" si="4"/>
        <v>CMX001_T72_ds3_CDV</v>
      </c>
      <c r="K133" s="170">
        <v>0</v>
      </c>
    </row>
    <row r="134" spans="1:11" x14ac:dyDescent="0.25">
      <c r="A134" t="s">
        <v>171</v>
      </c>
      <c r="B134" s="77">
        <v>43336.037152777775</v>
      </c>
      <c r="C134" t="s">
        <v>172</v>
      </c>
      <c r="D134" t="s">
        <v>10</v>
      </c>
      <c r="E134" t="s">
        <v>60</v>
      </c>
      <c r="F134" t="s">
        <v>4</v>
      </c>
      <c r="G134" t="s">
        <v>27</v>
      </c>
      <c r="H134">
        <v>72</v>
      </c>
      <c r="I134" s="170">
        <v>90.8</v>
      </c>
      <c r="J134" s="170" t="str">
        <f t="shared" si="4"/>
        <v>CMX001_T72_med1_CDV</v>
      </c>
      <c r="K134" s="170">
        <v>0</v>
      </c>
    </row>
    <row r="135" spans="1:11" x14ac:dyDescent="0.25">
      <c r="A135" t="s">
        <v>173</v>
      </c>
      <c r="B135" s="77">
        <v>43336.039571759262</v>
      </c>
      <c r="C135" t="s">
        <v>174</v>
      </c>
      <c r="D135" t="s">
        <v>10</v>
      </c>
      <c r="E135" t="s">
        <v>62</v>
      </c>
      <c r="F135" t="s">
        <v>4</v>
      </c>
      <c r="G135" t="s">
        <v>27</v>
      </c>
      <c r="H135">
        <v>72</v>
      </c>
      <c r="I135" s="170" t="s">
        <v>158</v>
      </c>
      <c r="J135" s="170" t="str">
        <f t="shared" si="4"/>
        <v>CMX001_T72_med2_CDV</v>
      </c>
      <c r="K135" s="170">
        <v>0</v>
      </c>
    </row>
    <row r="136" spans="1:11" x14ac:dyDescent="0.25">
      <c r="A136" t="s">
        <v>175</v>
      </c>
      <c r="B136" s="77">
        <v>43336.042013888888</v>
      </c>
      <c r="C136" t="s">
        <v>176</v>
      </c>
      <c r="D136" t="s">
        <v>10</v>
      </c>
      <c r="E136" t="s">
        <v>64</v>
      </c>
      <c r="F136" t="s">
        <v>4</v>
      </c>
      <c r="G136" t="s">
        <v>27</v>
      </c>
      <c r="H136">
        <v>72</v>
      </c>
      <c r="I136" s="170" t="s">
        <v>158</v>
      </c>
      <c r="J136" s="170" t="str">
        <f t="shared" si="4"/>
        <v>CMX001_T72_med3_CDV</v>
      </c>
      <c r="K136" s="170">
        <v>0</v>
      </c>
    </row>
    <row r="137" spans="1:11" x14ac:dyDescent="0.25">
      <c r="A137" t="s">
        <v>240</v>
      </c>
      <c r="B137" s="77">
        <v>43335.265335648146</v>
      </c>
      <c r="C137" t="s">
        <v>303</v>
      </c>
      <c r="D137" t="s">
        <v>10</v>
      </c>
      <c r="E137" t="s">
        <v>66</v>
      </c>
      <c r="F137" t="s">
        <v>4</v>
      </c>
      <c r="G137" t="s">
        <v>28</v>
      </c>
      <c r="H137">
        <v>72</v>
      </c>
      <c r="I137">
        <v>414.7</v>
      </c>
      <c r="J137" t="str">
        <f t="shared" si="4"/>
        <v>CMX001_T72_lys1_CDV</v>
      </c>
      <c r="K137">
        <v>414.7</v>
      </c>
    </row>
    <row r="138" spans="1:11" x14ac:dyDescent="0.25">
      <c r="A138" t="s">
        <v>241</v>
      </c>
      <c r="B138" s="77">
        <v>43335.267789351848</v>
      </c>
      <c r="C138" t="s">
        <v>304</v>
      </c>
      <c r="D138" t="s">
        <v>10</v>
      </c>
      <c r="E138" t="s">
        <v>68</v>
      </c>
      <c r="F138" t="s">
        <v>4</v>
      </c>
      <c r="G138" t="s">
        <v>28</v>
      </c>
      <c r="H138">
        <v>72</v>
      </c>
      <c r="I138">
        <v>244.8</v>
      </c>
      <c r="J138" t="str">
        <f t="shared" si="4"/>
        <v>CMX001_T72_lys2_CDV</v>
      </c>
      <c r="K138">
        <v>244.8</v>
      </c>
    </row>
    <row r="139" spans="1:11" x14ac:dyDescent="0.25">
      <c r="A139" t="s">
        <v>242</v>
      </c>
      <c r="B139" s="77">
        <v>43335.270219907405</v>
      </c>
      <c r="C139" t="s">
        <v>305</v>
      </c>
      <c r="D139" t="s">
        <v>10</v>
      </c>
      <c r="E139" t="s">
        <v>70</v>
      </c>
      <c r="F139" t="s">
        <v>4</v>
      </c>
      <c r="G139" t="s">
        <v>28</v>
      </c>
      <c r="H139">
        <v>72</v>
      </c>
      <c r="I139">
        <v>327.3</v>
      </c>
      <c r="J139" t="str">
        <f t="shared" si="4"/>
        <v>CMX001_T72_lys3_CDV</v>
      </c>
      <c r="K139">
        <v>327.3</v>
      </c>
    </row>
    <row r="140" spans="1:11" x14ac:dyDescent="0.25">
      <c r="A140" t="s">
        <v>131</v>
      </c>
      <c r="B140" s="77">
        <v>43333.804606481484</v>
      </c>
      <c r="C140" t="s">
        <v>303</v>
      </c>
      <c r="D140" t="s">
        <v>10</v>
      </c>
      <c r="E140" t="s">
        <v>66</v>
      </c>
      <c r="F140" t="s">
        <v>96</v>
      </c>
      <c r="G140" t="s">
        <v>28</v>
      </c>
      <c r="H140">
        <v>72</v>
      </c>
      <c r="I140">
        <v>279.8</v>
      </c>
      <c r="J140" t="str">
        <f t="shared" si="4"/>
        <v>CMX001_T72_lys1_PP</v>
      </c>
      <c r="K140">
        <v>279.8</v>
      </c>
    </row>
    <row r="141" spans="1:11" x14ac:dyDescent="0.25">
      <c r="A141" t="s">
        <v>132</v>
      </c>
      <c r="B141" s="77">
        <v>43333.808171296296</v>
      </c>
      <c r="C141" t="s">
        <v>304</v>
      </c>
      <c r="D141" t="s">
        <v>10</v>
      </c>
      <c r="E141" t="s">
        <v>68</v>
      </c>
      <c r="F141" t="s">
        <v>96</v>
      </c>
      <c r="G141" t="s">
        <v>28</v>
      </c>
      <c r="H141">
        <v>72</v>
      </c>
      <c r="I141">
        <v>299</v>
      </c>
      <c r="J141" t="str">
        <f t="shared" si="4"/>
        <v>CMX001_T72_lys2_PP</v>
      </c>
      <c r="K141">
        <v>299</v>
      </c>
    </row>
    <row r="142" spans="1:11" x14ac:dyDescent="0.25">
      <c r="A142" t="s">
        <v>133</v>
      </c>
      <c r="B142" s="77">
        <v>43333.811747685184</v>
      </c>
      <c r="C142" t="s">
        <v>305</v>
      </c>
      <c r="D142" t="s">
        <v>10</v>
      </c>
      <c r="E142" t="s">
        <v>70</v>
      </c>
      <c r="F142" t="s">
        <v>96</v>
      </c>
      <c r="G142" t="s">
        <v>28</v>
      </c>
      <c r="H142">
        <v>72</v>
      </c>
      <c r="I142">
        <v>292.2</v>
      </c>
      <c r="J142" t="str">
        <f t="shared" si="4"/>
        <v>CMX001_T72_lys3_PP</v>
      </c>
      <c r="K142">
        <v>292.2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F23" sqref="F23"/>
    </sheetView>
  </sheetViews>
  <sheetFormatPr defaultRowHeight="15" x14ac:dyDescent="0.25"/>
  <cols>
    <col min="1" max="1" width="18.42578125" bestFit="1" customWidth="1"/>
  </cols>
  <sheetData>
    <row r="1" spans="1:2" x14ac:dyDescent="0.25">
      <c r="A1" t="s">
        <v>95</v>
      </c>
      <c r="B1" t="s">
        <v>11</v>
      </c>
    </row>
    <row r="2" spans="1:2" x14ac:dyDescent="0.25">
      <c r="A2" t="s">
        <v>99</v>
      </c>
      <c r="B2" s="28">
        <v>2000000</v>
      </c>
    </row>
    <row r="3" spans="1:2" x14ac:dyDescent="0.25">
      <c r="A3" t="s">
        <v>97</v>
      </c>
      <c r="B3">
        <v>10</v>
      </c>
    </row>
    <row r="4" spans="1:2" x14ac:dyDescent="0.25">
      <c r="A4" t="s">
        <v>98</v>
      </c>
      <c r="B4">
        <v>0.33300000000000002</v>
      </c>
    </row>
    <row r="5" spans="1:2" x14ac:dyDescent="0.25">
      <c r="A5" t="s">
        <v>100</v>
      </c>
      <c r="B5">
        <v>1000</v>
      </c>
    </row>
    <row r="6" spans="1:2" x14ac:dyDescent="0.25">
      <c r="A6" t="s">
        <v>309</v>
      </c>
      <c r="B6">
        <v>1000</v>
      </c>
    </row>
    <row r="7" spans="1:2" x14ac:dyDescent="0.25">
      <c r="A7" t="s">
        <v>314</v>
      </c>
      <c r="B7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opLeftCell="B3" zoomScale="82" zoomScaleNormal="82" workbookViewId="0">
      <selection activeCell="I21" sqref="I21:I23"/>
    </sheetView>
  </sheetViews>
  <sheetFormatPr defaultRowHeight="15" x14ac:dyDescent="0.25"/>
  <cols>
    <col min="1" max="1" width="11" bestFit="1" customWidth="1"/>
    <col min="3" max="3" width="21" bestFit="1" customWidth="1"/>
    <col min="4" max="5" width="22.7109375" bestFit="1" customWidth="1"/>
    <col min="6" max="6" width="23.42578125" bestFit="1" customWidth="1"/>
    <col min="7" max="7" width="23.7109375" bestFit="1" customWidth="1"/>
    <col min="8" max="8" width="23.42578125" bestFit="1" customWidth="1"/>
    <col min="9" max="9" width="24.5703125" bestFit="1" customWidth="1"/>
    <col min="10" max="10" width="24.42578125" bestFit="1" customWidth="1"/>
    <col min="11" max="11" width="22.85546875" bestFit="1" customWidth="1"/>
    <col min="12" max="12" width="20.140625" bestFit="1" customWidth="1"/>
  </cols>
  <sheetData>
    <row r="1" spans="1:10" x14ac:dyDescent="0.25">
      <c r="A1" t="s">
        <v>336</v>
      </c>
      <c r="B1" t="s">
        <v>337</v>
      </c>
    </row>
    <row r="2" spans="1:10" x14ac:dyDescent="0.25">
      <c r="A2" t="s">
        <v>338</v>
      </c>
      <c r="B2" t="s">
        <v>339</v>
      </c>
    </row>
    <row r="3" spans="1:10" x14ac:dyDescent="0.25">
      <c r="A3" s="15" t="s">
        <v>0</v>
      </c>
      <c r="B3" s="16" t="s">
        <v>2</v>
      </c>
      <c r="C3" s="16" t="s">
        <v>12</v>
      </c>
      <c r="D3" s="16" t="s">
        <v>13</v>
      </c>
      <c r="E3" s="16" t="s">
        <v>16</v>
      </c>
      <c r="F3" s="16" t="s">
        <v>14</v>
      </c>
      <c r="G3" s="16" t="s">
        <v>15</v>
      </c>
      <c r="H3" s="16" t="s">
        <v>17</v>
      </c>
      <c r="I3" s="16" t="s">
        <v>18</v>
      </c>
      <c r="J3" s="17" t="s">
        <v>9</v>
      </c>
    </row>
    <row r="4" spans="1:10" x14ac:dyDescent="0.25">
      <c r="A4" s="7">
        <v>1</v>
      </c>
      <c r="B4" s="2" t="s">
        <v>7</v>
      </c>
      <c r="C4" s="29">
        <f>IFERROR(NPP663_T0_ds1_Prodrug, "NA")</f>
        <v>1068.8</v>
      </c>
      <c r="D4" s="101">
        <f>IFERROR(NPP663_T72_med1_Prodrug, "NA")</f>
        <v>582.5</v>
      </c>
      <c r="E4" s="29">
        <f>IFERROR(NPP663_T72_lys1_Prodrug, "NA")</f>
        <v>268.5</v>
      </c>
      <c r="F4" s="29">
        <f>IFERROR(NPP663_T0_ds1_CDV, "NA")</f>
        <v>0</v>
      </c>
      <c r="G4" s="101">
        <f>IFERROR(NPP663_T72_med1_CDV, "NA")</f>
        <v>0</v>
      </c>
      <c r="H4" s="29">
        <f>IFERROR(NPP663_T72_lys1_CDV, "NA")</f>
        <v>190</v>
      </c>
      <c r="I4" s="29">
        <f>IFERROR(NPP663_T72_lys1_PP, "NA")</f>
        <v>405.7</v>
      </c>
      <c r="J4" s="101">
        <f>IFERROR(NPP663_T72_ds1_Prodrug, "NA")</f>
        <v>1252.0999999999999</v>
      </c>
    </row>
    <row r="5" spans="1:10" x14ac:dyDescent="0.25">
      <c r="A5" s="7">
        <v>2</v>
      </c>
      <c r="B5" s="2" t="s">
        <v>7</v>
      </c>
      <c r="C5" s="29">
        <f>IFERROR(NPP663_T0_ds2_Prodrug, "NA")</f>
        <v>1241.7</v>
      </c>
      <c r="D5" s="101">
        <f>IFERROR(NPP663_T72_med2_Prodrug, "NA")</f>
        <v>611.29999999999995</v>
      </c>
      <c r="E5" s="29">
        <f>IFERROR(NPP663_T72_lys2_Prodrug, "NA")</f>
        <v>284.2</v>
      </c>
      <c r="F5" s="29">
        <f>IFERROR(NPP663_T0_ds2_CDV, "NA")</f>
        <v>0</v>
      </c>
      <c r="G5" s="101">
        <f>IFERROR(NPP663_T72_med2_CDV, "NA")</f>
        <v>0</v>
      </c>
      <c r="H5" s="29">
        <f>IFERROR(NPP663_T72_lys2_CDV, "NA")</f>
        <v>243.8</v>
      </c>
      <c r="I5" s="29">
        <f>IFERROR(NPP663_T72_lys2_PP, "NA")</f>
        <v>429.4</v>
      </c>
      <c r="J5" s="29">
        <f>IFERROR(NPP663_T72_ds2_Prodrug, "NA")</f>
        <v>1100.2</v>
      </c>
    </row>
    <row r="6" spans="1:10" x14ac:dyDescent="0.25">
      <c r="A6" s="7">
        <v>3</v>
      </c>
      <c r="B6" s="2" t="s">
        <v>7</v>
      </c>
      <c r="C6" s="29">
        <f>IFERROR(NPP663_T0_ds3_Prodrug, "NA")</f>
        <v>1148.8</v>
      </c>
      <c r="D6" s="101">
        <f>IFERROR(NPP663_T72_med3_Prodrug, "NA")</f>
        <v>559.5</v>
      </c>
      <c r="E6" s="29">
        <f>IFERROR(NPP663_T72_lys3_Prodrug, "NA")</f>
        <v>342.4</v>
      </c>
      <c r="F6" s="29">
        <f>IFERROR(NPP663_T0_ds3_CDV, "NA")</f>
        <v>0</v>
      </c>
      <c r="G6" s="101">
        <f>IFERROR(NPP663_T72_med3_CDV, "NA")</f>
        <v>0</v>
      </c>
      <c r="H6" s="29">
        <f>IFERROR(NPP663_T72_lys3_CDV, "NA")</f>
        <v>259.39999999999998</v>
      </c>
      <c r="I6" s="29">
        <f>IFERROR(NPP663_T72_lys3_PP, "NA")</f>
        <v>387.6</v>
      </c>
      <c r="J6" s="29">
        <f>IFERROR(NPP663_T72_ds3_Prodrug, "NA")</f>
        <v>1159.9000000000001</v>
      </c>
    </row>
    <row r="8" spans="1:10" x14ac:dyDescent="0.25">
      <c r="A8" t="s">
        <v>336</v>
      </c>
      <c r="B8" t="s">
        <v>337</v>
      </c>
    </row>
    <row r="9" spans="1:10" x14ac:dyDescent="0.25">
      <c r="A9" t="s">
        <v>326</v>
      </c>
      <c r="B9" t="s">
        <v>102</v>
      </c>
    </row>
    <row r="10" spans="1:10" x14ac:dyDescent="0.25">
      <c r="A10" s="15" t="s">
        <v>0</v>
      </c>
      <c r="B10" s="16" t="s">
        <v>2</v>
      </c>
      <c r="C10" s="16" t="s">
        <v>32</v>
      </c>
      <c r="D10" s="16" t="s">
        <v>33</v>
      </c>
      <c r="E10" s="16" t="s">
        <v>36</v>
      </c>
      <c r="F10" s="16" t="s">
        <v>34</v>
      </c>
      <c r="G10" s="16" t="s">
        <v>35</v>
      </c>
      <c r="H10" s="16" t="s">
        <v>37</v>
      </c>
      <c r="I10" s="16" t="s">
        <v>38</v>
      </c>
      <c r="J10" s="16" t="s">
        <v>310</v>
      </c>
    </row>
    <row r="11" spans="1:10" x14ac:dyDescent="0.25">
      <c r="A11" s="7">
        <v>1</v>
      </c>
      <c r="B11" s="2" t="s">
        <v>7</v>
      </c>
      <c r="C11" s="29">
        <f t="shared" ref="C11:D13" si="0">IFERROR(C4/L_to_mL*media_volume__mL, 0)</f>
        <v>10.687999999999999</v>
      </c>
      <c r="D11" s="29">
        <f t="shared" si="0"/>
        <v>5.8250000000000002</v>
      </c>
      <c r="E11" s="29">
        <f>IFERROR(E4/L_to_mL*lysate_volume__mL, 0)</f>
        <v>8.9410500000000004E-2</v>
      </c>
      <c r="F11" s="29">
        <f t="shared" ref="F11:G13" si="1">IFERROR(F4/L_to_mL*media_volume__mL, 0)</f>
        <v>0</v>
      </c>
      <c r="G11" s="29">
        <f t="shared" si="1"/>
        <v>0</v>
      </c>
      <c r="H11" s="29">
        <f t="shared" ref="H11:I13" si="2">IFERROR(H4/L_to_mL*lysate_volume__mL, 0)</f>
        <v>6.3270000000000007E-2</v>
      </c>
      <c r="I11" s="29">
        <f t="shared" si="2"/>
        <v>0.1350981</v>
      </c>
      <c r="J11" s="29">
        <f>IFERROR(J4/L_to_mL*media_volume__mL, 0)</f>
        <v>12.521000000000001</v>
      </c>
    </row>
    <row r="12" spans="1:10" x14ac:dyDescent="0.25">
      <c r="A12" s="7">
        <v>2</v>
      </c>
      <c r="B12" s="2" t="s">
        <v>7</v>
      </c>
      <c r="C12" s="29">
        <f t="shared" si="0"/>
        <v>12.417</v>
      </c>
      <c r="D12" s="29">
        <f t="shared" si="0"/>
        <v>6.1129999999999995</v>
      </c>
      <c r="E12" s="29">
        <f>IFERROR(E5/L_to_mL*lysate_volume__mL, 0)</f>
        <v>9.4638600000000003E-2</v>
      </c>
      <c r="F12" s="29">
        <f t="shared" si="1"/>
        <v>0</v>
      </c>
      <c r="G12" s="29">
        <f t="shared" si="1"/>
        <v>0</v>
      </c>
      <c r="H12" s="29">
        <f t="shared" si="2"/>
        <v>8.1185400000000005E-2</v>
      </c>
      <c r="I12" s="29">
        <f t="shared" si="2"/>
        <v>0.14299020000000001</v>
      </c>
      <c r="J12" s="29">
        <f>IFERROR(J5/L_to_mL*media_volume__mL, 0)</f>
        <v>11.002000000000001</v>
      </c>
    </row>
    <row r="13" spans="1:10" x14ac:dyDescent="0.25">
      <c r="A13" s="7">
        <v>3</v>
      </c>
      <c r="B13" s="2" t="s">
        <v>7</v>
      </c>
      <c r="C13" s="29">
        <f t="shared" si="0"/>
        <v>11.488</v>
      </c>
      <c r="D13" s="29">
        <f t="shared" si="0"/>
        <v>5.5949999999999998</v>
      </c>
      <c r="E13" s="29">
        <f>IFERROR(E6/L_to_mL*lysate_volume__mL, 0)</f>
        <v>0.1140192</v>
      </c>
      <c r="F13" s="29">
        <f t="shared" si="1"/>
        <v>0</v>
      </c>
      <c r="G13" s="29">
        <f t="shared" si="1"/>
        <v>0</v>
      </c>
      <c r="H13" s="29">
        <f t="shared" si="2"/>
        <v>8.638019999999999E-2</v>
      </c>
      <c r="I13" s="29">
        <f t="shared" si="2"/>
        <v>0.12907080000000001</v>
      </c>
      <c r="J13" s="29">
        <f>IFERROR(J6/L_to_mL*media_volume__mL, 0)</f>
        <v>11.599000000000002</v>
      </c>
    </row>
    <row r="18" spans="1:9" x14ac:dyDescent="0.25">
      <c r="A18" t="s">
        <v>336</v>
      </c>
      <c r="B18" t="s">
        <v>337</v>
      </c>
    </row>
    <row r="19" spans="1:9" x14ac:dyDescent="0.25">
      <c r="A19" t="s">
        <v>327</v>
      </c>
      <c r="B19" t="s">
        <v>340</v>
      </c>
    </row>
    <row r="20" spans="1:9" x14ac:dyDescent="0.25">
      <c r="A20" s="54" t="s">
        <v>0</v>
      </c>
      <c r="B20" s="55" t="s">
        <v>2</v>
      </c>
      <c r="C20" s="16" t="s">
        <v>31</v>
      </c>
      <c r="D20" s="16" t="s">
        <v>3</v>
      </c>
      <c r="E20" s="55" t="s">
        <v>40</v>
      </c>
      <c r="F20" s="55" t="s">
        <v>308</v>
      </c>
      <c r="G20" s="56" t="s">
        <v>41</v>
      </c>
    </row>
    <row r="21" spans="1:9" x14ac:dyDescent="0.25">
      <c r="A21" s="57">
        <v>1</v>
      </c>
      <c r="B21" s="34" t="s">
        <v>7</v>
      </c>
      <c r="C21" s="2">
        <v>75</v>
      </c>
      <c r="D21" s="29">
        <f>percells663[[#This Row],[rawcells]]/4*2*10000*5</f>
        <v>1875000</v>
      </c>
      <c r="E21" s="75">
        <f>IFERROR((E11*nano_to_pico)/(AVERAGE(percells663[cell_count_flask])/10^6), "NA")</f>
        <v>43.089397590361443</v>
      </c>
      <c r="F21" s="75">
        <f>IFERROR((H11*nano_to_pico)/(AVERAGE(percells663[cell_count_flask])/10^6), "NA")</f>
        <v>30.491566265060243</v>
      </c>
      <c r="G21" s="75">
        <f>IFERROR((I11*nano_to_pico)/(AVERAGE(percells663[cell_count_flask])/10^6), "NA")</f>
        <v>65.107518072289139</v>
      </c>
      <c r="I21" s="179">
        <f>I11/(AVERAGE(nmol_663[Pro_t0_Media_nmole])-D11)</f>
        <v>2.3676498422712938E-2</v>
      </c>
    </row>
    <row r="22" spans="1:9" x14ac:dyDescent="0.25">
      <c r="A22" s="57">
        <v>2</v>
      </c>
      <c r="B22" s="34" t="s">
        <v>7</v>
      </c>
      <c r="C22" s="2">
        <v>79</v>
      </c>
      <c r="D22" s="29">
        <f>percells663[[#This Row],[rawcells]]/4*2*10000*5</f>
        <v>1975000</v>
      </c>
      <c r="E22" s="75">
        <f>IFERROR((E12*nano_to_pico)/(AVERAGE(percells663[cell_count_flask])/10^6), "NA")</f>
        <v>45.608963855421685</v>
      </c>
      <c r="F22" s="75">
        <f>IFERROR((H12*nano_to_pico)/(AVERAGE(percells663[cell_count_flask])/10^6), "NA")</f>
        <v>39.125493975903609</v>
      </c>
      <c r="G22" s="75">
        <f>IFERROR((I12*nano_to_pico)/(AVERAGE(percells663[cell_count_flask])/10^6), "NA")</f>
        <v>68.91093975903614</v>
      </c>
      <c r="I22" s="179">
        <f>I12/(AVERAGE(nmol_663[Pro_t0_Media_nmole])-D12)</f>
        <v>2.6391694352159475E-2</v>
      </c>
    </row>
    <row r="23" spans="1:9" x14ac:dyDescent="0.25">
      <c r="A23" s="57">
        <v>3</v>
      </c>
      <c r="B23" s="34" t="s">
        <v>7</v>
      </c>
      <c r="C23" s="2">
        <v>95</v>
      </c>
      <c r="D23" s="29">
        <f>percells663[[#This Row],[rawcells]]/4*2*10000*5</f>
        <v>2375000</v>
      </c>
      <c r="E23" s="75">
        <f>IFERROR((E13*nano_to_pico)/(AVERAGE(percells663[cell_count_flask])/10^6), "NA")</f>
        <v>54.949012048192763</v>
      </c>
      <c r="F23" s="75">
        <f>IFERROR((H13*nano_to_pico)/(AVERAGE(percells663[cell_count_flask])/10^6), "NA")</f>
        <v>41.629012048192763</v>
      </c>
      <c r="G23" s="75">
        <f>IFERROR((I13*nano_to_pico)/(AVERAGE(percells663[cell_count_flask])/10^6), "NA")</f>
        <v>62.202795180722894</v>
      </c>
      <c r="I23" s="179">
        <f>I13/(AVERAGE(nmol_663[Pro_t0_Media_nmole])-D13)</f>
        <v>2.1743733153638818E-2</v>
      </c>
    </row>
    <row r="24" spans="1:9" x14ac:dyDescent="0.25">
      <c r="D24" s="28"/>
      <c r="E24" s="28"/>
      <c r="F24" s="28"/>
      <c r="G24" s="28"/>
    </row>
    <row r="25" spans="1:9" x14ac:dyDescent="0.25">
      <c r="C25" s="70" t="s">
        <v>135</v>
      </c>
      <c r="D25" s="75">
        <f>AVERAGE(D21:D23)</f>
        <v>2075000</v>
      </c>
      <c r="E25" s="75">
        <f>AVERAGE(E21:E23)</f>
        <v>47.882457831325297</v>
      </c>
      <c r="F25" s="75">
        <f>AVERAGE(F21:F23)</f>
        <v>37.082024096385538</v>
      </c>
      <c r="G25" s="75">
        <f>AVERAGE(G21:G23)</f>
        <v>65.407084337349389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opLeftCell="A10" workbookViewId="0">
      <selection activeCell="I28" sqref="I28"/>
    </sheetView>
  </sheetViews>
  <sheetFormatPr defaultRowHeight="15" x14ac:dyDescent="0.25"/>
  <cols>
    <col min="1" max="1" width="11" bestFit="1" customWidth="1"/>
    <col min="2" max="2" width="13.28515625" bestFit="1" customWidth="1"/>
    <col min="3" max="3" width="10.5703125" bestFit="1" customWidth="1"/>
    <col min="4" max="4" width="17.7109375" bestFit="1" customWidth="1"/>
    <col min="5" max="5" width="20" bestFit="1" customWidth="1"/>
    <col min="6" max="6" width="10.7109375" bestFit="1" customWidth="1"/>
    <col min="7" max="7" width="21" bestFit="1" customWidth="1"/>
    <col min="8" max="8" width="20.85546875" bestFit="1" customWidth="1"/>
    <col min="9" max="9" width="20.7109375" bestFit="1" customWidth="1"/>
    <col min="10" max="10" width="21.7109375" bestFit="1" customWidth="1"/>
    <col min="11" max="11" width="21.5703125" bestFit="1" customWidth="1"/>
    <col min="12" max="12" width="20.140625" bestFit="1" customWidth="1"/>
    <col min="13" max="13" width="22.7109375" bestFit="1" customWidth="1"/>
    <col min="14" max="14" width="23.85546875" bestFit="1" customWidth="1"/>
    <col min="15" max="15" width="23.42578125" bestFit="1" customWidth="1"/>
    <col min="16" max="16" width="24.5703125" bestFit="1" customWidth="1"/>
    <col min="17" max="17" width="23.7109375" bestFit="1" customWidth="1"/>
    <col min="18" max="18" width="24.42578125" bestFit="1" customWidth="1"/>
    <col min="19" max="19" width="22.85546875" bestFit="1" customWidth="1"/>
    <col min="20" max="20" width="15.28515625" bestFit="1" customWidth="1"/>
    <col min="21" max="21" width="21" bestFit="1" customWidth="1"/>
    <col min="22" max="22" width="22.7109375" bestFit="1" customWidth="1"/>
    <col min="23" max="23" width="20.28515625" bestFit="1" customWidth="1"/>
  </cols>
  <sheetData>
    <row r="1" spans="1:10" x14ac:dyDescent="0.25">
      <c r="A1" t="s">
        <v>336</v>
      </c>
      <c r="B1" t="s">
        <v>337</v>
      </c>
    </row>
    <row r="2" spans="1:10" x14ac:dyDescent="0.25">
      <c r="A2" t="s">
        <v>341</v>
      </c>
      <c r="B2" t="s">
        <v>339</v>
      </c>
    </row>
    <row r="3" spans="1:10" x14ac:dyDescent="0.25">
      <c r="A3" s="42" t="s">
        <v>0</v>
      </c>
      <c r="B3" s="43" t="s">
        <v>2</v>
      </c>
      <c r="C3" s="43" t="s">
        <v>12</v>
      </c>
      <c r="D3" s="43" t="s">
        <v>13</v>
      </c>
      <c r="E3" s="43" t="s">
        <v>16</v>
      </c>
      <c r="F3" s="43" t="s">
        <v>14</v>
      </c>
      <c r="G3" s="43" t="s">
        <v>15</v>
      </c>
      <c r="H3" s="43" t="s">
        <v>17</v>
      </c>
      <c r="I3" s="43" t="s">
        <v>18</v>
      </c>
      <c r="J3" s="44" t="s">
        <v>9</v>
      </c>
    </row>
    <row r="4" spans="1:10" x14ac:dyDescent="0.25">
      <c r="A4" s="45">
        <v>1</v>
      </c>
      <c r="B4" s="46" t="s">
        <v>6</v>
      </c>
      <c r="C4" s="47">
        <f>NPP666_T0_ds1_Prodrug</f>
        <v>1268.4000000000001</v>
      </c>
      <c r="D4" s="102">
        <f>NPP666_T72_med1_Prodrug</f>
        <v>239.4</v>
      </c>
      <c r="E4" s="47">
        <f>NPP666_T72_lys1_Prodrug</f>
        <v>946</v>
      </c>
      <c r="F4" s="47">
        <f>NPP666_T0_ds1_CDV</f>
        <v>0</v>
      </c>
      <c r="G4" s="102">
        <f>NPP666_T72_med1_CDV</f>
        <v>0</v>
      </c>
      <c r="H4" s="47">
        <f>NPP666_T72_lys1_CDV</f>
        <v>1035.8</v>
      </c>
      <c r="I4" s="47">
        <f>NPP666_T72_lys1_PP</f>
        <v>1373.4</v>
      </c>
      <c r="J4" s="102">
        <f>NPP666_T72_ds1_Prodrug</f>
        <v>1321.9</v>
      </c>
    </row>
    <row r="5" spans="1:10" x14ac:dyDescent="0.25">
      <c r="A5" s="45">
        <v>2</v>
      </c>
      <c r="B5" s="46" t="s">
        <v>6</v>
      </c>
      <c r="C5" s="47">
        <f>NPP666_T0_ds2_Prodrug</f>
        <v>1294</v>
      </c>
      <c r="D5" s="102">
        <f>NPP666_T72_med2_Prodrug</f>
        <v>289.10000000000002</v>
      </c>
      <c r="E5" s="47">
        <f>NPP666_T72_lys2_Prodrug</f>
        <v>862</v>
      </c>
      <c r="F5" s="47">
        <f>NPP666_T0_ds2_CDV</f>
        <v>0</v>
      </c>
      <c r="G5" s="102">
        <f>NPP666_T72_med2_CDV</f>
        <v>0</v>
      </c>
      <c r="H5" s="47">
        <f>NPP666_T72_lys2_CDV</f>
        <v>738.6</v>
      </c>
      <c r="I5" s="47">
        <f>NPP666_T72_lys2_PP</f>
        <v>1392.5</v>
      </c>
      <c r="J5" s="47">
        <f>NPP666_T72_ds2_Prodrug</f>
        <v>1302.7</v>
      </c>
    </row>
    <row r="6" spans="1:10" x14ac:dyDescent="0.25">
      <c r="A6" s="45">
        <v>3</v>
      </c>
      <c r="B6" s="46" t="s">
        <v>6</v>
      </c>
      <c r="C6" s="47">
        <f>NPP666_T0_ds3_Prodrug</f>
        <v>1219.7</v>
      </c>
      <c r="D6" s="102">
        <f>NPP666_T72_med3_Prodrug</f>
        <v>270.39999999999998</v>
      </c>
      <c r="E6" s="47">
        <f>NPP666_T72_lys3_Prodrug</f>
        <v>876.1</v>
      </c>
      <c r="F6" s="47">
        <f>NPP666_T0_ds3_CDV</f>
        <v>0</v>
      </c>
      <c r="G6" s="102">
        <f>NPP666_T72_med3_CDV</f>
        <v>0</v>
      </c>
      <c r="H6" s="47">
        <f>NPP666_T72_lys3_CDV</f>
        <v>841.4</v>
      </c>
      <c r="I6" s="47">
        <f>NPP666_T72_lys3_PP</f>
        <v>1350.3</v>
      </c>
      <c r="J6" s="47">
        <f>NPP666_T72_ds3_Prodrug</f>
        <v>1346.3</v>
      </c>
    </row>
    <row r="8" spans="1:10" x14ac:dyDescent="0.25">
      <c r="A8" t="s">
        <v>336</v>
      </c>
      <c r="B8" t="s">
        <v>337</v>
      </c>
    </row>
    <row r="9" spans="1:10" x14ac:dyDescent="0.25">
      <c r="A9" t="s">
        <v>335</v>
      </c>
      <c r="B9" t="s">
        <v>102</v>
      </c>
    </row>
    <row r="10" spans="1:10" x14ac:dyDescent="0.25">
      <c r="A10" s="42" t="s">
        <v>0</v>
      </c>
      <c r="B10" s="43" t="s">
        <v>2</v>
      </c>
      <c r="C10" s="43" t="s">
        <v>32</v>
      </c>
      <c r="D10" s="43" t="s">
        <v>33</v>
      </c>
      <c r="E10" s="43" t="s">
        <v>36</v>
      </c>
      <c r="F10" s="43" t="s">
        <v>34</v>
      </c>
      <c r="G10" s="43" t="s">
        <v>35</v>
      </c>
      <c r="H10" s="43" t="s">
        <v>37</v>
      </c>
      <c r="I10" s="43" t="s">
        <v>38</v>
      </c>
      <c r="J10" s="49" t="s">
        <v>310</v>
      </c>
    </row>
    <row r="11" spans="1:10" x14ac:dyDescent="0.25">
      <c r="A11" s="45">
        <v>1</v>
      </c>
      <c r="B11" s="46" t="s">
        <v>6</v>
      </c>
      <c r="C11" s="47">
        <f t="shared" ref="C11:D13" si="0">C4/L_to_mL*media_volume__mL</f>
        <v>12.684000000000001</v>
      </c>
      <c r="D11" s="47">
        <f t="shared" si="0"/>
        <v>2.3940000000000001</v>
      </c>
      <c r="E11" s="47">
        <f>E4/L_to_mL*lysate_volume__mL</f>
        <v>0.31501800000000002</v>
      </c>
      <c r="F11" s="47">
        <f t="shared" ref="F11:G13" si="1">IFERROR(F4/L_to_mL*media_volume__mL, 0)</f>
        <v>0</v>
      </c>
      <c r="G11" s="47">
        <f t="shared" si="1"/>
        <v>0</v>
      </c>
      <c r="H11" s="47">
        <f t="shared" ref="H11:I13" si="2">H4/L_to_mL*lysate_volume__mL</f>
        <v>0.34492140000000004</v>
      </c>
      <c r="I11" s="47">
        <f t="shared" si="2"/>
        <v>0.45734220000000009</v>
      </c>
      <c r="J11" s="103">
        <f>IFERROR(J4/L_to_mL*media_volume__mL, 0)</f>
        <v>13.219000000000001</v>
      </c>
    </row>
    <row r="12" spans="1:10" x14ac:dyDescent="0.25">
      <c r="A12" s="45">
        <v>2</v>
      </c>
      <c r="B12" s="46" t="s">
        <v>6</v>
      </c>
      <c r="C12" s="47">
        <f t="shared" si="0"/>
        <v>12.940000000000001</v>
      </c>
      <c r="D12" s="47">
        <f t="shared" si="0"/>
        <v>2.891</v>
      </c>
      <c r="E12" s="47">
        <f>E5/L_to_mL*lysate_volume__mL</f>
        <v>0.28704600000000002</v>
      </c>
      <c r="F12" s="47">
        <f t="shared" si="1"/>
        <v>0</v>
      </c>
      <c r="G12" s="47">
        <f t="shared" si="1"/>
        <v>0</v>
      </c>
      <c r="H12" s="47">
        <f t="shared" si="2"/>
        <v>0.24595380000000003</v>
      </c>
      <c r="I12" s="47">
        <f t="shared" si="2"/>
        <v>0.46370250000000007</v>
      </c>
      <c r="J12" s="103">
        <f>IFERROR(J5/L_to_mL*media_volume__mL, 0)</f>
        <v>13.026999999999999</v>
      </c>
    </row>
    <row r="13" spans="1:10" x14ac:dyDescent="0.25">
      <c r="A13" s="45">
        <v>3</v>
      </c>
      <c r="B13" s="46" t="s">
        <v>6</v>
      </c>
      <c r="C13" s="47">
        <f t="shared" si="0"/>
        <v>12.196999999999999</v>
      </c>
      <c r="D13" s="47">
        <f t="shared" si="0"/>
        <v>2.7039999999999997</v>
      </c>
      <c r="E13" s="47">
        <f>E6/L_to_mL*lysate_volume__mL</f>
        <v>0.29174130000000004</v>
      </c>
      <c r="F13" s="47">
        <f t="shared" si="1"/>
        <v>0</v>
      </c>
      <c r="G13" s="47">
        <f t="shared" si="1"/>
        <v>0</v>
      </c>
      <c r="H13" s="47">
        <f t="shared" si="2"/>
        <v>0.2801862</v>
      </c>
      <c r="I13" s="47">
        <f t="shared" si="2"/>
        <v>0.44964990000000005</v>
      </c>
      <c r="J13" s="103">
        <f>IFERROR(J6/L_to_mL*media_volume__mL, 0)</f>
        <v>13.463000000000001</v>
      </c>
    </row>
    <row r="18" spans="1:9" x14ac:dyDescent="0.25">
      <c r="A18" t="s">
        <v>336</v>
      </c>
      <c r="B18" t="s">
        <v>337</v>
      </c>
    </row>
    <row r="19" spans="1:9" x14ac:dyDescent="0.25">
      <c r="A19" t="s">
        <v>334</v>
      </c>
      <c r="B19" t="s">
        <v>103</v>
      </c>
    </row>
    <row r="20" spans="1:9" x14ac:dyDescent="0.25">
      <c r="A20" s="50" t="s">
        <v>0</v>
      </c>
      <c r="B20" s="51" t="s">
        <v>2</v>
      </c>
      <c r="C20" s="43" t="s">
        <v>31</v>
      </c>
      <c r="D20" s="43" t="s">
        <v>3</v>
      </c>
      <c r="E20" s="51" t="s">
        <v>40</v>
      </c>
      <c r="F20" s="51" t="s">
        <v>308</v>
      </c>
      <c r="G20" s="52" t="s">
        <v>41</v>
      </c>
    </row>
    <row r="21" spans="1:9" x14ac:dyDescent="0.25">
      <c r="A21" s="53">
        <v>1</v>
      </c>
      <c r="B21" s="48" t="s">
        <v>6</v>
      </c>
      <c r="C21" s="46">
        <v>86</v>
      </c>
      <c r="D21" s="47">
        <f>percells666[[#This Row],[rawcells]]/4*2*10000*5</f>
        <v>2150000</v>
      </c>
      <c r="E21" s="99">
        <f>IFERROR((E11*nano_to_pico)/(AVERAGE(percells666[cell_count_flask])/10^6), "NA")</f>
        <v>140.00800000000001</v>
      </c>
      <c r="F21" s="99">
        <f>IFERROR((H11*nano_to_pico)/(AVERAGE(percells666[cell_count_flask])/10^6), "NA")</f>
        <v>153.29840000000002</v>
      </c>
      <c r="G21" s="99">
        <f>IFERROR((I11*nano_to_pico)/(AVERAGE(percells666[cell_count_flask])/10^6), "NA")</f>
        <v>203.26320000000004</v>
      </c>
      <c r="I21" s="179">
        <f>I11/(AVERAGE(nmol_666[Pro_t0_Media_nmole])-D11)</f>
        <v>4.4780397532556561E-2</v>
      </c>
    </row>
    <row r="22" spans="1:9" x14ac:dyDescent="0.25">
      <c r="A22" s="53">
        <v>2</v>
      </c>
      <c r="B22" s="48" t="s">
        <v>6</v>
      </c>
      <c r="C22" s="46">
        <v>111</v>
      </c>
      <c r="D22" s="47">
        <f>percells666[[#This Row],[rawcells]]/4*2*10000*5</f>
        <v>2775000</v>
      </c>
      <c r="E22" s="99">
        <f>IFERROR((E12*nano_to_pico)/(AVERAGE(percells666[cell_count_flask])/10^6), "NA")</f>
        <v>127.57600000000002</v>
      </c>
      <c r="F22" s="99">
        <f>IFERROR((H12*nano_to_pico)/(AVERAGE(percells666[cell_count_flask])/10^6), "NA")</f>
        <v>109.31280000000001</v>
      </c>
      <c r="G22" s="99">
        <f>IFERROR((I12*nano_to_pico)/(AVERAGE(percells666[cell_count_flask])/10^6), "NA")</f>
        <v>206.09000000000003</v>
      </c>
      <c r="I22" s="179">
        <f>I12/(AVERAGE(nmol_666[Pro_t0_Media_nmole])-D12)</f>
        <v>4.7725658707286962E-2</v>
      </c>
    </row>
    <row r="23" spans="1:9" x14ac:dyDescent="0.25">
      <c r="A23" s="53">
        <v>3</v>
      </c>
      <c r="B23" s="48" t="s">
        <v>6</v>
      </c>
      <c r="C23" s="46">
        <v>73</v>
      </c>
      <c r="D23" s="47">
        <f>percells666[[#This Row],[rawcells]]/4*2*10000*5</f>
        <v>1825000</v>
      </c>
      <c r="E23" s="99">
        <f>IFERROR((E13*nano_to_pico)/(AVERAGE(percells666[cell_count_flask])/10^6), "NA")</f>
        <v>129.6628</v>
      </c>
      <c r="F23" s="99">
        <f>IFERROR((H13*nano_to_pico)/(AVERAGE(percells666[cell_count_flask])/10^6), "NA")</f>
        <v>124.52719999999999</v>
      </c>
      <c r="G23" s="99">
        <f>IFERROR((I13*nano_to_pico)/(AVERAGE(percells666[cell_count_flask])/10^6), "NA")</f>
        <v>199.84440000000004</v>
      </c>
      <c r="I23" s="179">
        <f>I13/(AVERAGE(nmol_666[Pro_t0_Media_nmole])-D13)</f>
        <v>4.5405422599212368E-2</v>
      </c>
    </row>
    <row r="24" spans="1:9" x14ac:dyDescent="0.25">
      <c r="D24" s="28"/>
      <c r="E24" s="28"/>
      <c r="F24" s="28"/>
      <c r="G24" s="28"/>
    </row>
    <row r="25" spans="1:9" x14ac:dyDescent="0.25">
      <c r="C25" s="90" t="s">
        <v>135</v>
      </c>
      <c r="D25" s="91">
        <f>AVERAGE(D21:D23)</f>
        <v>2250000</v>
      </c>
      <c r="E25" s="91">
        <f>AVERAGE(E21:E23)</f>
        <v>132.41560000000001</v>
      </c>
      <c r="F25" s="91">
        <f>AVERAGE(F21:F23)</f>
        <v>129.04613333333336</v>
      </c>
      <c r="G25" s="91">
        <f>AVERAGE(G21:G23)</f>
        <v>203.06586666666669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E10" workbookViewId="0">
      <selection activeCell="I21" sqref="I21:I23"/>
    </sheetView>
  </sheetViews>
  <sheetFormatPr defaultRowHeight="15" x14ac:dyDescent="0.25"/>
  <cols>
    <col min="1" max="1" width="11" bestFit="1" customWidth="1"/>
    <col min="2" max="2" width="13.140625" customWidth="1"/>
    <col min="3" max="3" width="20.5703125" customWidth="1"/>
    <col min="4" max="4" width="22.28515625" customWidth="1"/>
    <col min="5" max="5" width="20" bestFit="1" customWidth="1"/>
    <col min="6" max="6" width="21" bestFit="1" customWidth="1"/>
    <col min="7" max="7" width="20.7109375" bestFit="1" customWidth="1"/>
    <col min="8" max="8" width="21.7109375" bestFit="1" customWidth="1"/>
    <col min="9" max="9" width="20.85546875" bestFit="1" customWidth="1"/>
    <col min="10" max="10" width="21.5703125" bestFit="1" customWidth="1"/>
    <col min="11" max="11" width="22.85546875" bestFit="1" customWidth="1"/>
    <col min="12" max="12" width="20.140625" bestFit="1" customWidth="1"/>
    <col min="13" max="13" width="22.7109375" bestFit="1" customWidth="1"/>
    <col min="14" max="14" width="23.85546875" bestFit="1" customWidth="1"/>
    <col min="15" max="15" width="23.42578125" bestFit="1" customWidth="1"/>
    <col min="16" max="16" width="24.5703125" bestFit="1" customWidth="1"/>
    <col min="17" max="17" width="23.7109375" bestFit="1" customWidth="1"/>
    <col min="18" max="18" width="24.42578125" bestFit="1" customWidth="1"/>
    <col min="19" max="19" width="22.85546875" bestFit="1" customWidth="1"/>
    <col min="20" max="20" width="16.5703125" bestFit="1" customWidth="1"/>
    <col min="21" max="21" width="21" bestFit="1" customWidth="1"/>
    <col min="22" max="22" width="22.7109375" bestFit="1" customWidth="1"/>
    <col min="23" max="23" width="20.28515625" bestFit="1" customWidth="1"/>
  </cols>
  <sheetData>
    <row r="1" spans="1:10" x14ac:dyDescent="0.25">
      <c r="A1" t="s">
        <v>336</v>
      </c>
      <c r="B1" t="s">
        <v>337</v>
      </c>
    </row>
    <row r="2" spans="1:10" x14ac:dyDescent="0.25">
      <c r="A2" t="s">
        <v>343</v>
      </c>
      <c r="B2" t="s">
        <v>339</v>
      </c>
    </row>
    <row r="3" spans="1:10" x14ac:dyDescent="0.25">
      <c r="A3" s="27" t="s">
        <v>0</v>
      </c>
      <c r="B3" s="13" t="s">
        <v>2</v>
      </c>
      <c r="C3" s="13" t="s">
        <v>12</v>
      </c>
      <c r="D3" s="13" t="s">
        <v>13</v>
      </c>
      <c r="E3" s="13" t="s">
        <v>16</v>
      </c>
      <c r="F3" s="13" t="s">
        <v>14</v>
      </c>
      <c r="G3" s="13" t="s">
        <v>15</v>
      </c>
      <c r="H3" s="13" t="s">
        <v>17</v>
      </c>
      <c r="I3" s="13" t="s">
        <v>18</v>
      </c>
      <c r="J3" s="14" t="s">
        <v>9</v>
      </c>
    </row>
    <row r="4" spans="1:10" x14ac:dyDescent="0.25">
      <c r="A4" s="6">
        <v>1</v>
      </c>
      <c r="B4" s="1" t="s">
        <v>5</v>
      </c>
      <c r="C4" s="11">
        <f>NPP669_T0_ds1_Prodrug</f>
        <v>963.4</v>
      </c>
      <c r="D4" s="104">
        <f>NPP669_T72_med1_Prodrug</f>
        <v>268.10000000000002</v>
      </c>
      <c r="E4" s="11">
        <f>NPP669_T72_lys1_Prodrug</f>
        <v>1280.5</v>
      </c>
      <c r="F4" s="11">
        <f>NPP669_T0_ds1_CDV</f>
        <v>0</v>
      </c>
      <c r="G4" s="104">
        <f>NPP669_T72_med1_CDV</f>
        <v>0</v>
      </c>
      <c r="H4" s="11">
        <f>NPP669_T72_lys1_CDV</f>
        <v>1370.8</v>
      </c>
      <c r="I4" s="11">
        <f>NPP669_T72_lys1_PP</f>
        <v>1292.9000000000001</v>
      </c>
      <c r="J4" s="104">
        <f>NPP669_T72_ds1_Prodrug</f>
        <v>1084.3</v>
      </c>
    </row>
    <row r="5" spans="1:10" x14ac:dyDescent="0.25">
      <c r="A5" s="6">
        <v>2</v>
      </c>
      <c r="B5" s="1" t="s">
        <v>5</v>
      </c>
      <c r="C5" s="11">
        <f>NPP669_T0_ds2_Prodrug</f>
        <v>980.2</v>
      </c>
      <c r="D5" s="104">
        <f>NPP669_T72_med2_Prodrug</f>
        <v>277.3</v>
      </c>
      <c r="E5" s="11">
        <f>NPP669_T72_lys2_Prodrug</f>
        <v>1368</v>
      </c>
      <c r="F5" s="11">
        <f>NPP669_T0_ds2_CDV</f>
        <v>0</v>
      </c>
      <c r="G5" s="104">
        <f>NPP669_T72_med2_CDV</f>
        <v>0</v>
      </c>
      <c r="H5" s="11">
        <f>NPP669_T72_lys2_CDV</f>
        <v>1509.7</v>
      </c>
      <c r="I5" s="11">
        <f>NPP669_T72_lys2_PP</f>
        <v>1346.7</v>
      </c>
      <c r="J5" s="11">
        <f>NPP669_T72_ds2_Prodrug</f>
        <v>1036.3</v>
      </c>
    </row>
    <row r="6" spans="1:10" x14ac:dyDescent="0.25">
      <c r="A6" s="6">
        <v>3</v>
      </c>
      <c r="B6" s="1" t="s">
        <v>5</v>
      </c>
      <c r="C6" s="11">
        <f>NPP669_T0_ds3_Prodrug</f>
        <v>1025.8</v>
      </c>
      <c r="D6" s="104">
        <f>NPP669_T72_med3_Prodrug</f>
        <v>360.9</v>
      </c>
      <c r="E6" s="11">
        <f>NPP669_T72_lys3_Prodrug</f>
        <v>1784.5</v>
      </c>
      <c r="F6" s="11">
        <f>NPP669_T0_ds3_CDV</f>
        <v>0</v>
      </c>
      <c r="G6" s="104">
        <f>NPP669_T72_med3_CDV</f>
        <v>0</v>
      </c>
      <c r="H6" s="11">
        <f>NPP669_T72_lys3_CDV</f>
        <v>1706.7</v>
      </c>
      <c r="I6" s="11">
        <f>NPP669_T72_lys3_PP</f>
        <v>1422.7</v>
      </c>
      <c r="J6" s="11">
        <f>NPP669_T72_ds3_Prodrug</f>
        <v>1061.3</v>
      </c>
    </row>
    <row r="8" spans="1:10" x14ac:dyDescent="0.25">
      <c r="A8" t="s">
        <v>336</v>
      </c>
      <c r="B8" t="s">
        <v>337</v>
      </c>
    </row>
    <row r="9" spans="1:10" x14ac:dyDescent="0.25">
      <c r="A9" t="s">
        <v>333</v>
      </c>
      <c r="B9" t="s">
        <v>102</v>
      </c>
    </row>
    <row r="10" spans="1:10" x14ac:dyDescent="0.25">
      <c r="A10" s="27" t="s">
        <v>0</v>
      </c>
      <c r="B10" s="13" t="s">
        <v>2</v>
      </c>
      <c r="C10" s="13" t="s">
        <v>32</v>
      </c>
      <c r="D10" s="13" t="s">
        <v>33</v>
      </c>
      <c r="E10" s="13" t="s">
        <v>36</v>
      </c>
      <c r="F10" s="13" t="s">
        <v>34</v>
      </c>
      <c r="G10" s="13" t="s">
        <v>35</v>
      </c>
      <c r="H10" s="13" t="s">
        <v>37</v>
      </c>
      <c r="I10" s="13" t="s">
        <v>38</v>
      </c>
      <c r="J10" s="33" t="s">
        <v>310</v>
      </c>
    </row>
    <row r="11" spans="1:10" x14ac:dyDescent="0.25">
      <c r="A11" s="6">
        <v>1</v>
      </c>
      <c r="B11" s="1" t="s">
        <v>5</v>
      </c>
      <c r="C11" s="11">
        <f t="shared" ref="C11:D13" si="0">C4/L_to_mL*media_volume__mL</f>
        <v>9.6339999999999986</v>
      </c>
      <c r="D11" s="11">
        <f t="shared" si="0"/>
        <v>2.681</v>
      </c>
      <c r="E11" s="11">
        <f>E4/L_to_mL*lysate_volume__mL</f>
        <v>0.42640650000000002</v>
      </c>
      <c r="F11" s="11">
        <f t="shared" ref="F11:G13" si="1">IFERROR(F4/L_to_mL*media_volume__mL, 0)</f>
        <v>0</v>
      </c>
      <c r="G11" s="11">
        <f t="shared" si="1"/>
        <v>0</v>
      </c>
      <c r="H11" s="11">
        <f t="shared" ref="H11:I13" si="2">H4/L_to_mL*lysate_volume__mL</f>
        <v>0.4564764</v>
      </c>
      <c r="I11" s="11">
        <f t="shared" si="2"/>
        <v>0.43053570000000008</v>
      </c>
      <c r="J11" s="106">
        <f>IFERROR(J4/L_to_mL*media_volume__mL, 0)</f>
        <v>10.843</v>
      </c>
    </row>
    <row r="12" spans="1:10" x14ac:dyDescent="0.25">
      <c r="A12" s="6">
        <v>2</v>
      </c>
      <c r="B12" s="1" t="s">
        <v>5</v>
      </c>
      <c r="C12" s="11">
        <f t="shared" si="0"/>
        <v>9.8020000000000014</v>
      </c>
      <c r="D12" s="11">
        <f t="shared" si="0"/>
        <v>2.7729999999999997</v>
      </c>
      <c r="E12" s="11">
        <f>E5/L_to_mL*lysate_volume__mL</f>
        <v>0.45554400000000006</v>
      </c>
      <c r="F12" s="11">
        <f t="shared" si="1"/>
        <v>0</v>
      </c>
      <c r="G12" s="11">
        <f t="shared" si="1"/>
        <v>0</v>
      </c>
      <c r="H12" s="11">
        <f t="shared" si="2"/>
        <v>0.50273010000000007</v>
      </c>
      <c r="I12" s="11">
        <f t="shared" si="2"/>
        <v>0.44845110000000005</v>
      </c>
      <c r="J12" s="106">
        <f>IFERROR(J5/L_to_mL*media_volume__mL, 0)</f>
        <v>10.363</v>
      </c>
    </row>
    <row r="13" spans="1:10" x14ac:dyDescent="0.25">
      <c r="A13" s="6">
        <v>3</v>
      </c>
      <c r="B13" s="1" t="s">
        <v>5</v>
      </c>
      <c r="C13" s="11">
        <f t="shared" si="0"/>
        <v>10.258000000000001</v>
      </c>
      <c r="D13" s="11">
        <f t="shared" si="0"/>
        <v>3.609</v>
      </c>
      <c r="E13" s="11">
        <f>E6/L_to_mL*lysate_volume__mL</f>
        <v>0.5942385</v>
      </c>
      <c r="F13" s="11">
        <f t="shared" si="1"/>
        <v>0</v>
      </c>
      <c r="G13" s="11">
        <f t="shared" si="1"/>
        <v>0</v>
      </c>
      <c r="H13" s="11">
        <f t="shared" si="2"/>
        <v>0.56833110000000009</v>
      </c>
      <c r="I13" s="11">
        <f t="shared" si="2"/>
        <v>0.47375910000000004</v>
      </c>
      <c r="J13" s="106">
        <f>IFERROR(J6/L_to_mL*media_volume__mL, 0)</f>
        <v>10.613</v>
      </c>
    </row>
    <row r="18" spans="1:9" x14ac:dyDescent="0.25">
      <c r="A18" t="s">
        <v>336</v>
      </c>
      <c r="B18" t="s">
        <v>337</v>
      </c>
    </row>
    <row r="19" spans="1:9" x14ac:dyDescent="0.25">
      <c r="A19" t="s">
        <v>332</v>
      </c>
      <c r="B19" t="s">
        <v>103</v>
      </c>
    </row>
    <row r="20" spans="1:9" x14ac:dyDescent="0.25">
      <c r="A20" s="39" t="s">
        <v>0</v>
      </c>
      <c r="B20" s="40" t="s">
        <v>2</v>
      </c>
      <c r="C20" s="13" t="s">
        <v>31</v>
      </c>
      <c r="D20" s="13" t="s">
        <v>3</v>
      </c>
      <c r="E20" s="40" t="s">
        <v>40</v>
      </c>
      <c r="F20" s="40" t="s">
        <v>308</v>
      </c>
      <c r="G20" s="41" t="s">
        <v>41</v>
      </c>
    </row>
    <row r="21" spans="1:9" x14ac:dyDescent="0.25">
      <c r="A21" s="38">
        <v>1</v>
      </c>
      <c r="B21" s="12" t="s">
        <v>5</v>
      </c>
      <c r="C21" s="1">
        <v>50</v>
      </c>
      <c r="D21" s="11">
        <f>percells669[[#This Row],[rawcells]]/4*2*10000*5</f>
        <v>1250000</v>
      </c>
      <c r="E21" s="100">
        <f>IFERROR((E11*nano_to_pico)/(AVERAGE(percells669[cell_count_flask])/10^6), "NA")</f>
        <v>272.17436170212767</v>
      </c>
      <c r="F21" s="100">
        <f>IFERROR((H11*nano_to_pico)/(AVERAGE(percells669[cell_count_flask])/10^6), "NA")</f>
        <v>291.36791489361701</v>
      </c>
      <c r="G21" s="105">
        <f>IFERROR((I11*nano_to_pico)/(AVERAGE(percells669[cell_count_flask])/10^6), "NA")</f>
        <v>274.81002127659582</v>
      </c>
      <c r="I21" s="179">
        <f>I11/(AVERAGE(nmol_669[Pro_t0_Media_nmole])-D11)</f>
        <v>5.9655771096023276E-2</v>
      </c>
    </row>
    <row r="22" spans="1:9" x14ac:dyDescent="0.25">
      <c r="A22" s="38">
        <v>2</v>
      </c>
      <c r="B22" s="12" t="s">
        <v>5</v>
      </c>
      <c r="C22" s="1">
        <v>69</v>
      </c>
      <c r="D22" s="11">
        <f>percells669[[#This Row],[rawcells]]/4*2*10000*5</f>
        <v>1725000</v>
      </c>
      <c r="E22" s="100">
        <f>IFERROR((E12*nano_to_pico)/(AVERAGE(percells669[cell_count_flask])/10^6), "NA")</f>
        <v>290.77276595744684</v>
      </c>
      <c r="F22" s="100">
        <f>IFERROR((H12*nano_to_pico)/(AVERAGE(percells669[cell_count_flask])/10^6), "NA")</f>
        <v>320.89155319148938</v>
      </c>
      <c r="G22" s="105">
        <f>IFERROR((I12*nano_to_pico)/(AVERAGE(percells669[cell_count_flask])/10^6), "NA")</f>
        <v>286.24538297872346</v>
      </c>
      <c r="I22" s="179">
        <f>I12/(AVERAGE(nmol_669[Pro_t0_Media_nmole])-D12)</f>
        <v>6.2940505263157892E-2</v>
      </c>
    </row>
    <row r="23" spans="1:9" x14ac:dyDescent="0.25">
      <c r="A23" s="38">
        <v>3</v>
      </c>
      <c r="B23" s="12" t="s">
        <v>5</v>
      </c>
      <c r="C23" s="1">
        <v>69</v>
      </c>
      <c r="D23" s="11">
        <f>percells669[[#This Row],[rawcells]]/4*2*10000*5</f>
        <v>1725000</v>
      </c>
      <c r="E23" s="100">
        <f>IFERROR((E13*nano_to_pico)/(AVERAGE(percells669[cell_count_flask])/10^6), "NA")</f>
        <v>379.30117021276601</v>
      </c>
      <c r="F23" s="100">
        <f>IFERROR((H13*nano_to_pico)/(AVERAGE(percells669[cell_count_flask])/10^6), "NA")</f>
        <v>362.76453191489367</v>
      </c>
      <c r="G23" s="105">
        <f>IFERROR((I13*nano_to_pico)/(AVERAGE(percells669[cell_count_flask])/10^6), "NA")</f>
        <v>302.39942553191491</v>
      </c>
      <c r="I23" s="179">
        <f>I13/(AVERAGE(nmol_669[Pro_t0_Media_nmole])-D13)</f>
        <v>7.5331388138018748E-2</v>
      </c>
    </row>
    <row r="24" spans="1:9" x14ac:dyDescent="0.25">
      <c r="D24" s="28"/>
      <c r="E24" s="28"/>
      <c r="F24" s="28"/>
      <c r="G24" s="28"/>
    </row>
    <row r="25" spans="1:9" x14ac:dyDescent="0.25">
      <c r="D25" s="28"/>
      <c r="E25" s="28"/>
      <c r="F25" s="28"/>
      <c r="G25" s="28"/>
    </row>
    <row r="26" spans="1:9" x14ac:dyDescent="0.25">
      <c r="C26" s="86" t="s">
        <v>135</v>
      </c>
      <c r="D26" s="87">
        <f>AVERAGE(D21:D23)</f>
        <v>1566666.6666666667</v>
      </c>
      <c r="E26" s="87">
        <f>AVERAGE(E21:E23)</f>
        <v>314.08276595744684</v>
      </c>
      <c r="F26" s="87">
        <f>AVERAGE(F21:F23)</f>
        <v>325.00800000000004</v>
      </c>
      <c r="G26" s="87">
        <f>AVERAGE(G21:G23)</f>
        <v>287.81827659574469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opLeftCell="A8" workbookViewId="0">
      <selection activeCell="F4" sqref="F4"/>
    </sheetView>
  </sheetViews>
  <sheetFormatPr defaultRowHeight="15" x14ac:dyDescent="0.25"/>
  <cols>
    <col min="1" max="1" width="11.7109375" bestFit="1" customWidth="1"/>
    <col min="3" max="3" width="9.140625" customWidth="1"/>
    <col min="6" max="6" width="23.42578125" bestFit="1" customWidth="1"/>
    <col min="7" max="7" width="24.5703125" bestFit="1" customWidth="1"/>
    <col min="8" max="8" width="24.42578125" bestFit="1" customWidth="1"/>
    <col min="9" max="9" width="22.85546875" bestFit="1" customWidth="1"/>
    <col min="10" max="10" width="24.42578125" bestFit="1" customWidth="1"/>
    <col min="11" max="11" width="22.85546875" bestFit="1" customWidth="1"/>
  </cols>
  <sheetData>
    <row r="1" spans="1:10" x14ac:dyDescent="0.25">
      <c r="A1" t="s">
        <v>336</v>
      </c>
      <c r="B1" t="s">
        <v>337</v>
      </c>
    </row>
    <row r="2" spans="1:10" x14ac:dyDescent="0.25">
      <c r="A2" t="s">
        <v>4</v>
      </c>
      <c r="B2" t="s">
        <v>339</v>
      </c>
    </row>
    <row r="3" spans="1:10" x14ac:dyDescent="0.25">
      <c r="A3" s="18" t="s">
        <v>0</v>
      </c>
      <c r="B3" s="19" t="s">
        <v>2</v>
      </c>
      <c r="C3" s="19" t="s">
        <v>12</v>
      </c>
      <c r="D3" s="19" t="s">
        <v>13</v>
      </c>
      <c r="E3" s="19" t="s">
        <v>16</v>
      </c>
      <c r="F3" s="19" t="s">
        <v>14</v>
      </c>
      <c r="G3" s="19" t="s">
        <v>15</v>
      </c>
      <c r="H3" s="19" t="s">
        <v>17</v>
      </c>
      <c r="I3" s="19" t="s">
        <v>18</v>
      </c>
      <c r="J3" s="20" t="s">
        <v>9</v>
      </c>
    </row>
    <row r="4" spans="1:10" x14ac:dyDescent="0.25">
      <c r="A4" s="8">
        <v>1</v>
      </c>
      <c r="B4" s="3" t="s">
        <v>4</v>
      </c>
      <c r="C4" s="30" t="str">
        <f>IFERROR(CDV_T0_ds1_Prodrug, "NA")</f>
        <v>NA</v>
      </c>
      <c r="D4" s="107" t="str">
        <f>IFERROR(CDV_T72_med1_Prodrug, "NA")</f>
        <v>NA</v>
      </c>
      <c r="E4" s="30" t="str">
        <f>IFERROR(CDV_T72_lys1_Prodrug, "NA")</f>
        <v>NA</v>
      </c>
      <c r="F4" s="30">
        <f>IFERROR(CDV_T0_ds1_CDV, "NA")</f>
        <v>1315.2</v>
      </c>
      <c r="G4" s="107">
        <f>IFERROR(CDV_T72_med1_CDV, "NA")</f>
        <v>1285.5</v>
      </c>
      <c r="H4" s="30">
        <f>IFERROR(CDV_T72_lys1_CDV, "NA")</f>
        <v>0</v>
      </c>
      <c r="I4" s="30">
        <f>IFERROR(CDV_T72_lys1_PP, "NA")</f>
        <v>0</v>
      </c>
      <c r="J4" s="107">
        <f>IFERROR(CDV_T72_ds1_CDV, "NA")</f>
        <v>1314.6</v>
      </c>
    </row>
    <row r="5" spans="1:10" x14ac:dyDescent="0.25">
      <c r="A5" s="8">
        <v>2</v>
      </c>
      <c r="B5" s="3" t="s">
        <v>4</v>
      </c>
      <c r="C5" s="30" t="str">
        <f>IFERROR(CDV_T0_ds2_Prodrug, "NA")</f>
        <v>NA</v>
      </c>
      <c r="D5" s="107" t="str">
        <f>IFERROR(CDV_T72_med2_Prodrug, "NA")</f>
        <v>NA</v>
      </c>
      <c r="E5" s="30" t="str">
        <f>IFERROR(CDV_T72_lys2_Prodrug, "NA")</f>
        <v>NA</v>
      </c>
      <c r="F5" s="30">
        <f>IFERROR(CDV_T0_ds2_CDV, "NA")</f>
        <v>1146.0999999999999</v>
      </c>
      <c r="G5" s="107">
        <f>IFERROR(CDV_T72_med2_CDV, "NA")</f>
        <v>1283.5</v>
      </c>
      <c r="H5" s="30">
        <f>IFERROR(CDV_T72_lys2_CDV, "NA")</f>
        <v>10.1</v>
      </c>
      <c r="I5" s="30">
        <f>IFERROR(CDV_T72_lys2_PP, "NA")</f>
        <v>0</v>
      </c>
      <c r="J5" s="107">
        <f>IFERROR(CDV_T72_ds2_CDV, "NA")</f>
        <v>1130</v>
      </c>
    </row>
    <row r="6" spans="1:10" x14ac:dyDescent="0.25">
      <c r="A6" s="8">
        <v>3</v>
      </c>
      <c r="B6" s="3" t="s">
        <v>4</v>
      </c>
      <c r="C6" s="30" t="str">
        <f>IFERROR(CDV_T0_ds3_Prodrug, "NA")</f>
        <v>NA</v>
      </c>
      <c r="D6" s="107" t="str">
        <f>IFERROR(CDV_T72_med3_Prodrug, "NA")</f>
        <v>NA</v>
      </c>
      <c r="E6" s="30" t="str">
        <f>IFERROR(CDV_T72_lys3_Prodrug, "NA")</f>
        <v>NA</v>
      </c>
      <c r="F6" s="30">
        <f>IFERROR(CDV_T0_ds3_CDV, "NA")</f>
        <v>1066.7</v>
      </c>
      <c r="G6" s="107">
        <f>IFERROR(CDV_T72_med3_CDV, "NA")</f>
        <v>1217.0999999999999</v>
      </c>
      <c r="H6" s="30">
        <f>IFERROR(CDV_T72_lys3_CDV, "NA")</f>
        <v>0</v>
      </c>
      <c r="I6" s="30">
        <f>IFERROR(CDV_T72_lys3_PP, "NA")</f>
        <v>0</v>
      </c>
      <c r="J6" s="107">
        <f>IFERROR(CDV_T72_ds3_CDV, "NA")</f>
        <v>1175.5</v>
      </c>
    </row>
    <row r="7" spans="1:10" x14ac:dyDescent="0.25">
      <c r="C7" s="28"/>
      <c r="D7" s="28"/>
      <c r="E7" s="28"/>
      <c r="F7" s="28"/>
      <c r="G7" s="28"/>
      <c r="H7" s="28"/>
      <c r="I7" s="28"/>
      <c r="J7" s="28"/>
    </row>
    <row r="8" spans="1:10" x14ac:dyDescent="0.25">
      <c r="A8" t="s">
        <v>336</v>
      </c>
      <c r="B8" t="s">
        <v>337</v>
      </c>
      <c r="C8" s="28"/>
      <c r="D8" s="28"/>
      <c r="E8" s="28"/>
      <c r="F8" s="28"/>
      <c r="G8" s="28"/>
      <c r="H8" s="28"/>
      <c r="I8" s="28"/>
      <c r="J8" s="28"/>
    </row>
    <row r="9" spans="1:10" x14ac:dyDescent="0.25">
      <c r="A9" t="s">
        <v>331</v>
      </c>
      <c r="B9" t="s">
        <v>102</v>
      </c>
      <c r="C9" s="28"/>
      <c r="D9" s="28"/>
      <c r="E9" s="28"/>
      <c r="F9" s="28"/>
      <c r="G9" s="28"/>
      <c r="H9" s="28"/>
      <c r="I9" s="28"/>
      <c r="J9" s="28"/>
    </row>
    <row r="10" spans="1:10" x14ac:dyDescent="0.25">
      <c r="A10" s="18" t="s">
        <v>0</v>
      </c>
      <c r="B10" s="19" t="s">
        <v>2</v>
      </c>
      <c r="C10" s="108" t="s">
        <v>32</v>
      </c>
      <c r="D10" s="108" t="s">
        <v>33</v>
      </c>
      <c r="E10" s="108" t="s">
        <v>36</v>
      </c>
      <c r="F10" s="108" t="s">
        <v>34</v>
      </c>
      <c r="G10" s="108" t="s">
        <v>35</v>
      </c>
      <c r="H10" s="108" t="s">
        <v>37</v>
      </c>
      <c r="I10" s="108" t="s">
        <v>38</v>
      </c>
      <c r="J10" s="109" t="s">
        <v>310</v>
      </c>
    </row>
    <row r="11" spans="1:10" x14ac:dyDescent="0.25">
      <c r="A11" s="8">
        <v>1</v>
      </c>
      <c r="B11" s="3" t="s">
        <v>4</v>
      </c>
      <c r="C11" s="30" t="str">
        <f t="shared" ref="C11:E13" si="0">IFERROR(C4/L_to_mL*lysate_volume__mL, "NA")</f>
        <v>NA</v>
      </c>
      <c r="D11" s="30" t="str">
        <f t="shared" si="0"/>
        <v>NA</v>
      </c>
      <c r="E11" s="30" t="str">
        <f t="shared" si="0"/>
        <v>NA</v>
      </c>
      <c r="F11" s="30">
        <f t="shared" ref="F11:G13" si="1">IFERROR(F4/L_to_mL*media_volume__mL, "NA")</f>
        <v>13.152000000000001</v>
      </c>
      <c r="G11" s="30">
        <f t="shared" si="1"/>
        <v>12.855</v>
      </c>
      <c r="H11" s="30">
        <f t="shared" ref="H11:I13" si="2">IFERROR(H4/L_to_mL*lysate_volume__mL, 0)</f>
        <v>0</v>
      </c>
      <c r="I11" s="30">
        <f t="shared" si="2"/>
        <v>0</v>
      </c>
      <c r="J11" s="110">
        <f>IFERROR(J4/L_to_mL*media_volume__mL, "NA")</f>
        <v>13.146000000000001</v>
      </c>
    </row>
    <row r="12" spans="1:10" x14ac:dyDescent="0.25">
      <c r="A12" s="8">
        <v>2</v>
      </c>
      <c r="B12" s="3" t="s">
        <v>4</v>
      </c>
      <c r="C12" s="30" t="str">
        <f t="shared" si="0"/>
        <v>NA</v>
      </c>
      <c r="D12" s="30" t="str">
        <f t="shared" si="0"/>
        <v>NA</v>
      </c>
      <c r="E12" s="30" t="str">
        <f t="shared" si="0"/>
        <v>NA</v>
      </c>
      <c r="F12" s="30">
        <f t="shared" si="1"/>
        <v>11.460999999999999</v>
      </c>
      <c r="G12" s="30">
        <f t="shared" si="1"/>
        <v>12.835000000000001</v>
      </c>
      <c r="H12" s="30">
        <f t="shared" si="2"/>
        <v>3.3633000000000001E-3</v>
      </c>
      <c r="I12" s="30">
        <f t="shared" si="2"/>
        <v>0</v>
      </c>
      <c r="J12" s="110">
        <f>IFERROR(J5/L_to_mL*media_volume__mL, "NA")</f>
        <v>11.299999999999999</v>
      </c>
    </row>
    <row r="13" spans="1:10" x14ac:dyDescent="0.25">
      <c r="A13" s="8">
        <v>3</v>
      </c>
      <c r="B13" s="3" t="s">
        <v>4</v>
      </c>
      <c r="C13" s="30" t="str">
        <f t="shared" si="0"/>
        <v>NA</v>
      </c>
      <c r="D13" s="30" t="str">
        <f t="shared" si="0"/>
        <v>NA</v>
      </c>
      <c r="E13" s="30" t="str">
        <f t="shared" si="0"/>
        <v>NA</v>
      </c>
      <c r="F13" s="30">
        <f t="shared" si="1"/>
        <v>10.667</v>
      </c>
      <c r="G13" s="30">
        <f t="shared" si="1"/>
        <v>12.170999999999999</v>
      </c>
      <c r="H13" s="30">
        <f t="shared" si="2"/>
        <v>0</v>
      </c>
      <c r="I13" s="30">
        <f t="shared" si="2"/>
        <v>0</v>
      </c>
      <c r="J13" s="110">
        <f>IFERROR(J6/L_to_mL*media_volume__mL, "NA")</f>
        <v>11.754999999999999</v>
      </c>
    </row>
    <row r="18" spans="1:7" x14ac:dyDescent="0.25">
      <c r="A18" t="s">
        <v>336</v>
      </c>
      <c r="B18" t="s">
        <v>337</v>
      </c>
    </row>
    <row r="19" spans="1:7" x14ac:dyDescent="0.25">
      <c r="A19" t="s">
        <v>330</v>
      </c>
      <c r="B19" t="s">
        <v>103</v>
      </c>
    </row>
    <row r="20" spans="1:7" x14ac:dyDescent="0.25">
      <c r="A20" s="58" t="s">
        <v>0</v>
      </c>
      <c r="B20" s="59" t="s">
        <v>2</v>
      </c>
      <c r="C20" s="19" t="s">
        <v>31</v>
      </c>
      <c r="D20" s="19" t="s">
        <v>3</v>
      </c>
      <c r="E20" s="59" t="s">
        <v>40</v>
      </c>
      <c r="F20" s="59" t="s">
        <v>308</v>
      </c>
      <c r="G20" s="60" t="s">
        <v>41</v>
      </c>
    </row>
    <row r="21" spans="1:7" x14ac:dyDescent="0.25">
      <c r="A21" s="61">
        <v>1</v>
      </c>
      <c r="B21" s="35" t="s">
        <v>4</v>
      </c>
      <c r="C21" s="3">
        <v>81</v>
      </c>
      <c r="D21" s="30">
        <f>percellsCDV[[#This Row],[rawcells]]/4*2*10000*5</f>
        <v>2025000</v>
      </c>
      <c r="E21" s="74">
        <f>IFERROR((E11*nano_to_pico)/(AVERAGE(percellsCDV[cell_count_flask])/10^6), 0)</f>
        <v>0</v>
      </c>
      <c r="F21" s="74">
        <f>IFERROR((H11*nano_to_pico)/(AVERAGE(percellsCDV[cell_count_flask])/10^6), 0)</f>
        <v>0</v>
      </c>
      <c r="G21" s="74">
        <f>IFERROR((I11*nano_to_pico)/(AVERAGE(percellsCDV[cell_count_flask])/10^6), 0)</f>
        <v>0</v>
      </c>
    </row>
    <row r="22" spans="1:7" x14ac:dyDescent="0.25">
      <c r="A22" s="61">
        <v>2</v>
      </c>
      <c r="B22" s="35" t="s">
        <v>4</v>
      </c>
      <c r="C22" s="3">
        <v>120</v>
      </c>
      <c r="D22" s="30">
        <f>percellsCDV[[#This Row],[rawcells]]/4*2*10000*5</f>
        <v>3000000</v>
      </c>
      <c r="E22" s="74">
        <f>IFERROR((E12*nano_to_pico)/(AVERAGE(percellsCDV[cell_count_flask])/10^6), 0)</f>
        <v>0</v>
      </c>
      <c r="F22" s="74">
        <f>IFERROR((H12*nano_to_pico)/(AVERAGE(percellsCDV[cell_count_flask])/10^6), 0)</f>
        <v>1.3019225806451613</v>
      </c>
      <c r="G22" s="74">
        <f>IFERROR((I12*nano_to_pico)/(AVERAGE(percellsCDV[cell_count_flask])/10^6), 0)</f>
        <v>0</v>
      </c>
    </row>
    <row r="23" spans="1:7" x14ac:dyDescent="0.25">
      <c r="A23" s="61">
        <v>3</v>
      </c>
      <c r="B23" s="35" t="s">
        <v>4</v>
      </c>
      <c r="C23" s="3">
        <v>109</v>
      </c>
      <c r="D23" s="30">
        <f>percellsCDV[[#This Row],[rawcells]]/4*2*10000*5</f>
        <v>2725000</v>
      </c>
      <c r="E23" s="74">
        <f>IFERROR((E13*nano_to_pico)/(AVERAGE(percellsCDV[cell_count_flask])/10^6), 0)</f>
        <v>0</v>
      </c>
      <c r="F23" s="74">
        <f>IFERROR((H13*nano_to_pico)/(AVERAGE(percellsCDV[cell_count_flask])/10^6), 0)</f>
        <v>0</v>
      </c>
      <c r="G23" s="74">
        <f>IFERROR((I13*nano_to_pico)/(AVERAGE(percellsCDV[cell_count_flask])/10^6), 0)</f>
        <v>0</v>
      </c>
    </row>
    <row r="24" spans="1:7" x14ac:dyDescent="0.25">
      <c r="D24" s="28"/>
      <c r="E24" s="28"/>
      <c r="F24" s="28"/>
      <c r="G24" s="28"/>
    </row>
    <row r="25" spans="1:7" x14ac:dyDescent="0.25">
      <c r="B25" t="s">
        <v>135</v>
      </c>
      <c r="C25" s="71"/>
      <c r="D25" s="74">
        <f>IFERROR(AVERAGE(D21:D23), "NA")</f>
        <v>2583333.3333333335</v>
      </c>
      <c r="E25" s="74">
        <f>IFERROR(AVERAGE(E21:E23), "NA")</f>
        <v>0</v>
      </c>
      <c r="F25" s="79">
        <f>IFERROR(AVERAGE(F21:F23), "NA")</f>
        <v>0.43397419354838712</v>
      </c>
      <c r="G25" s="79">
        <f>IFERROR(AVERAGE(G21:G23), 0)</f>
        <v>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G6" sqref="G6"/>
    </sheetView>
  </sheetViews>
  <sheetFormatPr defaultRowHeight="15" x14ac:dyDescent="0.25"/>
  <cols>
    <col min="1" max="1" width="11" bestFit="1" customWidth="1"/>
    <col min="6" max="6" width="23.42578125" bestFit="1" customWidth="1"/>
    <col min="7" max="7" width="24.5703125" bestFit="1" customWidth="1"/>
    <col min="9" max="9" width="22.85546875" bestFit="1" customWidth="1"/>
    <col min="10" max="10" width="20.140625" bestFit="1" customWidth="1"/>
  </cols>
  <sheetData>
    <row r="1" spans="1:10" x14ac:dyDescent="0.25">
      <c r="B1" t="s">
        <v>336</v>
      </c>
      <c r="C1" t="s">
        <v>337</v>
      </c>
    </row>
    <row r="2" spans="1:10" x14ac:dyDescent="0.25">
      <c r="B2" t="s">
        <v>342</v>
      </c>
      <c r="C2" t="s">
        <v>339</v>
      </c>
    </row>
    <row r="3" spans="1:10" x14ac:dyDescent="0.25">
      <c r="A3" s="21" t="s">
        <v>0</v>
      </c>
      <c r="B3" s="22" t="s">
        <v>2</v>
      </c>
      <c r="C3" s="22" t="s">
        <v>12</v>
      </c>
      <c r="D3" s="22" t="s">
        <v>13</v>
      </c>
      <c r="E3" s="22" t="s">
        <v>16</v>
      </c>
      <c r="F3" s="22" t="s">
        <v>14</v>
      </c>
      <c r="G3" s="22" t="s">
        <v>15</v>
      </c>
      <c r="H3" s="22" t="s">
        <v>17</v>
      </c>
      <c r="I3" s="22" t="s">
        <v>18</v>
      </c>
      <c r="J3" s="23" t="s">
        <v>9</v>
      </c>
    </row>
    <row r="4" spans="1:10" x14ac:dyDescent="0.25">
      <c r="A4" s="9">
        <v>1</v>
      </c>
      <c r="B4" s="4" t="s">
        <v>8</v>
      </c>
      <c r="C4" s="31" t="e">
        <f>USC505_T0_ds1_Prodrug</f>
        <v>#NAME?</v>
      </c>
      <c r="D4" s="111" t="e">
        <f>USC505_T72_med1_Prodrug</f>
        <v>#REF!</v>
      </c>
      <c r="E4" s="31">
        <f>USC505_T72_lys1_Prodrug</f>
        <v>695.5</v>
      </c>
      <c r="F4" s="31">
        <f>USC505_T0_ds1_CDV</f>
        <v>0</v>
      </c>
      <c r="G4" s="111">
        <f>USC505_T72_med1_CDV</f>
        <v>0</v>
      </c>
      <c r="H4" s="31">
        <f>USC505_T72_lys1_CDV</f>
        <v>456.4</v>
      </c>
      <c r="I4" s="31">
        <f>USC505_T72_lys1_PP</f>
        <v>449.5</v>
      </c>
      <c r="J4" s="111" t="e">
        <f>USC505_T72_ds1_Prodrug</f>
        <v>#NAME?</v>
      </c>
    </row>
    <row r="5" spans="1:10" x14ac:dyDescent="0.25">
      <c r="A5" s="9">
        <v>2</v>
      </c>
      <c r="B5" s="4" t="s">
        <v>8</v>
      </c>
      <c r="C5" s="31" t="e">
        <f>USC505_T0_ds2_Prodrug</f>
        <v>#NAME?</v>
      </c>
      <c r="D5" s="111" t="e">
        <f>USC505_T72_med2_Prodrug</f>
        <v>#REF!</v>
      </c>
      <c r="E5" s="31">
        <f>USC505_T72_lys2_Prodrug</f>
        <v>596.79999999999995</v>
      </c>
      <c r="F5" s="31">
        <f>USC505_T0_ds2_CDV</f>
        <v>0</v>
      </c>
      <c r="G5" s="111">
        <f>USC505_T72_med2_CDV</f>
        <v>0</v>
      </c>
      <c r="H5" s="31">
        <f>USC505_T72_lys2_CDV</f>
        <v>385.1</v>
      </c>
      <c r="I5" s="31">
        <f>USC505_T72_lys2_PP</f>
        <v>436.8</v>
      </c>
      <c r="J5" s="31" t="e">
        <f>USC505_T72_ds2_Prodrug</f>
        <v>#NAME?</v>
      </c>
    </row>
    <row r="6" spans="1:10" x14ac:dyDescent="0.25">
      <c r="A6" s="9">
        <v>3</v>
      </c>
      <c r="B6" s="4" t="s">
        <v>8</v>
      </c>
      <c r="C6" s="31" t="e">
        <f>USC505_T0_ds3_Prodrug</f>
        <v>#NAME?</v>
      </c>
      <c r="D6" s="111" t="e">
        <f>USC505_T72_med3_Prodrug</f>
        <v>#REF!</v>
      </c>
      <c r="E6" s="31">
        <f>USC505_T72_lys3_Prodrug</f>
        <v>535.70000000000005</v>
      </c>
      <c r="F6" s="31">
        <f>USC505_T0_ds3_CDV</f>
        <v>0</v>
      </c>
      <c r="G6" s="111">
        <f>USC505_T72_med3_CDV</f>
        <v>162.5</v>
      </c>
      <c r="H6" s="31">
        <f>USC505_T72_lys3_CDV</f>
        <v>276.7</v>
      </c>
      <c r="I6" s="31">
        <f>USC505_T72_lys3_PP</f>
        <v>420</v>
      </c>
      <c r="J6" s="31" t="e">
        <f>USC505_T72_ds3_Prodrug</f>
        <v>#NAME?</v>
      </c>
    </row>
    <row r="7" spans="1:10" x14ac:dyDescent="0.25">
      <c r="C7" s="28"/>
      <c r="D7" s="28"/>
      <c r="E7" s="28"/>
      <c r="F7" s="28"/>
      <c r="G7" s="28"/>
      <c r="H7" s="28"/>
      <c r="I7" s="28"/>
      <c r="J7" s="28"/>
    </row>
    <row r="8" spans="1:10" x14ac:dyDescent="0.25">
      <c r="A8" t="s">
        <v>336</v>
      </c>
      <c r="B8" t="s">
        <v>337</v>
      </c>
      <c r="C8" s="28"/>
      <c r="D8" s="28"/>
      <c r="E8" s="28"/>
      <c r="F8" s="28"/>
      <c r="G8" s="28"/>
      <c r="H8" s="28"/>
      <c r="I8" s="28"/>
      <c r="J8" s="28"/>
    </row>
    <row r="9" spans="1:10" x14ac:dyDescent="0.25">
      <c r="A9" t="s">
        <v>328</v>
      </c>
      <c r="B9" t="s">
        <v>102</v>
      </c>
      <c r="C9" s="28"/>
      <c r="D9" s="28"/>
      <c r="E9" s="28"/>
      <c r="F9" s="28"/>
      <c r="G9" s="28"/>
      <c r="H9" s="28"/>
      <c r="I9" s="28"/>
      <c r="J9" s="28"/>
    </row>
    <row r="10" spans="1:10" x14ac:dyDescent="0.25">
      <c r="A10" s="21" t="s">
        <v>0</v>
      </c>
      <c r="B10" s="22" t="s">
        <v>2</v>
      </c>
      <c r="C10" s="112" t="s">
        <v>32</v>
      </c>
      <c r="D10" s="112" t="s">
        <v>33</v>
      </c>
      <c r="E10" s="112" t="s">
        <v>36</v>
      </c>
      <c r="F10" s="112" t="s">
        <v>34</v>
      </c>
      <c r="G10" s="112" t="s">
        <v>35</v>
      </c>
      <c r="H10" s="112" t="s">
        <v>37</v>
      </c>
      <c r="I10" s="112" t="s">
        <v>38</v>
      </c>
      <c r="J10" s="113" t="s">
        <v>310</v>
      </c>
    </row>
    <row r="11" spans="1:10" x14ac:dyDescent="0.25">
      <c r="A11" s="9">
        <v>1</v>
      </c>
      <c r="B11" s="4" t="s">
        <v>8</v>
      </c>
      <c r="C11" s="31" t="e">
        <f t="shared" ref="C11:D13" si="0">C4/L_to_mL*media_volume__mL</f>
        <v>#NAME?</v>
      </c>
      <c r="D11" s="31" t="e">
        <f t="shared" si="0"/>
        <v>#REF!</v>
      </c>
      <c r="E11" s="31">
        <f>E4/L_to_mL*lysate_volume__mL</f>
        <v>0.23160150000000002</v>
      </c>
      <c r="F11" s="31">
        <f t="shared" ref="F11:G13" si="1">IFERROR(F4/L_to_mL*media_volume__mL, 0)</f>
        <v>0</v>
      </c>
      <c r="G11" s="31">
        <f t="shared" si="1"/>
        <v>0</v>
      </c>
      <c r="H11" s="31">
        <f>H4/L_to_mL*lysate_volume__mL</f>
        <v>0.15198120000000001</v>
      </c>
      <c r="I11" s="31">
        <f>I4/L_to_mL*lysate_volume__mL</f>
        <v>0.14968350000000002</v>
      </c>
      <c r="J11" s="114">
        <f>IFERROR(J4/L_to_mL*media_volume__mL, 0)</f>
        <v>0</v>
      </c>
    </row>
    <row r="12" spans="1:10" x14ac:dyDescent="0.25">
      <c r="A12" s="9">
        <v>2</v>
      </c>
      <c r="B12" s="4" t="s">
        <v>8</v>
      </c>
      <c r="C12" s="31" t="e">
        <f t="shared" si="0"/>
        <v>#NAME?</v>
      </c>
      <c r="D12" s="31" t="e">
        <f t="shared" si="0"/>
        <v>#REF!</v>
      </c>
      <c r="E12" s="31">
        <f>E5/L_to_mL*lysate_volume__mL</f>
        <v>0.19873440000000001</v>
      </c>
      <c r="F12" s="31">
        <f t="shared" si="1"/>
        <v>0</v>
      </c>
      <c r="G12" s="31">
        <f t="shared" si="1"/>
        <v>0</v>
      </c>
      <c r="H12" s="31">
        <f t="shared" ref="H12:I13" si="2">H5/L_to_mL*lysate_volume__mL</f>
        <v>0.1282383</v>
      </c>
      <c r="I12" s="31">
        <f t="shared" si="2"/>
        <v>0.14545440000000001</v>
      </c>
      <c r="J12" s="114">
        <f>IFERROR(J5/L_to_mL*media_volume__mL, 0)</f>
        <v>0</v>
      </c>
    </row>
    <row r="13" spans="1:10" x14ac:dyDescent="0.25">
      <c r="A13" s="9">
        <v>3</v>
      </c>
      <c r="B13" s="4" t="s">
        <v>8</v>
      </c>
      <c r="C13" s="31" t="e">
        <f t="shared" si="0"/>
        <v>#NAME?</v>
      </c>
      <c r="D13" s="31" t="e">
        <f t="shared" si="0"/>
        <v>#REF!</v>
      </c>
      <c r="E13" s="31">
        <f>E6/L_to_mL*lysate_volume__mL</f>
        <v>0.17838810000000002</v>
      </c>
      <c r="F13" s="31">
        <f t="shared" si="1"/>
        <v>0</v>
      </c>
      <c r="G13" s="31">
        <f t="shared" si="1"/>
        <v>1.625</v>
      </c>
      <c r="H13" s="31">
        <f t="shared" si="2"/>
        <v>9.2141100000000004E-2</v>
      </c>
      <c r="I13" s="31">
        <f t="shared" si="2"/>
        <v>0.13986000000000001</v>
      </c>
      <c r="J13" s="114">
        <f>IFERROR(J6/L_to_mL*media_volume__mL, 0)</f>
        <v>0</v>
      </c>
    </row>
    <row r="18" spans="1:7" x14ac:dyDescent="0.25">
      <c r="A18" t="s">
        <v>336</v>
      </c>
      <c r="B18" t="s">
        <v>337</v>
      </c>
    </row>
    <row r="19" spans="1:7" x14ac:dyDescent="0.25">
      <c r="A19" t="s">
        <v>329</v>
      </c>
      <c r="B19" t="s">
        <v>103</v>
      </c>
    </row>
    <row r="20" spans="1:7" x14ac:dyDescent="0.25">
      <c r="A20" s="67" t="s">
        <v>0</v>
      </c>
      <c r="B20" s="68" t="s">
        <v>2</v>
      </c>
      <c r="C20" s="22" t="s">
        <v>31</v>
      </c>
      <c r="D20" s="22" t="s">
        <v>3</v>
      </c>
      <c r="E20" s="68" t="s">
        <v>40</v>
      </c>
      <c r="F20" s="68" t="s">
        <v>308</v>
      </c>
      <c r="G20" s="69" t="s">
        <v>41</v>
      </c>
    </row>
    <row r="21" spans="1:7" x14ac:dyDescent="0.25">
      <c r="A21" s="66">
        <v>1</v>
      </c>
      <c r="B21" s="36" t="s">
        <v>8</v>
      </c>
      <c r="C21" s="4">
        <v>66</v>
      </c>
      <c r="D21" s="31">
        <f>percellsUSC[[#This Row],[rawcells]]/4*2*10000*5</f>
        <v>1650000</v>
      </c>
      <c r="E21" s="98">
        <f>IFERROR((E11*nano_to_pico)/(AVERAGE(percellsUSC[cell_count_flask])/10^6), "NA")</f>
        <v>129.26595348837211</v>
      </c>
      <c r="F21" s="98">
        <f>IFERROR((H11*nano_to_pico)/(AVERAGE(percellsUSC[cell_count_flask])/10^6), "NA")</f>
        <v>84.826716279069771</v>
      </c>
      <c r="G21" s="115">
        <f>IFERROR((I11*nano_to_pico)/(AVERAGE(percellsUSC[cell_count_flask])/10^6), "NA")</f>
        <v>83.544279069767455</v>
      </c>
    </row>
    <row r="22" spans="1:7" x14ac:dyDescent="0.25">
      <c r="A22" s="66">
        <v>2</v>
      </c>
      <c r="B22" s="36" t="s">
        <v>8</v>
      </c>
      <c r="C22" s="4">
        <v>74</v>
      </c>
      <c r="D22" s="31">
        <f>percellsUSC[[#This Row],[rawcells]]/4*2*10000*5</f>
        <v>1850000</v>
      </c>
      <c r="E22" s="98">
        <f>IFERROR((E12*nano_to_pico)/(AVERAGE(percellsUSC[cell_count_flask])/10^6), "NA")</f>
        <v>110.92152558139534</v>
      </c>
      <c r="F22" s="98">
        <f>IFERROR((H12*nano_to_pico)/(AVERAGE(percellsUSC[cell_count_flask])/10^6), "NA")</f>
        <v>71.574865116279071</v>
      </c>
      <c r="G22" s="115">
        <f>IFERROR((I12*nano_to_pico)/(AVERAGE(percellsUSC[cell_count_flask])/10^6), "NA")</f>
        <v>81.183851162790702</v>
      </c>
    </row>
    <row r="23" spans="1:7" x14ac:dyDescent="0.25">
      <c r="A23" s="66">
        <v>3</v>
      </c>
      <c r="B23" s="36" t="s">
        <v>8</v>
      </c>
      <c r="C23" s="4">
        <v>75</v>
      </c>
      <c r="D23" s="31">
        <f>percellsUSC[[#This Row],[rawcells]]/4*2*10000*5</f>
        <v>1875000</v>
      </c>
      <c r="E23" s="98">
        <f>IFERROR((E13*nano_to_pico)/(AVERAGE(percellsUSC[cell_count_flask])/10^6), "NA")</f>
        <v>99.565451162790694</v>
      </c>
      <c r="F23" s="98">
        <f>IFERROR((H13*nano_to_pico)/(AVERAGE(percellsUSC[cell_count_flask])/10^6), "NA")</f>
        <v>51.427590697674418</v>
      </c>
      <c r="G23" s="115">
        <f>IFERROR((I13*nano_to_pico)/(AVERAGE(percellsUSC[cell_count_flask])/10^6), "NA")</f>
        <v>78.061395348837209</v>
      </c>
    </row>
    <row r="24" spans="1:7" x14ac:dyDescent="0.25">
      <c r="D24" s="28"/>
      <c r="E24" s="28"/>
      <c r="F24" s="28"/>
      <c r="G24" s="28"/>
    </row>
    <row r="25" spans="1:7" x14ac:dyDescent="0.25">
      <c r="B25" t="s">
        <v>135</v>
      </c>
      <c r="C25" s="72"/>
      <c r="D25" s="78">
        <f>AVERAGE(D21:D23)</f>
        <v>1791666.6666666667</v>
      </c>
      <c r="E25" s="78">
        <f>AVERAGE(E21:E23)</f>
        <v>113.25097674418605</v>
      </c>
      <c r="F25" s="78">
        <f>AVERAGE(F21:F23)</f>
        <v>69.276390697674415</v>
      </c>
      <c r="G25" s="78">
        <f>AVERAGE(G21:G23)</f>
        <v>80.929841860465118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opLeftCell="C13" workbookViewId="0">
      <selection activeCell="I25" sqref="I25"/>
    </sheetView>
  </sheetViews>
  <sheetFormatPr defaultRowHeight="15" x14ac:dyDescent="0.25"/>
  <cols>
    <col min="1" max="1" width="12" bestFit="1" customWidth="1"/>
    <col min="3" max="3" width="21" bestFit="1" customWidth="1"/>
    <col min="4" max="5" width="22.7109375" bestFit="1" customWidth="1"/>
    <col min="6" max="6" width="23.85546875" bestFit="1" customWidth="1"/>
    <col min="7" max="7" width="23.7109375" bestFit="1" customWidth="1"/>
    <col min="8" max="8" width="23.42578125" bestFit="1" customWidth="1"/>
    <col min="9" max="9" width="24.5703125" bestFit="1" customWidth="1"/>
    <col min="10" max="10" width="24.42578125" bestFit="1" customWidth="1"/>
  </cols>
  <sheetData>
    <row r="1" spans="1:10" x14ac:dyDescent="0.25">
      <c r="A1" t="s">
        <v>336</v>
      </c>
      <c r="B1" t="s">
        <v>337</v>
      </c>
    </row>
    <row r="2" spans="1:10" x14ac:dyDescent="0.25">
      <c r="A2" t="s">
        <v>42</v>
      </c>
      <c r="B2" t="s">
        <v>339</v>
      </c>
      <c r="E2" s="28"/>
    </row>
    <row r="3" spans="1:10" x14ac:dyDescent="0.25">
      <c r="A3" s="24" t="s">
        <v>0</v>
      </c>
      <c r="B3" s="25" t="s">
        <v>2</v>
      </c>
      <c r="C3" s="25" t="s">
        <v>12</v>
      </c>
      <c r="D3" s="25" t="s">
        <v>13</v>
      </c>
      <c r="E3" s="25" t="s">
        <v>16</v>
      </c>
      <c r="F3" s="25" t="s">
        <v>14</v>
      </c>
      <c r="G3" s="25" t="s">
        <v>15</v>
      </c>
      <c r="H3" s="25" t="s">
        <v>17</v>
      </c>
      <c r="I3" s="25" t="s">
        <v>18</v>
      </c>
      <c r="J3" s="26" t="s">
        <v>9</v>
      </c>
    </row>
    <row r="4" spans="1:10" x14ac:dyDescent="0.25">
      <c r="A4" s="10">
        <v>1</v>
      </c>
      <c r="B4" s="5" t="s">
        <v>10</v>
      </c>
      <c r="C4" s="32">
        <f>CMX001_T0_ds1_Prodrug</f>
        <v>957</v>
      </c>
      <c r="D4" s="116">
        <f>CMX001_T72_med1_Prodrug</f>
        <v>521.79999999999995</v>
      </c>
      <c r="E4" s="32">
        <f>CMX001_T72_lys1_Prodrug</f>
        <v>1588.6</v>
      </c>
      <c r="F4" s="32">
        <f>CMX001_T0_ds1_CDV</f>
        <v>0</v>
      </c>
      <c r="G4" s="116">
        <f>CMX001_T72_med1_CDV</f>
        <v>0</v>
      </c>
      <c r="H4" s="32">
        <f>CMX001_T72_lys1_CDV</f>
        <v>414.7</v>
      </c>
      <c r="I4" s="32">
        <f>CMX001_T72_lys1_PP</f>
        <v>279.8</v>
      </c>
      <c r="J4" s="116">
        <f>CMX001_T72_ds1_Prodrug</f>
        <v>887.3</v>
      </c>
    </row>
    <row r="5" spans="1:10" x14ac:dyDescent="0.25">
      <c r="A5" s="10">
        <v>2</v>
      </c>
      <c r="B5" s="5" t="s">
        <v>10</v>
      </c>
      <c r="C5" s="32">
        <f>CMX001_T0_ds2_Prodrug</f>
        <v>1012.7</v>
      </c>
      <c r="D5" s="116">
        <f>CMX001_T72_med2_Prodrug</f>
        <v>580.20000000000005</v>
      </c>
      <c r="E5" s="32">
        <f>CMX001_T72_lys2_Prodrug</f>
        <v>1609.7</v>
      </c>
      <c r="F5" s="32">
        <f>CMX001_T0_ds2_CDV</f>
        <v>0</v>
      </c>
      <c r="G5" s="116">
        <f>CMX001_T72_med2_CDV</f>
        <v>0</v>
      </c>
      <c r="H5" s="32">
        <f>CMX001_T72_lys2_CDV</f>
        <v>244.8</v>
      </c>
      <c r="I5" s="32">
        <f>CMX001_T72_lys2_PP</f>
        <v>299</v>
      </c>
      <c r="J5" s="32">
        <f>CMX001_T72_ds2_Prodrug</f>
        <v>867.9</v>
      </c>
    </row>
    <row r="6" spans="1:10" x14ac:dyDescent="0.25">
      <c r="A6" s="10">
        <v>3</v>
      </c>
      <c r="B6" s="5" t="s">
        <v>10</v>
      </c>
      <c r="C6" s="32">
        <f>CMX001_T0_ds3_Prodrug</f>
        <v>969.7</v>
      </c>
      <c r="D6" s="116">
        <f>CMX001_T72_med3_Prodrug</f>
        <v>486.1</v>
      </c>
      <c r="E6" s="32">
        <f>CMX001_T72_lys3_Prodrug</f>
        <v>1571.1</v>
      </c>
      <c r="F6" s="32">
        <f>CMX001_T0_ds3_CDV</f>
        <v>0</v>
      </c>
      <c r="G6" s="116">
        <f>CMX001_T72_med3_CDV</f>
        <v>0</v>
      </c>
      <c r="H6" s="32">
        <f>CMX001_T72_lys3_CDV</f>
        <v>327.3</v>
      </c>
      <c r="I6" s="32">
        <f>CMX001_T72_lys3_PP</f>
        <v>292.2</v>
      </c>
      <c r="J6" s="32">
        <f>CMX001_T72_ds3_Prodrug</f>
        <v>847.4</v>
      </c>
    </row>
    <row r="7" spans="1:10" x14ac:dyDescent="0.25">
      <c r="C7" s="28"/>
      <c r="D7" s="28"/>
      <c r="E7" s="28"/>
      <c r="F7" s="28"/>
      <c r="G7" s="28"/>
      <c r="H7" s="28"/>
      <c r="I7" s="28"/>
      <c r="J7" s="28"/>
    </row>
    <row r="8" spans="1:10" x14ac:dyDescent="0.25">
      <c r="A8" t="s">
        <v>336</v>
      </c>
      <c r="B8" t="s">
        <v>337</v>
      </c>
      <c r="C8" s="28"/>
      <c r="D8" s="28"/>
      <c r="E8" s="28"/>
      <c r="F8" s="28"/>
      <c r="G8" s="28"/>
      <c r="H8" s="28"/>
      <c r="I8" s="28"/>
      <c r="J8" s="28"/>
    </row>
    <row r="9" spans="1:10" x14ac:dyDescent="0.25">
      <c r="A9" t="s">
        <v>323</v>
      </c>
      <c r="B9" t="s">
        <v>325</v>
      </c>
      <c r="C9" s="28"/>
      <c r="D9" s="28"/>
      <c r="E9" s="28"/>
      <c r="F9" s="28"/>
      <c r="G9" s="28"/>
      <c r="H9" s="28"/>
      <c r="I9" s="28"/>
      <c r="J9" s="28"/>
    </row>
    <row r="10" spans="1:10" x14ac:dyDescent="0.25">
      <c r="A10" s="24" t="s">
        <v>0</v>
      </c>
      <c r="B10" s="25" t="s">
        <v>2</v>
      </c>
      <c r="C10" s="117" t="s">
        <v>32</v>
      </c>
      <c r="D10" s="117" t="s">
        <v>33</v>
      </c>
      <c r="E10" s="117" t="s">
        <v>36</v>
      </c>
      <c r="F10" s="117" t="s">
        <v>34</v>
      </c>
      <c r="G10" s="117" t="s">
        <v>35</v>
      </c>
      <c r="H10" s="117" t="s">
        <v>37</v>
      </c>
      <c r="I10" s="117" t="s">
        <v>38</v>
      </c>
      <c r="J10" s="118" t="s">
        <v>310</v>
      </c>
    </row>
    <row r="11" spans="1:10" x14ac:dyDescent="0.25">
      <c r="A11" s="10">
        <v>1</v>
      </c>
      <c r="B11" s="5" t="s">
        <v>10</v>
      </c>
      <c r="C11" s="32">
        <f t="shared" ref="C11:D13" si="0">C4/L_to_mL*media_volume__mL</f>
        <v>9.57</v>
      </c>
      <c r="D11" s="32">
        <f t="shared" si="0"/>
        <v>5.2179999999999991</v>
      </c>
      <c r="E11" s="32">
        <f>E4/L_to_mL*lysate_volume__mL</f>
        <v>0.52900380000000002</v>
      </c>
      <c r="F11" s="32">
        <f t="shared" ref="F11:G13" si="1">IFERROR(F4/L_to_mL*media_volume__mL, 0)</f>
        <v>0</v>
      </c>
      <c r="G11" s="32">
        <f t="shared" si="1"/>
        <v>0</v>
      </c>
      <c r="H11" s="32">
        <f>H4/L_to_mL*lysate_volume__mL</f>
        <v>0.1380951</v>
      </c>
      <c r="I11" s="32">
        <f>I4/L_to_mL*lysate_volume__mL</f>
        <v>9.3173400000000003E-2</v>
      </c>
      <c r="J11" s="119">
        <f>IFERROR(J4/L_to_mL*media_volume__mL, 0)</f>
        <v>8.8729999999999993</v>
      </c>
    </row>
    <row r="12" spans="1:10" x14ac:dyDescent="0.25">
      <c r="A12" s="10">
        <v>2</v>
      </c>
      <c r="B12" s="5" t="s">
        <v>10</v>
      </c>
      <c r="C12" s="32">
        <f t="shared" si="0"/>
        <v>10.127000000000002</v>
      </c>
      <c r="D12" s="32">
        <f t="shared" si="0"/>
        <v>5.8020000000000005</v>
      </c>
      <c r="E12" s="32">
        <f>E5/L_to_mL*lysate_volume__mL</f>
        <v>0.53603010000000006</v>
      </c>
      <c r="F12" s="32">
        <f t="shared" si="1"/>
        <v>0</v>
      </c>
      <c r="G12" s="32">
        <f t="shared" si="1"/>
        <v>0</v>
      </c>
      <c r="H12" s="32">
        <f t="shared" ref="H12:I13" si="2">H5/L_to_mL*lysate_volume__mL</f>
        <v>8.1518400000000005E-2</v>
      </c>
      <c r="I12" s="32">
        <f t="shared" si="2"/>
        <v>9.9567000000000003E-2</v>
      </c>
      <c r="J12" s="119">
        <f>IFERROR(J5/L_to_mL*media_volume__mL, 0)</f>
        <v>8.6790000000000003</v>
      </c>
    </row>
    <row r="13" spans="1:10" x14ac:dyDescent="0.25">
      <c r="A13" s="10">
        <v>3</v>
      </c>
      <c r="B13" s="5" t="s">
        <v>10</v>
      </c>
      <c r="C13" s="32">
        <f t="shared" si="0"/>
        <v>9.6969999999999992</v>
      </c>
      <c r="D13" s="32">
        <f t="shared" si="0"/>
        <v>4.8610000000000007</v>
      </c>
      <c r="E13" s="32">
        <f>E6/L_to_mL*lysate_volume__mL</f>
        <v>0.52317630000000004</v>
      </c>
      <c r="F13" s="32">
        <f t="shared" si="1"/>
        <v>0</v>
      </c>
      <c r="G13" s="32">
        <f t="shared" si="1"/>
        <v>0</v>
      </c>
      <c r="H13" s="32">
        <f t="shared" si="2"/>
        <v>0.10899090000000002</v>
      </c>
      <c r="I13" s="32">
        <f t="shared" si="2"/>
        <v>9.7302600000000017E-2</v>
      </c>
      <c r="J13" s="119">
        <f>IFERROR(J6/L_to_mL*media_volume__mL, 0)</f>
        <v>8.4740000000000002</v>
      </c>
    </row>
    <row r="18" spans="1:9" x14ac:dyDescent="0.25">
      <c r="A18" t="s">
        <v>336</v>
      </c>
      <c r="B18" t="s">
        <v>337</v>
      </c>
    </row>
    <row r="19" spans="1:9" x14ac:dyDescent="0.25">
      <c r="A19" t="s">
        <v>324</v>
      </c>
      <c r="B19" t="s">
        <v>103</v>
      </c>
    </row>
    <row r="20" spans="1:9" x14ac:dyDescent="0.25">
      <c r="A20" s="62" t="s">
        <v>0</v>
      </c>
      <c r="B20" s="63" t="s">
        <v>2</v>
      </c>
      <c r="C20" s="25" t="s">
        <v>31</v>
      </c>
      <c r="D20" s="25" t="s">
        <v>3</v>
      </c>
      <c r="E20" s="63" t="s">
        <v>40</v>
      </c>
      <c r="F20" s="63" t="s">
        <v>308</v>
      </c>
      <c r="G20" s="64" t="s">
        <v>41</v>
      </c>
    </row>
    <row r="21" spans="1:9" x14ac:dyDescent="0.25">
      <c r="A21" s="65">
        <v>1</v>
      </c>
      <c r="B21" s="37" t="s">
        <v>42</v>
      </c>
      <c r="C21" s="5">
        <v>68</v>
      </c>
      <c r="D21" s="32">
        <f>percellsCMX[[#This Row],[rawcells]]/4*2*10000*5</f>
        <v>1700000</v>
      </c>
      <c r="E21" s="76">
        <f>IFERROR((E11*nano_to_pico)/(AVERAGE(percellsCMX[cell_count_flask])/10^6), "NA")</f>
        <v>335.87542857142864</v>
      </c>
      <c r="F21" s="76">
        <f>IFERROR((H11*nano_to_pico)/(AVERAGE(percellsCMX[cell_count_flask])/10^6), "NA")</f>
        <v>87.679428571428573</v>
      </c>
      <c r="G21" s="120">
        <f>IFERROR((I11*nano_to_pico)/(AVERAGE(percellsCMX[cell_count_flask])/10^6), "NA")</f>
        <v>59.157714285714285</v>
      </c>
      <c r="I21" s="179">
        <f>I11/(AVERAGE(nmol_669[Pro_t0_Media_nmole])-D11)</f>
        <v>1.9908846153846145E-2</v>
      </c>
    </row>
    <row r="22" spans="1:9" x14ac:dyDescent="0.25">
      <c r="A22" s="65">
        <v>2</v>
      </c>
      <c r="B22" s="37" t="s">
        <v>42</v>
      </c>
      <c r="C22" s="5">
        <v>61</v>
      </c>
      <c r="D22" s="32">
        <f>percellsCMX[[#This Row],[rawcells]]/4*2*10000*5</f>
        <v>1525000</v>
      </c>
      <c r="E22" s="76">
        <f>IFERROR((E12*nano_to_pico)/(AVERAGE(percellsCMX[cell_count_flask])/10^6), "NA")</f>
        <v>340.33657142857146</v>
      </c>
      <c r="F22" s="76">
        <f>IFERROR((H12*nano_to_pico)/(AVERAGE(percellsCMX[cell_count_flask])/10^6), "NA")</f>
        <v>51.757714285714286</v>
      </c>
      <c r="G22" s="120">
        <f>IFERROR((I12*nano_to_pico)/(AVERAGE(percellsCMX[cell_count_flask])/10^6), "NA")</f>
        <v>63.217142857142861</v>
      </c>
      <c r="I22" s="179">
        <f>I12/(AVERAGE(nmol_669[Pro_t0_Media_nmole])-D12)</f>
        <v>2.4308349609374995E-2</v>
      </c>
    </row>
    <row r="23" spans="1:9" x14ac:dyDescent="0.25">
      <c r="A23" s="65">
        <v>3</v>
      </c>
      <c r="B23" s="37" t="s">
        <v>42</v>
      </c>
      <c r="C23" s="5">
        <v>60</v>
      </c>
      <c r="D23" s="32">
        <f>percellsCMX[[#This Row],[rawcells]]/4*2*10000*5</f>
        <v>1500000</v>
      </c>
      <c r="E23" s="76">
        <f>IFERROR((E13*nano_to_pico)/(AVERAGE(percellsCMX[cell_count_flask])/10^6), "NA")</f>
        <v>332.17542857142865</v>
      </c>
      <c r="F23" s="76">
        <f>IFERROR((H13*nano_to_pico)/(AVERAGE(percellsCMX[cell_count_flask])/10^6), "NA")</f>
        <v>69.200571428571436</v>
      </c>
      <c r="G23" s="120">
        <f>IFERROR((I13*nano_to_pico)/(AVERAGE(percellsCMX[cell_count_flask])/10^6), "NA")</f>
        <v>61.779428571428582</v>
      </c>
      <c r="I23" s="179">
        <f>I13/(AVERAGE(nmol_669[Pro_t0_Media_nmole])-D13)</f>
        <v>1.9317569982132222E-2</v>
      </c>
    </row>
    <row r="24" spans="1:9" x14ac:dyDescent="0.25">
      <c r="D24" s="28"/>
      <c r="E24" s="28"/>
      <c r="F24" s="28"/>
      <c r="G24" s="28"/>
    </row>
    <row r="25" spans="1:9" x14ac:dyDescent="0.25">
      <c r="C25" s="73" t="s">
        <v>135</v>
      </c>
      <c r="D25" s="76">
        <f>AVERAGE(D21:D23)</f>
        <v>1575000</v>
      </c>
      <c r="E25" s="76">
        <f>AVERAGE(E21:E23)</f>
        <v>336.12914285714288</v>
      </c>
      <c r="F25" s="76">
        <f>AVERAGE(F21:F23)</f>
        <v>69.545904761904765</v>
      </c>
      <c r="G25" s="76">
        <f>AVERAGE(G21:G23)</f>
        <v>61.384761904761909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162</vt:i4>
      </vt:variant>
    </vt:vector>
  </HeadingPairs>
  <TitlesOfParts>
    <vt:vector size="173" baseType="lpstr">
      <vt:lpstr>longform_linked</vt:lpstr>
      <vt:lpstr>201-107_DATAANALYSIS_longform_R</vt:lpstr>
      <vt:lpstr>StudyInfo_Constants</vt:lpstr>
      <vt:lpstr>663</vt:lpstr>
      <vt:lpstr>666</vt:lpstr>
      <vt:lpstr>669</vt:lpstr>
      <vt:lpstr>CDV</vt:lpstr>
      <vt:lpstr>USC505</vt:lpstr>
      <vt:lpstr>CMX001</vt:lpstr>
      <vt:lpstr>MassTable</vt:lpstr>
      <vt:lpstr>pmolPerCellFigure</vt:lpstr>
      <vt:lpstr>CDV_T0_ds1_CDV</vt:lpstr>
      <vt:lpstr>CDV_T0_ds2_CDV</vt:lpstr>
      <vt:lpstr>CDV_T0_ds3_CDV</vt:lpstr>
      <vt:lpstr>CDV_T72_ds1_CDV</vt:lpstr>
      <vt:lpstr>CDV_T72_ds2_CDV</vt:lpstr>
      <vt:lpstr>CDV_T72_ds3_CDV</vt:lpstr>
      <vt:lpstr>CDV_T72_lys1_CDV</vt:lpstr>
      <vt:lpstr>CDV_T72_lys1_PP</vt:lpstr>
      <vt:lpstr>CDV_T72_lys2_CDV</vt:lpstr>
      <vt:lpstr>CDV_T72_lys2_PP</vt:lpstr>
      <vt:lpstr>CDV_T72_lys3_CDV</vt:lpstr>
      <vt:lpstr>CDV_T72_lys3_PP</vt:lpstr>
      <vt:lpstr>CDV_T72_med1_CDV</vt:lpstr>
      <vt:lpstr>CDV_T72_med2_CDV</vt:lpstr>
      <vt:lpstr>CDV_T72_med3_CDV</vt:lpstr>
      <vt:lpstr>CMX001_T0_ds1_CDV</vt:lpstr>
      <vt:lpstr>CMX001_T0_ds1_Pro</vt:lpstr>
      <vt:lpstr>CMX001_T0_ds1_Prodrug</vt:lpstr>
      <vt:lpstr>CMX001_T0_ds2_CDV</vt:lpstr>
      <vt:lpstr>CMX001_T0_ds2_Pro</vt:lpstr>
      <vt:lpstr>CMX001_T0_ds2_Prodrug</vt:lpstr>
      <vt:lpstr>CMX001_T0_ds3_CDV</vt:lpstr>
      <vt:lpstr>CMX001_T0_ds3_Pro</vt:lpstr>
      <vt:lpstr>CMX001_T0_ds3_Prodrug</vt:lpstr>
      <vt:lpstr>CMX001_T72_ds1_CDV</vt:lpstr>
      <vt:lpstr>CMX001_T72_ds1_Pro</vt:lpstr>
      <vt:lpstr>CMX001_T72_ds1_Prodrug</vt:lpstr>
      <vt:lpstr>CMX001_T72_ds2_CDV</vt:lpstr>
      <vt:lpstr>CMX001_T72_ds2_Pro</vt:lpstr>
      <vt:lpstr>CMX001_T72_ds2_Prodrug</vt:lpstr>
      <vt:lpstr>CMX001_T72_ds3_CDV</vt:lpstr>
      <vt:lpstr>CMX001_T72_ds3_Pro</vt:lpstr>
      <vt:lpstr>CMX001_T72_ds3_Prodrug</vt:lpstr>
      <vt:lpstr>CMX001_T72_lys1_CDV</vt:lpstr>
      <vt:lpstr>CMX001_T72_lys1_PP</vt:lpstr>
      <vt:lpstr>CMX001_T72_lys1_Pro</vt:lpstr>
      <vt:lpstr>CMX001_T72_lys1_Prodrug</vt:lpstr>
      <vt:lpstr>CMX001_T72_lys2_CDV</vt:lpstr>
      <vt:lpstr>CMX001_T72_lys2_PP</vt:lpstr>
      <vt:lpstr>CMX001_T72_lys2_Pro</vt:lpstr>
      <vt:lpstr>CMX001_T72_lys2_Prodrug</vt:lpstr>
      <vt:lpstr>CMX001_T72_lys3_CDV</vt:lpstr>
      <vt:lpstr>CMX001_T72_lys3_PP</vt:lpstr>
      <vt:lpstr>CMX001_T72_lys3_Pro</vt:lpstr>
      <vt:lpstr>CMX001_T72_lys3_Prodrug</vt:lpstr>
      <vt:lpstr>CMX001_T72_med1_CDV</vt:lpstr>
      <vt:lpstr>CMX001_T72_med1_Pro</vt:lpstr>
      <vt:lpstr>CMX001_T72_med1_Prodrug</vt:lpstr>
      <vt:lpstr>CMX001_T72_med2_CDV</vt:lpstr>
      <vt:lpstr>CMX001_T72_med2_Pro</vt:lpstr>
      <vt:lpstr>CMX001_T72_med2_Prodrug</vt:lpstr>
      <vt:lpstr>CMX001_T72_med3_CDV</vt:lpstr>
      <vt:lpstr>CMX001_T72_med3_Pro</vt:lpstr>
      <vt:lpstr>CMX001_T72_med3_Prodrug</vt:lpstr>
      <vt:lpstr>L_to_mL</vt:lpstr>
      <vt:lpstr>lysate_volume__mL</vt:lpstr>
      <vt:lpstr>media_volume__mL</vt:lpstr>
      <vt:lpstr>nano_to_pico</vt:lpstr>
      <vt:lpstr>NPP663_T0_ds1_CDV</vt:lpstr>
      <vt:lpstr>NPP663_T0_ds1_Prodrug</vt:lpstr>
      <vt:lpstr>NPP663_T0_ds2_CDV</vt:lpstr>
      <vt:lpstr>NPP663_T0_ds2_Prodrug</vt:lpstr>
      <vt:lpstr>NPP663_T0_ds3_CDV</vt:lpstr>
      <vt:lpstr>NPP663_T0_ds3_Prodrug</vt:lpstr>
      <vt:lpstr>NPP663_T72_ds1_CDV</vt:lpstr>
      <vt:lpstr>NPP663_T72_ds1_Prodrug</vt:lpstr>
      <vt:lpstr>NPP663_T72_ds2_CDV</vt:lpstr>
      <vt:lpstr>NPP663_T72_ds2_Prodrug</vt:lpstr>
      <vt:lpstr>NPP663_T72_ds3_CDV</vt:lpstr>
      <vt:lpstr>NPP663_T72_ds3_Prodrug</vt:lpstr>
      <vt:lpstr>NPP663_T72_lys1_CDV</vt:lpstr>
      <vt:lpstr>NPP663_T72_lys1_PP</vt:lpstr>
      <vt:lpstr>NPP663_T72_lys1_Prodrug</vt:lpstr>
      <vt:lpstr>NPP663_T72_lys2_CDV</vt:lpstr>
      <vt:lpstr>NPP663_T72_lys2_PP</vt:lpstr>
      <vt:lpstr>NPP663_T72_lys2_Prodrug</vt:lpstr>
      <vt:lpstr>NPP663_T72_lys3_CDV</vt:lpstr>
      <vt:lpstr>NPP663_T72_lys3_PP</vt:lpstr>
      <vt:lpstr>NPP663_T72_lys3_Prodrug</vt:lpstr>
      <vt:lpstr>NPP663_T72_med1_CDV</vt:lpstr>
      <vt:lpstr>NPP663_T72_med1_Prodrug</vt:lpstr>
      <vt:lpstr>NPP663_T72_med2_CDV</vt:lpstr>
      <vt:lpstr>NPP663_T72_med2_Prodrug</vt:lpstr>
      <vt:lpstr>NPP663_T72_med3_CDV</vt:lpstr>
      <vt:lpstr>NPP663_T72_med3_Prodrug</vt:lpstr>
      <vt:lpstr>NPP666_T0_ds1_CDV</vt:lpstr>
      <vt:lpstr>NPP666_T0_ds1_Prodrug</vt:lpstr>
      <vt:lpstr>NPP666_T0_ds2_CDV</vt:lpstr>
      <vt:lpstr>NPP666_T0_ds2_Prodrug</vt:lpstr>
      <vt:lpstr>NPP666_T0_ds3_CDV</vt:lpstr>
      <vt:lpstr>NPP666_T0_ds3_Prodrug</vt:lpstr>
      <vt:lpstr>NPP666_T72_ds1_CDV</vt:lpstr>
      <vt:lpstr>NPP666_T72_ds1_Prodrug</vt:lpstr>
      <vt:lpstr>NPP666_T72_ds2_CDV</vt:lpstr>
      <vt:lpstr>NPP666_T72_ds2_Prodrug</vt:lpstr>
      <vt:lpstr>NPP666_T72_ds3_CDV</vt:lpstr>
      <vt:lpstr>NPP666_T72_ds3_Prodrug</vt:lpstr>
      <vt:lpstr>NPP666_T72_lys1_CDV</vt:lpstr>
      <vt:lpstr>NPP666_T72_lys1_PP</vt:lpstr>
      <vt:lpstr>NPP666_T72_lys1_Prodrug</vt:lpstr>
      <vt:lpstr>NPP666_T72_lys2_CDV</vt:lpstr>
      <vt:lpstr>NPP666_T72_lys2_PP</vt:lpstr>
      <vt:lpstr>NPP666_T72_lys2_Prodrug</vt:lpstr>
      <vt:lpstr>NPP666_T72_lys3_CDV</vt:lpstr>
      <vt:lpstr>NPP666_T72_lys3_PP</vt:lpstr>
      <vt:lpstr>NPP666_T72_lys3_Prodrug</vt:lpstr>
      <vt:lpstr>NPP666_T72_med1_CDV</vt:lpstr>
      <vt:lpstr>NPP666_T72_med1_Prodrug</vt:lpstr>
      <vt:lpstr>NPP666_T72_med2_CDV</vt:lpstr>
      <vt:lpstr>NPP666_T72_med2_Prodrug</vt:lpstr>
      <vt:lpstr>NPP666_T72_med3_CDV</vt:lpstr>
      <vt:lpstr>NPP666_T72_med3_Prodrug</vt:lpstr>
      <vt:lpstr>NPP669_T0_ds1_CDV</vt:lpstr>
      <vt:lpstr>NPP669_T0_ds1_Prodrug</vt:lpstr>
      <vt:lpstr>NPP669_T0_ds2_CDV</vt:lpstr>
      <vt:lpstr>NPP669_T0_ds2_Prodrug</vt:lpstr>
      <vt:lpstr>NPP669_T0_ds3_CDV</vt:lpstr>
      <vt:lpstr>NPP669_T0_ds3_Prodrug</vt:lpstr>
      <vt:lpstr>NPP669_T72_ds1_CDV</vt:lpstr>
      <vt:lpstr>NPP669_T72_ds1_Prodrug</vt:lpstr>
      <vt:lpstr>NPP669_T72_ds2_CDV</vt:lpstr>
      <vt:lpstr>NPP669_T72_ds2_Prodrug</vt:lpstr>
      <vt:lpstr>NPP669_T72_ds3_CDV</vt:lpstr>
      <vt:lpstr>NPP669_T72_ds3_Prodrug</vt:lpstr>
      <vt:lpstr>NPP669_T72_lys1_CDV</vt:lpstr>
      <vt:lpstr>NPP669_T72_lys1_PP</vt:lpstr>
      <vt:lpstr>NPP669_T72_lys1_Prodrug</vt:lpstr>
      <vt:lpstr>NPP669_T72_lys2_CDV</vt:lpstr>
      <vt:lpstr>NPP669_T72_lys2_PP</vt:lpstr>
      <vt:lpstr>NPP669_T72_lys2_Prodrug</vt:lpstr>
      <vt:lpstr>NPP669_T72_lys3_CDV</vt:lpstr>
      <vt:lpstr>NPP669_T72_lys3_PP</vt:lpstr>
      <vt:lpstr>NPP669_T72_lys3_Prodrug</vt:lpstr>
      <vt:lpstr>NPP669_T72_med1_CDV</vt:lpstr>
      <vt:lpstr>NPP669_T72_med1_Prodrug</vt:lpstr>
      <vt:lpstr>NPP669_T72_med2_CDV</vt:lpstr>
      <vt:lpstr>NPP669_T72_med2_Prodrug</vt:lpstr>
      <vt:lpstr>NPP669_T72_med3_CDV</vt:lpstr>
      <vt:lpstr>NPP669_T72_med3_Prodrug</vt:lpstr>
      <vt:lpstr>Seeding_Density</vt:lpstr>
      <vt:lpstr>Theoretical_Conc.__nM</vt:lpstr>
      <vt:lpstr>USC505_T0_ds1_CDV</vt:lpstr>
      <vt:lpstr>USC505_T0_ds2_CDV</vt:lpstr>
      <vt:lpstr>USC505_T0_ds3_CDV</vt:lpstr>
      <vt:lpstr>USC505_T72_ds1_CDV</vt:lpstr>
      <vt:lpstr>USC505_T72_ds2_CDV</vt:lpstr>
      <vt:lpstr>USC505_T72_ds3_CDV</vt:lpstr>
      <vt:lpstr>USC505_T72_lys1_CDV</vt:lpstr>
      <vt:lpstr>USC505_T72_lys1_PP</vt:lpstr>
      <vt:lpstr>USC505_T72_lys1_Pro</vt:lpstr>
      <vt:lpstr>USC505_T72_lys1_Prodrug</vt:lpstr>
      <vt:lpstr>USC505_T72_lys2_CDV</vt:lpstr>
      <vt:lpstr>USC505_T72_lys2_PP</vt:lpstr>
      <vt:lpstr>USC505_T72_lys2_Pro</vt:lpstr>
      <vt:lpstr>USC505_T72_lys2_Prodrug</vt:lpstr>
      <vt:lpstr>USC505_T72_lys3_CDV</vt:lpstr>
      <vt:lpstr>USC505_T72_lys3_PP</vt:lpstr>
      <vt:lpstr>USC505_T72_lys3_Pro</vt:lpstr>
      <vt:lpstr>USC505_T72_lys3_Prodrug</vt:lpstr>
      <vt:lpstr>USC505_T72_med1_CDV</vt:lpstr>
      <vt:lpstr>USC505_T72_med2_CDV</vt:lpstr>
      <vt:lpstr>USC505_T72_med3_CDV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Doherty</dc:creator>
  <cp:lastModifiedBy>Matt Doherty</cp:lastModifiedBy>
  <dcterms:created xsi:type="dcterms:W3CDTF">2018-08-08T14:49:37Z</dcterms:created>
  <dcterms:modified xsi:type="dcterms:W3CDTF">2018-08-29T20:45:05Z</dcterms:modified>
</cp:coreProperties>
</file>