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evinfahlevi/Documents/BME/Semester 3/Fluid Mechanics/Fluid Mechanics Lab Report/"/>
    </mc:Choice>
  </mc:AlternateContent>
  <xr:revisionPtr revIDLastSave="0" documentId="13_ncr:1_{88574D09-6B7E-CA4F-B2F8-65B93AE1043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alibration Manometer" sheetId="2" r:id="rId1"/>
    <sheet name="Calibration Inlet Orific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Q17" i="2"/>
  <c r="Q16" i="2"/>
  <c r="Q15" i="2"/>
  <c r="Q14" i="2"/>
  <c r="Q13" i="2"/>
  <c r="Q12" i="2"/>
  <c r="O18" i="2"/>
  <c r="O17" i="2"/>
  <c r="O16" i="2"/>
  <c r="O15" i="2"/>
  <c r="O14" i="2"/>
  <c r="O13" i="2"/>
  <c r="O12" i="2"/>
  <c r="L18" i="2"/>
  <c r="L17" i="2"/>
  <c r="L16" i="2"/>
  <c r="L15" i="2"/>
  <c r="L14" i="2"/>
  <c r="L13" i="2"/>
  <c r="L12" i="2"/>
  <c r="O71" i="5"/>
  <c r="O70" i="5"/>
  <c r="O69" i="5"/>
  <c r="N71" i="5"/>
  <c r="N70" i="5"/>
  <c r="N69" i="5"/>
  <c r="M71" i="5"/>
  <c r="M70" i="5"/>
  <c r="M69" i="5"/>
  <c r="O48" i="5"/>
  <c r="O34" i="5"/>
  <c r="O20" i="5"/>
  <c r="P43" i="5"/>
  <c r="P42" i="5"/>
  <c r="P41" i="5"/>
  <c r="P40" i="5"/>
  <c r="P39" i="5"/>
  <c r="P38" i="5"/>
  <c r="P37" i="5"/>
  <c r="P29" i="5"/>
  <c r="P28" i="5"/>
  <c r="P27" i="5"/>
  <c r="P26" i="5"/>
  <c r="P25" i="5"/>
  <c r="P24" i="5"/>
  <c r="P23" i="5"/>
  <c r="P15" i="5"/>
  <c r="P14" i="5"/>
  <c r="P13" i="5"/>
  <c r="P12" i="5"/>
  <c r="P11" i="5"/>
  <c r="P10" i="5"/>
  <c r="P9" i="5"/>
  <c r="O19" i="5"/>
  <c r="O18" i="5"/>
  <c r="O17" i="5"/>
  <c r="O16" i="5"/>
  <c r="O33" i="5"/>
  <c r="O32" i="5"/>
  <c r="O31" i="5"/>
  <c r="O30" i="5"/>
  <c r="A4" i="5"/>
  <c r="J4" i="5"/>
  <c r="H4" i="5"/>
  <c r="F4" i="5"/>
  <c r="C9" i="5" s="1"/>
  <c r="E4" i="5"/>
  <c r="D11" i="2"/>
  <c r="D10" i="2"/>
  <c r="D9" i="2"/>
  <c r="D8" i="2"/>
  <c r="D7" i="2"/>
  <c r="D6" i="2"/>
  <c r="D5" i="2"/>
  <c r="E9" i="5" l="1"/>
  <c r="D9" i="5"/>
  <c r="F9" i="5" s="1"/>
  <c r="J37" i="5"/>
  <c r="J9" i="5"/>
  <c r="C37" i="5"/>
  <c r="J23" i="5"/>
  <c r="C23" i="5"/>
  <c r="G9" i="5" l="1"/>
  <c r="H9" i="5" s="1"/>
  <c r="E23" i="5"/>
  <c r="D23" i="5"/>
  <c r="F23" i="5" s="1"/>
  <c r="D37" i="5"/>
  <c r="F37" i="5" s="1"/>
  <c r="E37" i="5"/>
  <c r="B10" i="5" l="1"/>
  <c r="C10" i="5" s="1"/>
  <c r="G37" i="5"/>
  <c r="H37" i="5" s="1"/>
  <c r="G23" i="5"/>
  <c r="H23" i="5"/>
  <c r="B24" i="5" s="1"/>
  <c r="C24" i="5" s="1"/>
  <c r="B38" i="5" l="1"/>
  <c r="C38" i="5" s="1"/>
  <c r="D24" i="5"/>
  <c r="F24" i="5" s="1"/>
  <c r="E24" i="5"/>
  <c r="D10" i="5"/>
  <c r="F10" i="5" s="1"/>
  <c r="E10" i="5"/>
  <c r="G10" i="5" l="1"/>
  <c r="H10" i="5" s="1"/>
  <c r="G24" i="5"/>
  <c r="H24" i="5" s="1"/>
  <c r="B25" i="5" s="1"/>
  <c r="C25" i="5" s="1"/>
  <c r="E38" i="5"/>
  <c r="D38" i="5"/>
  <c r="F38" i="5" s="1"/>
  <c r="E25" i="5" l="1"/>
  <c r="K23" i="5"/>
  <c r="D25" i="5"/>
  <c r="F25" i="5" s="1"/>
  <c r="B11" i="5"/>
  <c r="C11" i="5" s="1"/>
  <c r="G38" i="5"/>
  <c r="H38" i="5"/>
  <c r="B39" i="5" l="1"/>
  <c r="C39" i="5" s="1"/>
  <c r="E11" i="5"/>
  <c r="D11" i="5"/>
  <c r="F11" i="5" s="1"/>
  <c r="K9" i="5"/>
  <c r="G25" i="5"/>
  <c r="H25" i="5"/>
  <c r="G11" i="5" l="1"/>
  <c r="H11" i="5"/>
  <c r="D39" i="5"/>
  <c r="F39" i="5" s="1"/>
  <c r="K37" i="5"/>
  <c r="K4" i="5" s="1"/>
  <c r="E39" i="5"/>
  <c r="O44" i="5" l="1"/>
  <c r="P71" i="5"/>
  <c r="P69" i="5"/>
  <c r="P70" i="5"/>
  <c r="M74" i="5"/>
  <c r="M75" i="5"/>
  <c r="G39" i="5"/>
  <c r="H39" i="5" s="1"/>
  <c r="P78" i="5" l="1"/>
  <c r="P79" i="5"/>
  <c r="M73" i="5"/>
  <c r="O46" i="5"/>
  <c r="O45" i="5"/>
  <c r="O47" i="5" s="1"/>
  <c r="O50" i="5" l="1"/>
  <c r="P77" i="5"/>
  <c r="O56" i="5"/>
  <c r="P73" i="5" s="1"/>
  <c r="O52" i="5"/>
  <c r="O54" i="5" l="1"/>
  <c r="P74" i="5" s="1"/>
  <c r="O51" i="5"/>
  <c r="O55" i="5"/>
  <c r="P75" i="5" s="1"/>
</calcChain>
</file>

<file path=xl/sharedStrings.xml><?xml version="1.0" encoding="utf-8"?>
<sst xmlns="http://schemas.openxmlformats.org/spreadsheetml/2006/main" count="194" uniqueCount="118">
  <si>
    <t>Digital Manometer Calibration</t>
  </si>
  <si>
    <t xml:space="preserve">MO9 A </t>
  </si>
  <si>
    <t>Betz [mmH2O]</t>
  </si>
  <si>
    <t>P dig [Pa]</t>
  </si>
  <si>
    <t>P betz [Pa]</t>
  </si>
  <si>
    <t>Volume Flow Rate</t>
  </si>
  <si>
    <t>ΔP Inlet Orifice Plate [Pa]</t>
  </si>
  <si>
    <t>ΔP Standardized Orifice Plate [Pa]</t>
  </si>
  <si>
    <t>g=</t>
  </si>
  <si>
    <t>m/s2</t>
  </si>
  <si>
    <t>qv Minimum</t>
  </si>
  <si>
    <t>qv Maximum</t>
  </si>
  <si>
    <t>qv In between</t>
  </si>
  <si>
    <t>Pressure Tabs</t>
  </si>
  <si>
    <t>Borda Carnot Diffuser</t>
  </si>
  <si>
    <t>6° Diffuser</t>
  </si>
  <si>
    <t>30° Diffuser</t>
  </si>
  <si>
    <t>Δds [mm]</t>
  </si>
  <si>
    <t>ΔP [Pa]</t>
  </si>
  <si>
    <t xml:space="preserve">Δds : Change in Down Stream Distance </t>
  </si>
  <si>
    <t>ΔP : Change in Pressure</t>
  </si>
  <si>
    <t>6° Diffuser [Pa]</t>
  </si>
  <si>
    <t>30° Diffuser [Pa]</t>
  </si>
  <si>
    <t xml:space="preserve">Initial Data </t>
  </si>
  <si>
    <t>1) Calibration of the Inlet Orifice Plate</t>
  </si>
  <si>
    <t>β: Relation of the Cross-Section of the Inner Brim to the Diameter of the Pipe [-]</t>
  </si>
  <si>
    <t>ε: Compressibility Factor [-]</t>
  </si>
  <si>
    <t>d:  Hole Diameter of the Measurement Brim [m]</t>
  </si>
  <si>
    <t>D: Diameter Before the Brim [m]</t>
  </si>
  <si>
    <t>ν: Kinematic Viscosity Air at 20 °C  [m^(2)*s^(-1)]</t>
  </si>
  <si>
    <t xml:space="preserve">ρ1: Density of Air [kg*m^(-3)] </t>
  </si>
  <si>
    <t xml:space="preserve">P0: Initial Pressure [Pa] </t>
  </si>
  <si>
    <t xml:space="preserve">T0: Initial temperature [K] </t>
  </si>
  <si>
    <t xml:space="preserve">R: Specific Gas Constant [J/kg*K] </t>
  </si>
  <si>
    <t>di: Inner Diameter of the Inlet Orifice Plate [m]</t>
  </si>
  <si>
    <t>k. avg: Average Flow factor</t>
  </si>
  <si>
    <t>ΔP Standardized Orifice Plate [PA]</t>
  </si>
  <si>
    <t>ΔP Inlet Orifice Plate [PA]</t>
  </si>
  <si>
    <t>Formula Applied</t>
  </si>
  <si>
    <t>k = qv (SOP)/qv (IOP)</t>
  </si>
  <si>
    <t>Minimum Flow Rate</t>
  </si>
  <si>
    <t>2) 30° Diffuser (middle flow rate)</t>
  </si>
  <si>
    <t>Iteration</t>
  </si>
  <si>
    <t>Flow Coefficient: C1st -&gt; C2nd -&gt; C3rd</t>
  </si>
  <si>
    <t xml:space="preserve"> qv (SOP): Volume Flow Rate  [m^3/s]</t>
  </si>
  <si>
    <t>v1: Velocity 1 [m/s]</t>
  </si>
  <si>
    <t>v2: Velocity 2 [m/s]</t>
  </si>
  <si>
    <t>Re.D: Reynolds Number (with v1) [-]</t>
  </si>
  <si>
    <t>A: Factor A [-]</t>
  </si>
  <si>
    <t>Flow Coefficient (min. flow rate) [-]</t>
  </si>
  <si>
    <t>qv (IOP): Volume Flow Rate (without flow factor k)  [m^3/s]</t>
  </si>
  <si>
    <t>k. min: Flow factor (min. flow rate)</t>
  </si>
  <si>
    <t>Downstream Distance [m]</t>
  </si>
  <si>
    <t>Pressure Tab</t>
  </si>
  <si>
    <t>ΔP Inlet Orifice Plate - Pressure Tab [Pa]</t>
  </si>
  <si>
    <t>ΔP Diffusers - Pressure Tab [Pa]</t>
  </si>
  <si>
    <t>1st</t>
  </si>
  <si>
    <t>C2nd</t>
  </si>
  <si>
    <t>2nd</t>
  </si>
  <si>
    <t>C3rd</t>
  </si>
  <si>
    <t>3rd</t>
  </si>
  <si>
    <t>C4th</t>
  </si>
  <si>
    <t>qv. IOP =</t>
  </si>
  <si>
    <t>[m^3/s]</t>
  </si>
  <si>
    <t>v1. Diff =</t>
  </si>
  <si>
    <t>[m/s]</t>
  </si>
  <si>
    <t>v2. Diff =</t>
  </si>
  <si>
    <t>ΔP. Ideal =</t>
  </si>
  <si>
    <t>[Pa]</t>
  </si>
  <si>
    <t>η. Diff =</t>
  </si>
  <si>
    <t>[-]</t>
  </si>
  <si>
    <t>Maximum Flow Rate</t>
  </si>
  <si>
    <t>2) 180°/Borda Carnot Diffuser (middle. flow rate)</t>
  </si>
  <si>
    <t xml:space="preserve"> qv (SOP): Volume Flow Rate [m^3/s]</t>
  </si>
  <si>
    <t>Flow Coefficient (max. flow rate)</t>
  </si>
  <si>
    <t>k. max: Flow Factor (max. flow rate)</t>
  </si>
  <si>
    <t xml:space="preserve">Pressure Tab </t>
  </si>
  <si>
    <t>C'4th</t>
  </si>
  <si>
    <t>In between Flow Rate</t>
  </si>
  <si>
    <t>3) 6° Diffuser (middle. flow rate)</t>
  </si>
  <si>
    <t>Flow Coefficient (in between flow rate)</t>
  </si>
  <si>
    <t xml:space="preserve">k. in between: Flow Factor (in between flow rate): </t>
  </si>
  <si>
    <t xml:space="preserve"> Downstream Distance [m]</t>
  </si>
  <si>
    <t>2 nd</t>
  </si>
  <si>
    <t>ζ. 30° Diffuser =</t>
  </si>
  <si>
    <t>ζ. 180° Diffuser =</t>
  </si>
  <si>
    <t>ζ. 6° Diffuser =</t>
  </si>
  <si>
    <t>η. 30° Diffuser =</t>
  </si>
  <si>
    <t>η. 180° Diffuser =</t>
  </si>
  <si>
    <t>η. 6° Diffuser =</t>
  </si>
  <si>
    <t>P = Δp_real</t>
  </si>
  <si>
    <t>p = Δp_ideal</t>
  </si>
  <si>
    <t>D = D_SOP</t>
  </si>
  <si>
    <t>d = d_IOP</t>
  </si>
  <si>
    <t>d(η)/d(d. IOP)</t>
  </si>
  <si>
    <t>d(η)/d(D. SOP)</t>
  </si>
  <si>
    <t>d(η)/d(ΔP. Ideal)</t>
  </si>
  <si>
    <t>d(η)/d(ΔP. Real)</t>
  </si>
  <si>
    <t>6° Diffuser =</t>
  </si>
  <si>
    <t>30° Diffuser =</t>
  </si>
  <si>
    <t>180° Diffuser =</t>
  </si>
  <si>
    <t>δη. 6° Diffuser =</t>
  </si>
  <si>
    <t>δη. 6° Diffuser /η. 6° Diffuser =</t>
  </si>
  <si>
    <t>δη. 30° Diffuser =</t>
  </si>
  <si>
    <t>δη. 30° Diffuser /η. 30° Diffuser =</t>
  </si>
  <si>
    <t>δη. 180° Diffuser =</t>
  </si>
  <si>
    <t>δη. 180° Diffuser /η. 180° Diffuser =</t>
  </si>
  <si>
    <t>Initial Data</t>
  </si>
  <si>
    <t>Values</t>
  </si>
  <si>
    <t>Unit</t>
  </si>
  <si>
    <t>δd =</t>
  </si>
  <si>
    <t>[m]</t>
  </si>
  <si>
    <t>δη. 6° Diffuser /2 =</t>
  </si>
  <si>
    <t>δΔp =</t>
  </si>
  <si>
    <t>δη. 30° Diffuser /2 =</t>
  </si>
  <si>
    <t>δη. 180° Diffuser /2 =</t>
  </si>
  <si>
    <t>0.0185 for validation</t>
  </si>
  <si>
    <t>Boda Carnot Diffuser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</si>
</sst>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HUF&quot;_-;\-* #,##0.00\ &quot;HUF&quot;_-;_-* &quot;-&quot;??\ &quot;HUF&quot;_-;_-@_-"/>
    <numFmt numFmtId="164" formatCode="0.0000"/>
    <numFmt numFmtId="165" formatCode="0.000000"/>
    <numFmt numFmtId="166" formatCode="0.0000000%"/>
    <numFmt numFmtId="167" formatCode="0.0000%"/>
    <numFmt numFmtId="168" formatCode="0.000000%"/>
    <numFmt numFmtId="169" formatCode="0.000"/>
    <numFmt numFmtId="170" formatCode="0.000%"/>
    <numFmt numFmtId="171" formatCode="0.00000000"/>
  </numFmts>
  <fonts count="11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2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9" fontId="4" fillId="0" borderId="1" xfId="0" applyNumberFormat="1" applyFont="1" applyBorder="1" applyAlignment="1">
      <alignment horizontal="center" vertical="center"/>
    </xf>
    <xf numFmtId="0" fontId="9" fillId="0" borderId="0" xfId="0" applyFont="1"/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71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right" wrapText="1"/>
    </xf>
    <xf numFmtId="11" fontId="6" fillId="0" borderId="0" xfId="0" applyNumberFormat="1" applyFont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0" fontId="6" fillId="0" borderId="0" xfId="2" applyNumberFormat="1" applyFont="1"/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70" fontId="6" fillId="0" borderId="0" xfId="2" applyNumberFormat="1" applyFont="1"/>
    <xf numFmtId="9" fontId="6" fillId="0" borderId="0" xfId="2" applyFont="1"/>
    <xf numFmtId="169" fontId="6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6" fillId="0" borderId="0" xfId="0" applyNumberFormat="1" applyFont="1" applyAlignment="1">
      <alignment horizontal="center" vertical="center"/>
    </xf>
    <xf numFmtId="168" fontId="6" fillId="0" borderId="0" xfId="2" applyNumberFormat="1" applyFont="1"/>
    <xf numFmtId="0" fontId="5" fillId="0" borderId="2" xfId="0" applyFont="1" applyBorder="1" applyAlignment="1">
      <alignment horizontal="center" vertical="center"/>
    </xf>
    <xf numFmtId="164" fontId="5" fillId="0" borderId="0" xfId="0" applyNumberFormat="1" applyFont="1"/>
    <xf numFmtId="167" fontId="6" fillId="0" borderId="0" xfId="2" applyNumberFormat="1" applyFont="1"/>
    <xf numFmtId="166" fontId="6" fillId="0" borderId="0" xfId="2" applyNumberFormat="1" applyFont="1"/>
    <xf numFmtId="1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164" fontId="5" fillId="0" borderId="1" xfId="2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/>
    </xf>
    <xf numFmtId="10" fontId="5" fillId="0" borderId="1" xfId="0" applyNumberFormat="1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2" xfId="0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>
              <a:defRPr lang="en-GB" sz="1400" b="1" i="0" u="none" baseline="0">
                <a:solidFill>
                  <a:srgbClr val="333399"/>
                </a:solidFill>
                <a:latin typeface="Times New Roman"/>
                <a:ea typeface="Times New Roman"/>
              </a:defRPr>
            </a:pPr>
            <a:r>
              <a:rPr lang="en-GB"/>
              <a:t>Borda Carnot Diffuser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Manometer'!$L$11</c:f>
              <c:strCache>
                <c:ptCount val="1"/>
                <c:pt idx="0">
                  <c:v>ΔP [Pa]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Manometer'!$K$12:$K$18</c:f>
              <c:numCache>
                <c:formatCode>General</c:formatCode>
                <c:ptCount val="7"/>
                <c:pt idx="0">
                  <c:v>110</c:v>
                </c:pt>
                <c:pt idx="1">
                  <c:v>230</c:v>
                </c:pt>
                <c:pt idx="2">
                  <c:v>350</c:v>
                </c:pt>
                <c:pt idx="3">
                  <c:v>410</c:v>
                </c:pt>
                <c:pt idx="4">
                  <c:v>470</c:v>
                </c:pt>
                <c:pt idx="5">
                  <c:v>530</c:v>
                </c:pt>
                <c:pt idx="6">
                  <c:v>650</c:v>
                </c:pt>
              </c:numCache>
            </c:numRef>
          </c:xVal>
          <c:yVal>
            <c:numRef>
              <c:f>'Calibration Manometer'!$L$12:$L$18</c:f>
              <c:numCache>
                <c:formatCode>General</c:formatCode>
                <c:ptCount val="7"/>
                <c:pt idx="0">
                  <c:v>-30.6</c:v>
                </c:pt>
                <c:pt idx="1">
                  <c:v>29.23</c:v>
                </c:pt>
                <c:pt idx="2">
                  <c:v>80.34</c:v>
                </c:pt>
                <c:pt idx="3">
                  <c:v>105.24</c:v>
                </c:pt>
                <c:pt idx="4">
                  <c:v>110.5</c:v>
                </c:pt>
                <c:pt idx="5">
                  <c:v>103.97</c:v>
                </c:pt>
                <c:pt idx="6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1-2947-855C-D4F44324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73"/>
        <c:axId val="54776212"/>
      </c:scatterChart>
      <c:valAx>
        <c:axId val="16681773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wrap="square"/>
              <a:lstStyle/>
              <a:p>
                <a:pPr>
                  <a:defRPr lang="en-GB" sz="1000" b="1" i="0" u="none" baseline="0">
                    <a:solidFill>
                      <a:srgbClr val="333333"/>
                    </a:solidFill>
                    <a:latin typeface="Times New Roman"/>
                    <a:ea typeface="Times New Roman"/>
                  </a:defRPr>
                </a:pPr>
                <a:r>
                  <a:rPr lang="en-GB"/>
                  <a:t>Δds [mm] 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wrap="square"/>
          <a:lstStyle/>
          <a:p>
            <a:pPr>
              <a:defRPr lang="en-US" sz="900" b="0" i="0" u="non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HU"/>
          </a:p>
        </c:txPr>
        <c:crossAx val="54776212"/>
        <c:crosses val="autoZero"/>
        <c:crossBetween val="midCat"/>
      </c:valAx>
      <c:valAx>
        <c:axId val="54776212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>
                  <a:defRPr lang="en-GB" sz="1000" b="1" i="0" u="none" baseline="0">
                    <a:solidFill>
                      <a:srgbClr val="333333"/>
                    </a:solidFill>
                    <a:latin typeface="Times New Roman"/>
                    <a:ea typeface="Times New Roman"/>
                  </a:defRPr>
                </a:pPr>
                <a:r>
                  <a:rPr lang="en-GB"/>
                  <a:t>ΔP [Pa]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668177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>
              <a:defRPr lang="en-GB" sz="1400" b="1" i="0" u="none" baseline="0">
                <a:solidFill>
                  <a:srgbClr val="FF6600"/>
                </a:solidFill>
                <a:latin typeface="Times New Roman"/>
                <a:ea typeface="Times New Roman"/>
              </a:defRPr>
            </a:pPr>
            <a:r>
              <a:rPr lang="en-GB"/>
              <a:t>6° Diffuser 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00000000000001"/>
          <c:y val="0.10274999999999999"/>
          <c:w val="0.82074999999999998"/>
          <c:h val="0.755784595722079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Manometer'!$N$11</c:f>
              <c:strCache>
                <c:ptCount val="1"/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Manometer'!$M$12:$M$18</c:f>
              <c:numCache>
                <c:formatCode>General</c:formatCode>
                <c:ptCount val="7"/>
                <c:pt idx="0">
                  <c:v>260</c:v>
                </c:pt>
                <c:pt idx="1">
                  <c:v>340</c:v>
                </c:pt>
                <c:pt idx="2">
                  <c:v>400</c:v>
                </c:pt>
                <c:pt idx="3">
                  <c:v>460</c:v>
                </c:pt>
                <c:pt idx="4">
                  <c:v>520</c:v>
                </c:pt>
                <c:pt idx="5">
                  <c:v>580</c:v>
                </c:pt>
                <c:pt idx="6">
                  <c:v>700</c:v>
                </c:pt>
              </c:numCache>
            </c:numRef>
          </c:xVal>
          <c:yVal>
            <c:numRef>
              <c:f>'Calibration Manometer'!$N$12:$N$18</c:f>
            </c:numRef>
          </c:yVal>
          <c:smooth val="0"/>
          <c:extLst>
            <c:ext xmlns:c16="http://schemas.microsoft.com/office/drawing/2014/chart" uri="{C3380CC4-5D6E-409C-BE32-E72D297353CC}">
              <c16:uniqueId val="{00000000-26EB-DB40-A8BC-9F0F7E201716}"/>
            </c:ext>
          </c:extLst>
        </c:ser>
        <c:ser>
          <c:idx val="1"/>
          <c:order val="1"/>
          <c:tx>
            <c:strRef>
              <c:f>'Calibration Manometer'!$O$11</c:f>
              <c:strCache>
                <c:ptCount val="1"/>
                <c:pt idx="0">
                  <c:v>ΔP [Pa]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Manometer'!$M$12:$M$18</c:f>
              <c:numCache>
                <c:formatCode>General</c:formatCode>
                <c:ptCount val="7"/>
                <c:pt idx="0">
                  <c:v>260</c:v>
                </c:pt>
                <c:pt idx="1">
                  <c:v>340</c:v>
                </c:pt>
                <c:pt idx="2">
                  <c:v>400</c:v>
                </c:pt>
                <c:pt idx="3">
                  <c:v>460</c:v>
                </c:pt>
                <c:pt idx="4">
                  <c:v>520</c:v>
                </c:pt>
                <c:pt idx="5">
                  <c:v>580</c:v>
                </c:pt>
                <c:pt idx="6">
                  <c:v>700</c:v>
                </c:pt>
              </c:numCache>
            </c:numRef>
          </c:xVal>
          <c:yVal>
            <c:numRef>
              <c:f>'Calibration Manometer'!$O$12:$O$18</c:f>
              <c:numCache>
                <c:formatCode>General</c:formatCode>
                <c:ptCount val="7"/>
                <c:pt idx="0">
                  <c:v>280</c:v>
                </c:pt>
                <c:pt idx="1">
                  <c:v>287</c:v>
                </c:pt>
                <c:pt idx="2">
                  <c:v>294</c:v>
                </c:pt>
                <c:pt idx="3">
                  <c:v>298</c:v>
                </c:pt>
                <c:pt idx="4">
                  <c:v>295</c:v>
                </c:pt>
                <c:pt idx="5">
                  <c:v>289</c:v>
                </c:pt>
                <c:pt idx="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DB40-A8BC-9F0F7E20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6640"/>
        <c:axId val="48263685"/>
      </c:scatterChart>
      <c:valAx>
        <c:axId val="6374664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wrap="square"/>
              <a:lstStyle/>
              <a:p>
                <a:pPr>
                  <a:defRPr lang="en-GB" sz="1000" b="1" i="0" u="none" baseline="0">
                    <a:solidFill>
                      <a:srgbClr val="333333"/>
                    </a:solidFill>
                    <a:latin typeface="Times New Roman"/>
                    <a:ea typeface="Times New Roman"/>
                  </a:defRPr>
                </a:pPr>
                <a:r>
                  <a:rPr lang="en-GB"/>
                  <a:t>Δds [mm] </a:t>
                </a:r>
              </a:p>
            </c:rich>
          </c:tx>
          <c:layout>
            <c:manualLayout>
              <c:xMode val="edge"/>
              <c:yMode val="edge"/>
              <c:x val="0.47575000000000001"/>
              <c:y val="0.92725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wrap="square"/>
          <a:lstStyle/>
          <a:p>
            <a:pPr>
              <a:defRPr lang="en-US" sz="900" b="0" i="0" u="non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HU"/>
          </a:p>
        </c:txPr>
        <c:crossAx val="48263685"/>
        <c:crosses val="autoZero"/>
        <c:crossBetween val="midCat"/>
      </c:valAx>
      <c:valAx>
        <c:axId val="4826368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>
                  <a:defRPr/>
                </a:pPr>
                <a:r>
                  <a:rPr lang="el-GR" sz="1000" b="1" i="0" u="none" baseline="0">
                    <a:solidFill>
                      <a:srgbClr val="333333"/>
                    </a:solidFill>
                  </a:rPr>
                  <a:t>Δ</a:t>
                </a:r>
                <a:r>
                  <a:rPr lang="en-US" sz="1000" b="1" i="0" u="none" baseline="0">
                    <a:solidFill>
                      <a:srgbClr val="333333"/>
                    </a:solidFill>
                  </a:rPr>
                  <a:t>P [Pa]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5E-2"/>
              <c:y val="0.4625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6374664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>
              <a:defRPr lang="en-GB" sz="1400" b="1" i="0" u="none" baseline="0">
                <a:solidFill>
                  <a:srgbClr val="339966"/>
                </a:solidFill>
                <a:latin typeface="Times New Roman"/>
                <a:ea typeface="Times New Roman"/>
              </a:defRPr>
            </a:pPr>
            <a:r>
              <a:rPr lang="en-GB"/>
              <a:t>30° Diffuser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550000000000001"/>
          <c:y val="0.1225"/>
          <c:w val="0.84650000000000003"/>
          <c:h val="0.72138942964232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'Calibration Manometer'!$Q$11</c:f>
              <c:strCache>
                <c:ptCount val="1"/>
                <c:pt idx="0">
                  <c:v>ΔP [Pa]</c:v>
                </c:pt>
              </c:strCache>
            </c:strRef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xVal>
            <c:numRef>
              <c:f>'Calibration Manometer'!$P$12:$P$18</c:f>
              <c:numCache>
                <c:formatCode>General</c:formatCode>
                <c:ptCount val="7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300</c:v>
                </c:pt>
                <c:pt idx="4">
                  <c:v>360</c:v>
                </c:pt>
                <c:pt idx="5">
                  <c:v>420</c:v>
                </c:pt>
                <c:pt idx="6">
                  <c:v>540</c:v>
                </c:pt>
              </c:numCache>
            </c:numRef>
          </c:xVal>
          <c:yVal>
            <c:numRef>
              <c:f>'Calibration Manometer'!$Q$12:$Q$18</c:f>
              <c:numCache>
                <c:formatCode>General</c:formatCode>
                <c:ptCount val="7"/>
                <c:pt idx="0">
                  <c:v>160.19999999999999</c:v>
                </c:pt>
                <c:pt idx="1">
                  <c:v>222.73</c:v>
                </c:pt>
                <c:pt idx="2">
                  <c:v>245.64</c:v>
                </c:pt>
                <c:pt idx="3">
                  <c:v>250.9</c:v>
                </c:pt>
                <c:pt idx="4">
                  <c:v>260</c:v>
                </c:pt>
                <c:pt idx="5">
                  <c:v>242.8</c:v>
                </c:pt>
                <c:pt idx="6">
                  <c:v>256.48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2-C34D-A4C6-0BD481340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7260"/>
        <c:axId val="53160448"/>
      </c:scatterChart>
      <c:valAx>
        <c:axId val="22617260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wrap="square"/>
              <a:lstStyle/>
              <a:p>
                <a:pPr>
                  <a:defRPr/>
                </a:pPr>
                <a:r>
                  <a:rPr lang="el-GR" sz="1000" b="1" i="0" u="none" baseline="0">
                    <a:solidFill>
                      <a:srgbClr val="333333"/>
                    </a:solidFill>
                  </a:rPr>
                  <a:t>Δ</a:t>
                </a:r>
                <a:r>
                  <a:rPr lang="en-US" sz="1000" b="1" i="0" u="none" baseline="0">
                    <a:solidFill>
                      <a:srgbClr val="333333"/>
                    </a:solidFill>
                  </a:rPr>
                  <a:t>ds [mm]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8375000000000001"/>
              <c:y val="0.9030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wrap="square"/>
          <a:lstStyle/>
          <a:p>
            <a:pPr>
              <a:defRPr lang="en-US" sz="900" b="0" i="0" u="non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HU"/>
          </a:p>
        </c:txPr>
        <c:crossAx val="53160448"/>
        <c:crosses val="autoZero"/>
        <c:crossBetween val="midCat"/>
      </c:valAx>
      <c:valAx>
        <c:axId val="5316044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wrap="square"/>
              <a:lstStyle/>
              <a:p>
                <a:pPr>
                  <a:defRPr/>
                </a:pPr>
                <a:r>
                  <a:rPr lang="el-GR" sz="1000" b="1" i="0" u="none" baseline="0">
                    <a:solidFill>
                      <a:srgbClr val="333333"/>
                    </a:solidFill>
                  </a:rPr>
                  <a:t>Δ</a:t>
                </a:r>
                <a:r>
                  <a:rPr lang="en-US" sz="1000" b="1" i="0" u="none" baseline="0">
                    <a:solidFill>
                      <a:srgbClr val="333333"/>
                    </a:solidFill>
                  </a:rPr>
                  <a:t>P [Pa]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E-2"/>
              <c:y val="0.4640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261726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000" b="1" i="0" u="none" kern="1200" spc="0" baseline="0">
                <a:solidFill>
                  <a:srgbClr val="333399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EMB-001 DIGITAL MANOMETER CALIBRATION CHART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00000000000004E-2"/>
                  <c:y val="-2.5000000000000001E-4"/>
                </c:manualLayout>
              </c:layout>
              <c:numFmt formatCode="General" sourceLinked="0"/>
              <c:spPr>
                <a:noFill/>
                <a:ln w="635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>
                    <a:defRPr lang="en-US" sz="900" b="0" i="0" u="non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HU"/>
                </a:p>
              </c:txPr>
            </c:trendlineLbl>
          </c:trendline>
          <c:xVal>
            <c:numRef>
              <c:f>'Calibration Manometer'!$C$4:$C$11</c:f>
              <c:numCache>
                <c:formatCode>0.00</c:formatCode>
                <c:ptCount val="8"/>
                <c:pt idx="0">
                  <c:v>0</c:v>
                </c:pt>
                <c:pt idx="1">
                  <c:v>100.9</c:v>
                </c:pt>
                <c:pt idx="2">
                  <c:v>198.9</c:v>
                </c:pt>
                <c:pt idx="3">
                  <c:v>232.3</c:v>
                </c:pt>
                <c:pt idx="4">
                  <c:v>291.5</c:v>
                </c:pt>
                <c:pt idx="5">
                  <c:v>338.55</c:v>
                </c:pt>
                <c:pt idx="6">
                  <c:v>376.12</c:v>
                </c:pt>
                <c:pt idx="7">
                  <c:v>415.67</c:v>
                </c:pt>
              </c:numCache>
            </c:numRef>
          </c:xVal>
          <c:yVal>
            <c:numRef>
              <c:f>'Calibration Manometer'!$D$4:$D$11</c:f>
              <c:numCache>
                <c:formatCode>0.00</c:formatCode>
                <c:ptCount val="8"/>
                <c:pt idx="0">
                  <c:v>0</c:v>
                </c:pt>
                <c:pt idx="1">
                  <c:v>100.0453638</c:v>
                </c:pt>
                <c:pt idx="2">
                  <c:v>201.07156450000002</c:v>
                </c:pt>
                <c:pt idx="3">
                  <c:v>235.40085600000003</c:v>
                </c:pt>
                <c:pt idx="4">
                  <c:v>294.25107000000003</c:v>
                </c:pt>
                <c:pt idx="5">
                  <c:v>343.29291500000005</c:v>
                </c:pt>
                <c:pt idx="6">
                  <c:v>382.52639100000005</c:v>
                </c:pt>
                <c:pt idx="7">
                  <c:v>421.75986700000004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B-DB48-8206-768850EA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0544"/>
        <c:axId val="65635153"/>
      </c:scatterChart>
      <c:valAx>
        <c:axId val="40700544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1" i="0" u="non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 betz [Pa]</a:t>
                </a:r>
              </a:p>
            </c:rich>
          </c:tx>
          <c:layout>
            <c:manualLayout>
              <c:xMode val="edge"/>
              <c:yMode val="edge"/>
              <c:x val="0.47749999999999998"/>
              <c:y val="0.88649999999999995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65635153"/>
        <c:crosses val="autoZero"/>
        <c:crossBetween val="midCat"/>
      </c:valAx>
      <c:valAx>
        <c:axId val="65635153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1" i="0" u="non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 dig [Pa]</a:t>
                </a:r>
              </a:p>
            </c:rich>
          </c:tx>
          <c:overlay val="0"/>
          <c:spPr>
            <a:noFill/>
            <a:ln w="6350"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40700544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prstDash val="sysDash"/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4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Pressure Difference - Downstream Distance for the </a:t>
            </a:r>
          </a:p>
          <a:p>
            <a:pPr>
              <a:defRPr/>
            </a:pPr>
            <a:r>
              <a:rPr lang="en-US" sz="14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Diffusers Diagram </a:t>
            </a:r>
          </a:p>
        </c:rich>
      </c:tx>
      <c:layout>
        <c:manualLayout>
          <c:xMode val="edge"/>
          <c:yMode val="edge"/>
          <c:x val="0.22275"/>
          <c:y val="1.175E-2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5"/>
          <c:y val="0.13500000000000001"/>
          <c:w val="0.86050000000000004"/>
          <c:h val="0.73499999999999999"/>
        </c:manualLayout>
      </c:layout>
      <c:scatterChart>
        <c:scatterStyle val="lineMarker"/>
        <c:varyColors val="0"/>
        <c:ser>
          <c:idx val="0"/>
          <c:order val="0"/>
          <c:tx>
            <c:v>30°-Diffusor</c:v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 cap="flat" cmpd="sng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chemeClr val="accent6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C8D-6147-A5AB-B7AE91D3C15E}"/>
              </c:ext>
            </c:extLst>
          </c:dPt>
          <c:xVal>
            <c:numRef>
              <c:f>'Calibration Inlet Orifice'!$M$9:$M$15</c:f>
              <c:numCache>
                <c:formatCode>General</c:formatCode>
                <c:ptCount val="7"/>
                <c:pt idx="0">
                  <c:v>80</c:v>
                </c:pt>
                <c:pt idx="1">
                  <c:v>160</c:v>
                </c:pt>
                <c:pt idx="2">
                  <c:v>240</c:v>
                </c:pt>
                <c:pt idx="3">
                  <c:v>300</c:v>
                </c:pt>
                <c:pt idx="4">
                  <c:v>360</c:v>
                </c:pt>
                <c:pt idx="5">
                  <c:v>420</c:v>
                </c:pt>
                <c:pt idx="6">
                  <c:v>540</c:v>
                </c:pt>
              </c:numCache>
            </c:numRef>
          </c:xVal>
          <c:yVal>
            <c:numRef>
              <c:f>'Calibration Inlet Orifice'!$P$9:$P$15</c:f>
              <c:numCache>
                <c:formatCode>0.00</c:formatCode>
                <c:ptCount val="7"/>
                <c:pt idx="0">
                  <c:v>160.19999999999999</c:v>
                </c:pt>
                <c:pt idx="1">
                  <c:v>222.73</c:v>
                </c:pt>
                <c:pt idx="2">
                  <c:v>245.64</c:v>
                </c:pt>
                <c:pt idx="3">
                  <c:v>250.9</c:v>
                </c:pt>
                <c:pt idx="4">
                  <c:v>260</c:v>
                </c:pt>
                <c:pt idx="5">
                  <c:v>242.8</c:v>
                </c:pt>
                <c:pt idx="6">
                  <c:v>256.48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D-6147-A5AB-B7AE91D3C15E}"/>
            </c:ext>
          </c:extLst>
        </c:ser>
        <c:ser>
          <c:idx val="1"/>
          <c:order val="1"/>
          <c:tx>
            <c:v>180°-Diffusor</c:v>
          </c:tx>
          <c:spPr>
            <a:ln w="19050" cap="rnd" cmpd="sng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 cap="flat" cmpd="sng">
                  <a:solidFill>
                    <a:schemeClr val="accent1"/>
                  </a:solidFill>
                </a:ln>
                <a:effectLst>
                  <a:outerShdw blurRad="50800" dist="50800" dir="5400000" algn="ctr" rotWithShape="0">
                    <a:schemeClr val="bg1"/>
                  </a:outerShdw>
                </a:effectLst>
              </c:spPr>
            </c:marker>
            <c:bubble3D val="0"/>
            <c:spPr>
              <a:ln w="19050" cap="rnd" cmpd="sng">
                <a:solidFill>
                  <a:schemeClr val="accent1"/>
                </a:solidFill>
                <a:round/>
              </a:ln>
              <a:effectLst>
                <a:outerShdw dist="35921" dir="2700000" algn="br">
                  <a:prstClr val="black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8D-6147-A5AB-B7AE91D3C15E}"/>
              </c:ext>
            </c:extLst>
          </c:dPt>
          <c:xVal>
            <c:numRef>
              <c:f>'Calibration Inlet Orifice'!$M$23:$M$29</c:f>
              <c:numCache>
                <c:formatCode>General</c:formatCode>
                <c:ptCount val="7"/>
                <c:pt idx="0">
                  <c:v>110</c:v>
                </c:pt>
                <c:pt idx="1">
                  <c:v>230</c:v>
                </c:pt>
                <c:pt idx="2">
                  <c:v>350</c:v>
                </c:pt>
                <c:pt idx="3">
                  <c:v>410</c:v>
                </c:pt>
                <c:pt idx="4">
                  <c:v>470</c:v>
                </c:pt>
                <c:pt idx="5">
                  <c:v>530</c:v>
                </c:pt>
                <c:pt idx="6">
                  <c:v>650</c:v>
                </c:pt>
              </c:numCache>
            </c:numRef>
          </c:xVal>
          <c:yVal>
            <c:numRef>
              <c:f>'Calibration Inlet Orifice'!$P$23:$P$29</c:f>
              <c:numCache>
                <c:formatCode>General</c:formatCode>
                <c:ptCount val="7"/>
                <c:pt idx="0">
                  <c:v>-30.6</c:v>
                </c:pt>
                <c:pt idx="1">
                  <c:v>29.23</c:v>
                </c:pt>
                <c:pt idx="2">
                  <c:v>80.34</c:v>
                </c:pt>
                <c:pt idx="3">
                  <c:v>105.24</c:v>
                </c:pt>
                <c:pt idx="4">
                  <c:v>110.5</c:v>
                </c:pt>
                <c:pt idx="5">
                  <c:v>103.97</c:v>
                </c:pt>
                <c:pt idx="6">
                  <c:v>107.2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8D-6147-A5AB-B7AE91D3C15E}"/>
            </c:ext>
          </c:extLst>
        </c:ser>
        <c:ser>
          <c:idx val="2"/>
          <c:order val="2"/>
          <c:tx>
            <c:v>6°-Diffusor</c:v>
          </c:tx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bg2">
                    <a:lumMod val="50000"/>
                  </a:schemeClr>
                </a:solidFill>
                <a:ln w="9525" cap="flat" cmpd="sng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chemeClr val="accent2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6C8D-6147-A5AB-B7AE91D3C15E}"/>
              </c:ext>
            </c:extLst>
          </c:dPt>
          <c:xVal>
            <c:numRef>
              <c:f>'Calibration Inlet Orifice'!$M$37:$M$43</c:f>
              <c:numCache>
                <c:formatCode>General</c:formatCode>
                <c:ptCount val="7"/>
                <c:pt idx="0">
                  <c:v>260</c:v>
                </c:pt>
                <c:pt idx="1">
                  <c:v>340</c:v>
                </c:pt>
                <c:pt idx="2">
                  <c:v>400</c:v>
                </c:pt>
                <c:pt idx="3">
                  <c:v>460</c:v>
                </c:pt>
                <c:pt idx="4">
                  <c:v>520</c:v>
                </c:pt>
                <c:pt idx="5">
                  <c:v>580</c:v>
                </c:pt>
                <c:pt idx="6">
                  <c:v>700</c:v>
                </c:pt>
              </c:numCache>
            </c:numRef>
          </c:xVal>
          <c:yVal>
            <c:numRef>
              <c:f>'Calibration Inlet Orifice'!$P$37:$P$43</c:f>
              <c:numCache>
                <c:formatCode>General</c:formatCode>
                <c:ptCount val="7"/>
                <c:pt idx="0">
                  <c:v>280</c:v>
                </c:pt>
                <c:pt idx="1">
                  <c:v>287</c:v>
                </c:pt>
                <c:pt idx="2">
                  <c:v>294</c:v>
                </c:pt>
                <c:pt idx="3">
                  <c:v>298</c:v>
                </c:pt>
                <c:pt idx="4">
                  <c:v>295</c:v>
                </c:pt>
                <c:pt idx="5">
                  <c:v>289</c:v>
                </c:pt>
                <c:pt idx="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8D-6147-A5AB-B7AE91D3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0017"/>
        <c:axId val="17480909"/>
      </c:scatterChart>
      <c:valAx>
        <c:axId val="20520017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1" i="0" u="non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Δds </a:t>
                </a:r>
                <a:r>
                  <a:rPr lang="en-US" sz="1000" b="1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[mm]  </a:t>
                </a:r>
              </a:p>
            </c:rich>
          </c:tx>
          <c:layout>
            <c:manualLayout>
              <c:xMode val="edge"/>
              <c:yMode val="edge"/>
              <c:x val="0.50924999999999998"/>
              <c:y val="0.89649999999999996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out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7480909"/>
        <c:crosses val="autoZero"/>
        <c:crossBetween val="midCat"/>
        <c:majorUnit val="50"/>
      </c:valAx>
      <c:valAx>
        <c:axId val="1748090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1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Δp in [Pa]  </a:t>
                </a:r>
              </a:p>
            </c:rich>
          </c:tx>
          <c:layout>
            <c:manualLayout>
              <c:xMode val="edge"/>
              <c:yMode val="edge"/>
              <c:x val="2.6249999999999999E-2"/>
              <c:y val="0.38374999999999998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0520017"/>
        <c:crosses val="autoZero"/>
        <c:crossBetween val="midCat"/>
        <c:majorUnit val="25"/>
      </c:valAx>
      <c:spPr>
        <a:noFill/>
        <a:ln w="63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Efficiency with Absolute Error Diagram (δ</a:t>
            </a:r>
            <a:r>
              <a:rPr lang="en-US" sz="1600" b="1" i="0" u="none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η)</a:t>
            </a:r>
          </a:p>
        </c:rich>
      </c:tx>
      <c:layout>
        <c:manualLayout>
          <c:xMode val="edge"/>
          <c:yMode val="edge"/>
          <c:x val="0.188"/>
          <c:y val="5.0999999999999997E-2"/>
        </c:manualLayout>
      </c:layout>
      <c:overlay val="0"/>
      <c:spPr>
        <a:noFill/>
        <a:ln w="6350"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"/>
          <c:y val="0.17874999999999999"/>
          <c:w val="0.85099999999999998"/>
          <c:h val="0.6885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2"/>
                </a:solidFill>
                <a:ln w="9525" cap="flat" cmpd="sng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chemeClr val="bg1"/>
                </a:solidFill>
                <a:prstDash val="sysDot"/>
                <a:round/>
              </a:ln>
            </c:spPr>
            <c:extLst>
              <c:ext xmlns:c16="http://schemas.microsoft.com/office/drawing/2014/chart" uri="{C3380CC4-5D6E-409C-BE32-E72D297353CC}">
                <c16:uniqueId val="{00000001-A062-9C4B-B150-88C341CD9C85}"/>
              </c:ext>
            </c:extLst>
          </c:dPt>
          <c:dPt>
            <c:idx val="1"/>
            <c:marker>
              <c:spPr>
                <a:solidFill>
                  <a:schemeClr val="accent6"/>
                </a:solidFill>
                <a:ln w="9525" cap="flat" cmpd="sng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chemeClr val="bg1"/>
                </a:solidFill>
                <a:prstDash val="sysDot"/>
                <a:round/>
              </a:ln>
            </c:spPr>
            <c:extLst>
              <c:ext xmlns:c16="http://schemas.microsoft.com/office/drawing/2014/chart" uri="{C3380CC4-5D6E-409C-BE32-E72D297353CC}">
                <c16:uniqueId val="{00000003-A062-9C4B-B150-88C341CD9C85}"/>
              </c:ext>
            </c:extLst>
          </c:dPt>
          <c:trendline>
            <c:spPr>
              <a:ln w="1905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stdErr"/>
            <c:noEndCap val="0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'Calibration Inlet Orifice'!$U$63:$U$65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180</c:v>
                </c:pt>
              </c:numCache>
            </c:numRef>
          </c:xVal>
          <c:yVal>
            <c:numRef>
              <c:f>'Calibration Inlet Orifice'!$V$63:$V$65</c:f>
              <c:numCache>
                <c:formatCode>General</c:formatCode>
                <c:ptCount val="3"/>
                <c:pt idx="0" formatCode="0.00">
                  <c:v>2.2200000000000001E-2</c:v>
                </c:pt>
                <c:pt idx="1">
                  <c:v>1.8499999999999999E-2</c:v>
                </c:pt>
                <c:pt idx="2">
                  <c:v>1.04E-2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62-9C4B-B150-88C341CD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2742"/>
        <c:axId val="12087976"/>
      </c:scatterChart>
      <c:valAx>
        <c:axId val="23582742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0" i="0" u="non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 </a:t>
                </a:r>
                <a:r>
                  <a:rPr lang="en-US" sz="1000" b="1" i="0" u="non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Diffuser Angle [°]</a:t>
                </a:r>
              </a:p>
            </c:rich>
          </c:tx>
          <c:layout>
            <c:manualLayout>
              <c:xMode val="edge"/>
              <c:yMode val="edge"/>
              <c:x val="0.42799999999999999"/>
              <c:y val="0.93300000000000005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2087976"/>
        <c:crosses val="autoZero"/>
        <c:crossBetween val="midCat"/>
      </c:valAx>
      <c:valAx>
        <c:axId val="12087976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1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Efficiency with Absolute Error (δ</a:t>
                </a:r>
                <a:r>
                  <a:rPr lang="en-US" sz="1000" b="1" i="0" u="none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η) [%]</a:t>
                </a:r>
              </a:p>
            </c:rich>
          </c:tx>
          <c:layout>
            <c:manualLayout>
              <c:xMode val="edge"/>
              <c:yMode val="edge"/>
              <c:x val="1.7250000000000001E-2"/>
              <c:y val="0.22675000000000001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3582742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/>
            </a:pP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Efficiency Diagram (</a:t>
            </a:r>
            <a:r>
              <a:rPr lang="en-US" sz="1600" b="1" i="0" u="none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η)</a:t>
            </a:r>
            <a:r>
              <a:rPr lang="en-US" sz="1600" b="1" i="0" u="none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pPr>
                <a:solidFill>
                  <a:schemeClr val="accent2"/>
                </a:solidFill>
                <a:ln w="9525" cap="flat" cmpd="sng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C-764F-A15A-DBFFF582D21B}"/>
              </c:ext>
            </c:extLst>
          </c:dPt>
          <c:dPt>
            <c:idx val="1"/>
            <c:bubble3D val="0"/>
            <c:spPr>
              <a:ln w="19050" cap="rnd" cmpd="sng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C-764F-A15A-DBFFF582D21B}"/>
              </c:ext>
            </c:extLst>
          </c:dPt>
          <c:dPt>
            <c:idx val="2"/>
            <c:marker>
              <c:spPr>
                <a:solidFill>
                  <a:schemeClr val="accent1"/>
                </a:solidFill>
                <a:ln w="9525" cap="flat" cmpd="sng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 cmpd="sng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C-764F-A15A-DBFFF582D21B}"/>
              </c:ext>
            </c:extLst>
          </c:dPt>
          <c:trendline>
            <c:spPr>
              <a:ln w="1905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'Calibration Inlet Orifice'!$U$43:$U$45</c:f>
              <c:numCache>
                <c:formatCode>General</c:formatCode>
                <c:ptCount val="3"/>
                <c:pt idx="0">
                  <c:v>6</c:v>
                </c:pt>
                <c:pt idx="1">
                  <c:v>30</c:v>
                </c:pt>
                <c:pt idx="2">
                  <c:v>180</c:v>
                </c:pt>
              </c:numCache>
            </c:numRef>
          </c:xVal>
          <c:yVal>
            <c:numRef>
              <c:f>'Calibration Inlet Orifice'!$V$43:$V$45</c:f>
              <c:numCache>
                <c:formatCode>General</c:formatCode>
                <c:ptCount val="3"/>
                <c:pt idx="0">
                  <c:v>0.88500000000000001</c:v>
                </c:pt>
                <c:pt idx="1">
                  <c:v>0.73299999999999998</c:v>
                </c:pt>
                <c:pt idx="2">
                  <c:v>0.34599999999999997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AC-764F-A15A-DBFFF582D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407"/>
        <c:axId val="11508789"/>
      </c:scatterChart>
      <c:valAx>
        <c:axId val="20280407"/>
        <c:scaling>
          <c:orientation val="minMax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1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Diffuser Angle [°]</a:t>
                </a:r>
              </a:p>
            </c:rich>
          </c:tx>
          <c:layout>
            <c:manualLayout>
              <c:xMode val="edge"/>
              <c:yMode val="edge"/>
              <c:x val="0.44974999999999998"/>
              <c:y val="0.92074999999999996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11508789"/>
        <c:crosses val="autoZero"/>
        <c:crossBetween val="midCat"/>
      </c:valAx>
      <c:valAx>
        <c:axId val="1150878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/>
                </a:pPr>
                <a:r>
                  <a:rPr lang="en-US" sz="1000" b="1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</a:rPr>
                  <a:t>Efficiency (η) [%]</a:t>
                </a:r>
              </a:p>
            </c:rich>
          </c:tx>
          <c:layout>
            <c:manualLayout>
              <c:xMode val="edge"/>
              <c:yMode val="edge"/>
              <c:x val="2.1999999999999999E-2"/>
              <c:y val="0.3715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U"/>
          </a:p>
        </c:txPr>
        <c:crossAx val="20280407"/>
        <c:crosses val="autoZero"/>
        <c:crossBetween val="midCat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12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chart" Target="../charts/chart6.xml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chart" Target="../charts/chart7.xml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33</xdr:row>
      <xdr:rowOff>12700</xdr:rowOff>
    </xdr:from>
    <xdr:to>
      <xdr:col>12</xdr:col>
      <xdr:colOff>101600</xdr:colOff>
      <xdr:row>50</xdr:row>
      <xdr:rowOff>12700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9AD69641-1F07-45D9-9351-42020DB8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469900</xdr:colOff>
      <xdr:row>33</xdr:row>
      <xdr:rowOff>12699</xdr:rowOff>
    </xdr:from>
    <xdr:to>
      <xdr:col>16</xdr:col>
      <xdr:colOff>1168400</xdr:colOff>
      <xdr:row>50</xdr:row>
      <xdr:rowOff>33866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DD60E621-E1BF-49C9-A824-186867678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165100</xdr:colOff>
      <xdr:row>33</xdr:row>
      <xdr:rowOff>12700</xdr:rowOff>
    </xdr:from>
    <xdr:to>
      <xdr:col>24</xdr:col>
      <xdr:colOff>266700</xdr:colOff>
      <xdr:row>50</xdr:row>
      <xdr:rowOff>0</xdr:rowOff>
    </xdr:to>
    <xdr:graphicFrame macro="">
      <xdr:nvGraphicFramePr>
        <xdr:cNvPr id="4" name="Chart 20">
          <a:extLst>
            <a:ext uri="{FF2B5EF4-FFF2-40B4-BE49-F238E27FC236}">
              <a16:creationId xmlns:a16="http://schemas.microsoft.com/office/drawing/2014/main" id="{4F42228F-1342-450D-AE08-2D3C53864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802336</xdr:colOff>
      <xdr:row>12</xdr:row>
      <xdr:rowOff>197687</xdr:rowOff>
    </xdr:from>
    <xdr:to>
      <xdr:col>5</xdr:col>
      <xdr:colOff>0</xdr:colOff>
      <xdr:row>27</xdr:row>
      <xdr:rowOff>16932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C8FBB8E4-9962-491F-A52A-C9B91183A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383241</xdr:colOff>
      <xdr:row>5</xdr:row>
      <xdr:rowOff>128494</xdr:rowOff>
    </xdr:from>
    <xdr:to>
      <xdr:col>2</xdr:col>
      <xdr:colOff>2070100</xdr:colOff>
      <xdr:row>5</xdr:row>
      <xdr:rowOff>580063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1EE2332A-B7E6-4124-8B33-37C824B53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1619250"/>
          <a:ext cx="1685925" cy="447675"/>
        </a:xfrm>
        <a:prstGeom prst="rect">
          <a:avLst/>
        </a:prstGeom>
      </xdr:spPr>
    </xdr:pic>
    <xdr:clientData/>
  </xdr:twoCellAnchor>
  <xdr:twoCellAnchor editAs="oneCell">
    <xdr:from>
      <xdr:col>3</xdr:col>
      <xdr:colOff>584200</xdr:colOff>
      <xdr:row>5</xdr:row>
      <xdr:rowOff>51029</xdr:rowOff>
    </xdr:from>
    <xdr:to>
      <xdr:col>3</xdr:col>
      <xdr:colOff>1485899</xdr:colOff>
      <xdr:row>5</xdr:row>
      <xdr:rowOff>590605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5B00614-715C-448A-8B3F-B6A54943E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543050"/>
          <a:ext cx="90487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600076</xdr:colOff>
      <xdr:row>5</xdr:row>
      <xdr:rowOff>63501</xdr:rowOff>
    </xdr:from>
    <xdr:to>
      <xdr:col>4</xdr:col>
      <xdr:colOff>1531234</xdr:colOff>
      <xdr:row>5</xdr:row>
      <xdr:rowOff>558801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36049D7-98FB-4BFF-87BE-1C136AB0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67875" y="1562100"/>
          <a:ext cx="933450" cy="495300"/>
        </a:xfrm>
        <a:prstGeom prst="rect">
          <a:avLst/>
        </a:prstGeom>
      </xdr:spPr>
    </xdr:pic>
    <xdr:clientData/>
  </xdr:twoCellAnchor>
  <xdr:twoCellAnchor editAs="oneCell">
    <xdr:from>
      <xdr:col>5</xdr:col>
      <xdr:colOff>501650</xdr:colOff>
      <xdr:row>5</xdr:row>
      <xdr:rowOff>38100</xdr:rowOff>
    </xdr:from>
    <xdr:to>
      <xdr:col>5</xdr:col>
      <xdr:colOff>1499743</xdr:colOff>
      <xdr:row>5</xdr:row>
      <xdr:rowOff>579531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id="{6BBC8C79-C206-4B76-BA5F-7E4369D0B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91950" y="1533525"/>
          <a:ext cx="100012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5</xdr:row>
      <xdr:rowOff>22225</xdr:rowOff>
    </xdr:from>
    <xdr:to>
      <xdr:col>6</xdr:col>
      <xdr:colOff>1544390</xdr:colOff>
      <xdr:row>5</xdr:row>
      <xdr:rowOff>563656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id="{A3C6CB23-CA9D-4461-BFE9-05C5D501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4600" y="1514475"/>
          <a:ext cx="1123950" cy="542925"/>
        </a:xfrm>
        <a:prstGeom prst="rect">
          <a:avLst/>
        </a:prstGeom>
      </xdr:spPr>
    </xdr:pic>
    <xdr:clientData/>
  </xdr:twoCellAnchor>
  <xdr:twoCellAnchor editAs="oneCell">
    <xdr:from>
      <xdr:col>7</xdr:col>
      <xdr:colOff>87591</xdr:colOff>
      <xdr:row>5</xdr:row>
      <xdr:rowOff>77694</xdr:rowOff>
    </xdr:from>
    <xdr:to>
      <xdr:col>7</xdr:col>
      <xdr:colOff>2273300</xdr:colOff>
      <xdr:row>5</xdr:row>
      <xdr:rowOff>524933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548EB847-2133-4DA8-84C1-8811700C3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82900" y="1571625"/>
          <a:ext cx="2181225" cy="447675"/>
        </a:xfrm>
        <a:prstGeom prst="rect">
          <a:avLst/>
        </a:prstGeom>
      </xdr:spPr>
    </xdr:pic>
    <xdr:clientData/>
  </xdr:twoCellAnchor>
  <xdr:twoCellAnchor editAs="oneCell">
    <xdr:from>
      <xdr:col>9</xdr:col>
      <xdr:colOff>605119</xdr:colOff>
      <xdr:row>5</xdr:row>
      <xdr:rowOff>56031</xdr:rowOff>
    </xdr:from>
    <xdr:to>
      <xdr:col>9</xdr:col>
      <xdr:colOff>1854200</xdr:colOff>
      <xdr:row>5</xdr:row>
      <xdr:rowOff>515302</xdr:rowOff>
    </xdr:to>
    <xdr:pic>
      <xdr:nvPicPr>
        <xdr:cNvPr id="8" name="Picture 11">
          <a:extLst>
            <a:ext uri="{FF2B5EF4-FFF2-40B4-BE49-F238E27FC236}">
              <a16:creationId xmlns:a16="http://schemas.microsoft.com/office/drawing/2014/main" id="{CF0F3428-4ABA-4590-9FA3-8040C4FC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859625" y="1552575"/>
          <a:ext cx="1247775" cy="457200"/>
        </a:xfrm>
        <a:prstGeom prst="rect">
          <a:avLst/>
        </a:prstGeom>
      </xdr:spPr>
    </xdr:pic>
    <xdr:clientData/>
  </xdr:twoCellAnchor>
  <xdr:twoCellAnchor editAs="oneCell">
    <xdr:from>
      <xdr:col>17</xdr:col>
      <xdr:colOff>245784</xdr:colOff>
      <xdr:row>8</xdr:row>
      <xdr:rowOff>21913</xdr:rowOff>
    </xdr:from>
    <xdr:to>
      <xdr:col>18</xdr:col>
      <xdr:colOff>722607</xdr:colOff>
      <xdr:row>10</xdr:row>
      <xdr:rowOff>138388</xdr:rowOff>
    </xdr:to>
    <xdr:pic>
      <xdr:nvPicPr>
        <xdr:cNvPr id="9" name="Picture 14">
          <a:extLst>
            <a:ext uri="{FF2B5EF4-FFF2-40B4-BE49-F238E27FC236}">
              <a16:creationId xmlns:a16="http://schemas.microsoft.com/office/drawing/2014/main" id="{18F6B13E-6D72-4774-A756-B4832E3F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23375" y="3028950"/>
          <a:ext cx="1438275" cy="514350"/>
        </a:xfrm>
        <a:prstGeom prst="rect">
          <a:avLst/>
        </a:prstGeom>
      </xdr:spPr>
    </xdr:pic>
    <xdr:clientData/>
  </xdr:twoCellAnchor>
  <xdr:twoCellAnchor>
    <xdr:from>
      <xdr:col>20</xdr:col>
      <xdr:colOff>18851</xdr:colOff>
      <xdr:row>7</xdr:row>
      <xdr:rowOff>284359</xdr:rowOff>
    </xdr:from>
    <xdr:to>
      <xdr:col>22</xdr:col>
      <xdr:colOff>40377</xdr:colOff>
      <xdr:row>26</xdr:row>
      <xdr:rowOff>6789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E822AB8F-51CD-46A9-903E-C9522F839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42582</xdr:colOff>
      <xdr:row>11</xdr:row>
      <xdr:rowOff>82489</xdr:rowOff>
    </xdr:from>
    <xdr:to>
      <xdr:col>17</xdr:col>
      <xdr:colOff>837453</xdr:colOff>
      <xdr:row>13</xdr:row>
      <xdr:rowOff>139638</xdr:rowOff>
    </xdr:to>
    <xdr:pic>
      <xdr:nvPicPr>
        <xdr:cNvPr id="11" name="Picture 16">
          <a:extLst>
            <a:ext uri="{FF2B5EF4-FFF2-40B4-BE49-F238E27FC236}">
              <a16:creationId xmlns:a16="http://schemas.microsoft.com/office/drawing/2014/main" id="{4A26FC58-5388-4445-8311-FD27F7BED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413825" y="3695700"/>
          <a:ext cx="790575" cy="457200"/>
        </a:xfrm>
        <a:prstGeom prst="rect">
          <a:avLst/>
        </a:prstGeom>
      </xdr:spPr>
    </xdr:pic>
    <xdr:clientData/>
  </xdr:twoCellAnchor>
  <xdr:twoCellAnchor editAs="oneCell">
    <xdr:from>
      <xdr:col>18</xdr:col>
      <xdr:colOff>44077</xdr:colOff>
      <xdr:row>11</xdr:row>
      <xdr:rowOff>61757</xdr:rowOff>
    </xdr:from>
    <xdr:to>
      <xdr:col>19</xdr:col>
      <xdr:colOff>90020</xdr:colOff>
      <xdr:row>13</xdr:row>
      <xdr:rowOff>181201</xdr:rowOff>
    </xdr:to>
    <xdr:pic>
      <xdr:nvPicPr>
        <xdr:cNvPr id="12" name="Picture 17">
          <a:extLst>
            <a:ext uri="{FF2B5EF4-FFF2-40B4-BE49-F238E27FC236}">
              <a16:creationId xmlns:a16="http://schemas.microsoft.com/office/drawing/2014/main" id="{6949DC49-9F17-421D-BA24-933819D3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85375" y="3667125"/>
          <a:ext cx="1009650" cy="523875"/>
        </a:xfrm>
        <a:prstGeom prst="rect">
          <a:avLst/>
        </a:prstGeom>
      </xdr:spPr>
    </xdr:pic>
    <xdr:clientData/>
  </xdr:twoCellAnchor>
  <xdr:twoCellAnchor editAs="oneCell">
    <xdr:from>
      <xdr:col>17</xdr:col>
      <xdr:colOff>76450</xdr:colOff>
      <xdr:row>14</xdr:row>
      <xdr:rowOff>60760</xdr:rowOff>
    </xdr:from>
    <xdr:to>
      <xdr:col>19</xdr:col>
      <xdr:colOff>199715</xdr:colOff>
      <xdr:row>16</xdr:row>
      <xdr:rowOff>86548</xdr:rowOff>
    </xdr:to>
    <xdr:pic>
      <xdr:nvPicPr>
        <xdr:cNvPr id="13" name="Picture 18">
          <a:extLst>
            <a:ext uri="{FF2B5EF4-FFF2-40B4-BE49-F238E27FC236}">
              <a16:creationId xmlns:a16="http://schemas.microsoft.com/office/drawing/2014/main" id="{1BF97FDA-79C8-4D7F-8C0C-B7C2D0F94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451925" y="4267200"/>
          <a:ext cx="2047875" cy="428625"/>
        </a:xfrm>
        <a:prstGeom prst="rect">
          <a:avLst/>
        </a:prstGeom>
      </xdr:spPr>
    </xdr:pic>
    <xdr:clientData/>
  </xdr:twoCellAnchor>
  <xdr:twoCellAnchor editAs="oneCell">
    <xdr:from>
      <xdr:col>17</xdr:col>
      <xdr:colOff>337626</xdr:colOff>
      <xdr:row>17</xdr:row>
      <xdr:rowOff>55033</xdr:rowOff>
    </xdr:from>
    <xdr:to>
      <xdr:col>18</xdr:col>
      <xdr:colOff>735460</xdr:colOff>
      <xdr:row>20</xdr:row>
      <xdr:rowOff>110066</xdr:rowOff>
    </xdr:to>
    <xdr:pic>
      <xdr:nvPicPr>
        <xdr:cNvPr id="14" name="Picture 19">
          <a:extLst>
            <a:ext uri="{FF2B5EF4-FFF2-40B4-BE49-F238E27FC236}">
              <a16:creationId xmlns:a16="http://schemas.microsoft.com/office/drawing/2014/main" id="{4F3B053A-24E3-4BA4-AF3A-5E3E03EA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4709100" y="4867275"/>
          <a:ext cx="1362075" cy="657225"/>
        </a:xfrm>
        <a:prstGeom prst="rect">
          <a:avLst/>
        </a:prstGeom>
      </xdr:spPr>
    </xdr:pic>
    <xdr:clientData/>
  </xdr:twoCellAnchor>
  <xdr:twoCellAnchor editAs="oneCell">
    <xdr:from>
      <xdr:col>12</xdr:col>
      <xdr:colOff>370322</xdr:colOff>
      <xdr:row>64</xdr:row>
      <xdr:rowOff>50933</xdr:rowOff>
    </xdr:from>
    <xdr:to>
      <xdr:col>12</xdr:col>
      <xdr:colOff>1441727</xdr:colOff>
      <xdr:row>66</xdr:row>
      <xdr:rowOff>44608</xdr:rowOff>
    </xdr:to>
    <xdr:pic>
      <xdr:nvPicPr>
        <xdr:cNvPr id="15" name="Picture 28">
          <a:extLst>
            <a:ext uri="{FF2B5EF4-FFF2-40B4-BE49-F238E27FC236}">
              <a16:creationId xmlns:a16="http://schemas.microsoft.com/office/drawing/2014/main" id="{6AEE7CA9-D4A3-4966-B186-D88A84D7B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269825" y="15249525"/>
          <a:ext cx="1066800" cy="390525"/>
        </a:xfrm>
        <a:prstGeom prst="rect">
          <a:avLst/>
        </a:prstGeom>
      </xdr:spPr>
    </xdr:pic>
    <xdr:clientData/>
  </xdr:twoCellAnchor>
  <xdr:twoCellAnchor editAs="oneCell">
    <xdr:from>
      <xdr:col>7</xdr:col>
      <xdr:colOff>655414</xdr:colOff>
      <xdr:row>67</xdr:row>
      <xdr:rowOff>113977</xdr:rowOff>
    </xdr:from>
    <xdr:to>
      <xdr:col>9</xdr:col>
      <xdr:colOff>1928047</xdr:colOff>
      <xdr:row>74</xdr:row>
      <xdr:rowOff>133921</xdr:rowOff>
    </xdr:to>
    <xdr:pic>
      <xdr:nvPicPr>
        <xdr:cNvPr id="16" name="Picture 29">
          <a:extLst>
            <a:ext uri="{FF2B5EF4-FFF2-40B4-BE49-F238E27FC236}">
              <a16:creationId xmlns:a16="http://schemas.microsoft.com/office/drawing/2014/main" id="{EFFE208A-A237-41B4-9C04-872CA1387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154400" y="15963900"/>
          <a:ext cx="5029200" cy="1419225"/>
        </a:xfrm>
        <a:prstGeom prst="rect">
          <a:avLst/>
        </a:prstGeom>
      </xdr:spPr>
    </xdr:pic>
    <xdr:clientData/>
  </xdr:twoCellAnchor>
  <xdr:twoCellAnchor editAs="oneCell">
    <xdr:from>
      <xdr:col>13</xdr:col>
      <xdr:colOff>182440</xdr:colOff>
      <xdr:row>64</xdr:row>
      <xdr:rowOff>31506</xdr:rowOff>
    </xdr:from>
    <xdr:to>
      <xdr:col>13</xdr:col>
      <xdr:colOff>1208209</xdr:colOff>
      <xdr:row>66</xdr:row>
      <xdr:rowOff>92581</xdr:rowOff>
    </xdr:to>
    <xdr:pic>
      <xdr:nvPicPr>
        <xdr:cNvPr id="17" name="Picture 30">
          <a:extLst>
            <a:ext uri="{FF2B5EF4-FFF2-40B4-BE49-F238E27FC236}">
              <a16:creationId xmlns:a16="http://schemas.microsoft.com/office/drawing/2014/main" id="{ED704101-85D2-4CA1-90D5-73F31877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936700" y="15230475"/>
          <a:ext cx="10287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997927</xdr:colOff>
      <xdr:row>64</xdr:row>
      <xdr:rowOff>45866</xdr:rowOff>
    </xdr:from>
    <xdr:to>
      <xdr:col>14</xdr:col>
      <xdr:colOff>2006022</xdr:colOff>
      <xdr:row>66</xdr:row>
      <xdr:rowOff>87896</xdr:rowOff>
    </xdr:to>
    <xdr:pic>
      <xdr:nvPicPr>
        <xdr:cNvPr id="18" name="Picture 31">
          <a:extLst>
            <a:ext uri="{FF2B5EF4-FFF2-40B4-BE49-F238E27FC236}">
              <a16:creationId xmlns:a16="http://schemas.microsoft.com/office/drawing/2014/main" id="{7CE2D1D8-C72E-496B-A3CE-35F2C9E95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041725" y="15249525"/>
          <a:ext cx="1009650" cy="438150"/>
        </a:xfrm>
        <a:prstGeom prst="rect">
          <a:avLst/>
        </a:prstGeom>
      </xdr:spPr>
    </xdr:pic>
    <xdr:clientData/>
  </xdr:twoCellAnchor>
  <xdr:twoCellAnchor editAs="oneCell">
    <xdr:from>
      <xdr:col>15</xdr:col>
      <xdr:colOff>816009</xdr:colOff>
      <xdr:row>64</xdr:row>
      <xdr:rowOff>40071</xdr:rowOff>
    </xdr:from>
    <xdr:to>
      <xdr:col>15</xdr:col>
      <xdr:colOff>1768509</xdr:colOff>
      <xdr:row>66</xdr:row>
      <xdr:rowOff>200221</xdr:rowOff>
    </xdr:to>
    <xdr:pic>
      <xdr:nvPicPr>
        <xdr:cNvPr id="19" name="Picture 32">
          <a:extLst>
            <a:ext uri="{FF2B5EF4-FFF2-40B4-BE49-F238E27FC236}">
              <a16:creationId xmlns:a16="http://schemas.microsoft.com/office/drawing/2014/main" id="{27FC6106-F30F-4211-8C0E-4E6A00C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823025" y="15240000"/>
          <a:ext cx="952500" cy="561975"/>
        </a:xfrm>
        <a:prstGeom prst="rect">
          <a:avLst/>
        </a:prstGeom>
      </xdr:spPr>
    </xdr:pic>
    <xdr:clientData/>
  </xdr:twoCellAnchor>
  <xdr:twoCellAnchor editAs="oneCell">
    <xdr:from>
      <xdr:col>21</xdr:col>
      <xdr:colOff>566691</xdr:colOff>
      <xdr:row>20</xdr:row>
      <xdr:rowOff>67815</xdr:rowOff>
    </xdr:from>
    <xdr:to>
      <xdr:col>21</xdr:col>
      <xdr:colOff>1337322</xdr:colOff>
      <xdr:row>21</xdr:row>
      <xdr:rowOff>172925</xdr:rowOff>
    </xdr:to>
    <xdr:pic>
      <xdr:nvPicPr>
        <xdr:cNvPr id="20" name="Picture 2">
          <a:extLst>
            <a:ext uri="{FF2B5EF4-FFF2-40B4-BE49-F238E27FC236}">
              <a16:creationId xmlns:a16="http://schemas.microsoft.com/office/drawing/2014/main" id="{635A40A0-5F8D-41FE-8CFB-69DE8ACE9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8809758" y="5351015"/>
          <a:ext cx="770631" cy="359110"/>
        </a:xfrm>
        <a:prstGeom prst="rect">
          <a:avLst/>
        </a:prstGeom>
      </xdr:spPr>
    </xdr:pic>
    <xdr:clientData/>
  </xdr:twoCellAnchor>
  <xdr:twoCellAnchor>
    <xdr:from>
      <xdr:col>20</xdr:col>
      <xdr:colOff>20320</xdr:colOff>
      <xdr:row>58</xdr:row>
      <xdr:rowOff>10159</xdr:rowOff>
    </xdr:from>
    <xdr:to>
      <xdr:col>22</xdr:col>
      <xdr:colOff>16934</xdr:colOff>
      <xdr:row>75</xdr:row>
      <xdr:rowOff>89911</xdr:rowOff>
    </xdr:to>
    <xdr:graphicFrame macro="">
      <xdr:nvGraphicFramePr>
        <xdr:cNvPr id="21" name="Chart 9">
          <a:extLst>
            <a:ext uri="{FF2B5EF4-FFF2-40B4-BE49-F238E27FC236}">
              <a16:creationId xmlns:a16="http://schemas.microsoft.com/office/drawing/2014/main" id="{22F02E8F-23F5-42D9-B314-DFD69D012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21</xdr:col>
      <xdr:colOff>529592</xdr:colOff>
      <xdr:row>61</xdr:row>
      <xdr:rowOff>172425</xdr:rowOff>
    </xdr:from>
    <xdr:to>
      <xdr:col>21</xdr:col>
      <xdr:colOff>1300223</xdr:colOff>
      <xdr:row>63</xdr:row>
      <xdr:rowOff>175935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474DBF34-94B3-4036-9E2B-D763CEB9C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772659" y="14362558"/>
          <a:ext cx="770631" cy="409910"/>
        </a:xfrm>
        <a:prstGeom prst="rect">
          <a:avLst/>
        </a:prstGeom>
      </xdr:spPr>
    </xdr:pic>
    <xdr:clientData/>
  </xdr:twoCellAnchor>
  <xdr:twoCellAnchor>
    <xdr:from>
      <xdr:col>20</xdr:col>
      <xdr:colOff>20692</xdr:colOff>
      <xdr:row>38</xdr:row>
      <xdr:rowOff>58947</xdr:rowOff>
    </xdr:from>
    <xdr:to>
      <xdr:col>22</xdr:col>
      <xdr:colOff>27734</xdr:colOff>
      <xdr:row>53</xdr:row>
      <xdr:rowOff>30677</xdr:rowOff>
    </xdr:to>
    <xdr:graphicFrame macro="">
      <xdr:nvGraphicFramePr>
        <xdr:cNvPr id="23" name="Chart 13">
          <a:extLst>
            <a:ext uri="{FF2B5EF4-FFF2-40B4-BE49-F238E27FC236}">
              <a16:creationId xmlns:a16="http://schemas.microsoft.com/office/drawing/2014/main" id="{8BA77F7D-ED4E-45B2-9901-B86B405D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21</xdr:col>
      <xdr:colOff>589832</xdr:colOff>
      <xdr:row>47</xdr:row>
      <xdr:rowOff>143189</xdr:rowOff>
    </xdr:from>
    <xdr:to>
      <xdr:col>21</xdr:col>
      <xdr:colOff>1360463</xdr:colOff>
      <xdr:row>49</xdr:row>
      <xdr:rowOff>146699</xdr:rowOff>
    </xdr:to>
    <xdr:pic>
      <xdr:nvPicPr>
        <xdr:cNvPr id="24" name="Picture 20">
          <a:extLst>
            <a:ext uri="{FF2B5EF4-FFF2-40B4-BE49-F238E27FC236}">
              <a16:creationId xmlns:a16="http://schemas.microsoft.com/office/drawing/2014/main" id="{8DA4384D-25D2-49B2-96D4-10B4ACA60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8832899" y="11488522"/>
          <a:ext cx="770631" cy="409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F3A1-2282-44D3-A39F-DB826C3278F7}">
  <dimension ref="B1:Q55"/>
  <sheetViews>
    <sheetView topLeftCell="F1" zoomScale="75" zoomScaleNormal="75" workbookViewId="0">
      <selection activeCell="V19" sqref="V19"/>
    </sheetView>
  </sheetViews>
  <sheetFormatPr baseColWidth="10" defaultColWidth="12.83203125" defaultRowHeight="16" customHeight="1" x14ac:dyDescent="0.2"/>
  <cols>
    <col min="1" max="1" width="12.83203125" style="5" customWidth="1"/>
    <col min="2" max="2" width="20.1640625" style="5" customWidth="1"/>
    <col min="3" max="3" width="40.6640625" style="5" customWidth="1"/>
    <col min="4" max="4" width="16.6640625" style="5" customWidth="1"/>
    <col min="5" max="9" width="12.83203125" style="5" customWidth="1"/>
    <col min="10" max="10" width="16.5" style="5" customWidth="1"/>
    <col min="11" max="11" width="26.83203125" style="5" customWidth="1"/>
    <col min="12" max="12" width="33.33203125" style="5" customWidth="1"/>
    <col min="13" max="13" width="23.33203125" style="5" customWidth="1"/>
    <col min="14" max="14" width="0.33203125" style="5" hidden="1" customWidth="1"/>
    <col min="15" max="15" width="17.6640625" style="5" customWidth="1"/>
    <col min="16" max="16" width="17.83203125" style="5" customWidth="1"/>
    <col min="17" max="17" width="17.1640625" style="5" customWidth="1"/>
    <col min="18" max="18" width="12.83203125" style="5" customWidth="1"/>
    <col min="19" max="16384" width="12.83203125" style="5"/>
  </cols>
  <sheetData>
    <row r="1" spans="2:17" ht="10" customHeight="1" x14ac:dyDescent="0.2"/>
    <row r="2" spans="2:17" ht="20" x14ac:dyDescent="0.2">
      <c r="B2" s="66" t="s">
        <v>0</v>
      </c>
      <c r="C2" s="66"/>
      <c r="D2" s="66"/>
      <c r="F2" s="63" t="s">
        <v>1</v>
      </c>
      <c r="G2" s="64"/>
      <c r="H2" s="64"/>
    </row>
    <row r="3" spans="2:17" ht="25" customHeight="1" x14ac:dyDescent="0.2">
      <c r="B3" s="6" t="s">
        <v>2</v>
      </c>
      <c r="C3" s="6" t="s">
        <v>3</v>
      </c>
      <c r="D3" s="6" t="s">
        <v>4</v>
      </c>
      <c r="J3" s="4" t="s">
        <v>5</v>
      </c>
      <c r="K3" s="4" t="s">
        <v>6</v>
      </c>
      <c r="L3" s="4" t="s">
        <v>7</v>
      </c>
    </row>
    <row r="4" spans="2:17" ht="20" customHeight="1" x14ac:dyDescent="0.2">
      <c r="B4" s="7">
        <v>0</v>
      </c>
      <c r="C4" s="8">
        <v>0</v>
      </c>
      <c r="D4" s="7">
        <v>0</v>
      </c>
      <c r="F4" s="1" t="s">
        <v>8</v>
      </c>
      <c r="G4" s="5">
        <v>9.8083690000000008</v>
      </c>
      <c r="H4" s="5" t="s">
        <v>9</v>
      </c>
      <c r="J4" s="9" t="s">
        <v>10</v>
      </c>
      <c r="K4" s="9">
        <v>169.65</v>
      </c>
      <c r="L4" s="9">
        <v>467.53</v>
      </c>
    </row>
    <row r="5" spans="2:17" x14ac:dyDescent="0.2">
      <c r="B5" s="59">
        <v>10.199999999999999</v>
      </c>
      <c r="C5" s="59">
        <v>100.9</v>
      </c>
      <c r="D5" s="59">
        <f>B5*$G$4</f>
        <v>100.0453638</v>
      </c>
      <c r="J5" s="9" t="s">
        <v>11</v>
      </c>
      <c r="K5" s="9">
        <v>274.55</v>
      </c>
      <c r="L5" s="9">
        <v>853.54</v>
      </c>
    </row>
    <row r="6" spans="2:17" x14ac:dyDescent="0.2">
      <c r="B6" s="59">
        <v>20.5</v>
      </c>
      <c r="C6" s="59">
        <v>198.9</v>
      </c>
      <c r="D6" s="59">
        <f t="shared" ref="D6:D11" si="0">B6*$G$4</f>
        <v>201.07156450000002</v>
      </c>
      <c r="J6" s="9" t="s">
        <v>12</v>
      </c>
      <c r="K6" s="9">
        <v>213.64</v>
      </c>
      <c r="L6" s="9">
        <v>633.17999999999995</v>
      </c>
    </row>
    <row r="7" spans="2:17" x14ac:dyDescent="0.2">
      <c r="B7" s="59">
        <v>24</v>
      </c>
      <c r="C7" s="59">
        <v>232.3</v>
      </c>
      <c r="D7" s="59">
        <f t="shared" si="0"/>
        <v>235.40085600000003</v>
      </c>
    </row>
    <row r="8" spans="2:17" x14ac:dyDescent="0.2">
      <c r="B8" s="59">
        <v>30</v>
      </c>
      <c r="C8" s="59">
        <v>291.5</v>
      </c>
      <c r="D8" s="59">
        <f t="shared" si="0"/>
        <v>294.25107000000003</v>
      </c>
    </row>
    <row r="9" spans="2:17" x14ac:dyDescent="0.2">
      <c r="B9" s="59">
        <v>35</v>
      </c>
      <c r="C9" s="59">
        <v>338.55</v>
      </c>
      <c r="D9" s="59">
        <f t="shared" si="0"/>
        <v>343.29291500000005</v>
      </c>
    </row>
    <row r="10" spans="2:17" x14ac:dyDescent="0.2">
      <c r="B10" s="59">
        <v>39</v>
      </c>
      <c r="C10" s="59">
        <v>376.12</v>
      </c>
      <c r="D10" s="59">
        <f t="shared" si="0"/>
        <v>382.52639100000005</v>
      </c>
      <c r="J10" s="4" t="s">
        <v>13</v>
      </c>
      <c r="K10" s="65" t="s">
        <v>14</v>
      </c>
      <c r="L10" s="65"/>
      <c r="M10" s="65" t="s">
        <v>15</v>
      </c>
      <c r="N10" s="65"/>
      <c r="O10" s="65"/>
      <c r="P10" s="65" t="s">
        <v>16</v>
      </c>
      <c r="Q10" s="65"/>
    </row>
    <row r="11" spans="2:17" x14ac:dyDescent="0.2">
      <c r="B11" s="59">
        <v>43</v>
      </c>
      <c r="C11" s="59">
        <v>415.67</v>
      </c>
      <c r="D11" s="59">
        <f t="shared" si="0"/>
        <v>421.75986700000004</v>
      </c>
      <c r="J11" s="9"/>
      <c r="K11" s="9" t="s">
        <v>17</v>
      </c>
      <c r="L11" s="9" t="s">
        <v>18</v>
      </c>
      <c r="M11" s="9" t="s">
        <v>17</v>
      </c>
      <c r="N11" s="9"/>
      <c r="O11" s="9" t="s">
        <v>18</v>
      </c>
      <c r="P11" s="9" t="s">
        <v>17</v>
      </c>
      <c r="Q11" s="9" t="s">
        <v>18</v>
      </c>
    </row>
    <row r="12" spans="2:17" x14ac:dyDescent="0.2">
      <c r="J12" s="9">
        <v>1</v>
      </c>
      <c r="K12" s="9">
        <v>110</v>
      </c>
      <c r="L12" s="9">
        <f>30.6*-1</f>
        <v>-30.6</v>
      </c>
      <c r="M12" s="71">
        <v>260</v>
      </c>
      <c r="N12" s="71"/>
      <c r="O12" s="71">
        <f>-280*-1</f>
        <v>280</v>
      </c>
      <c r="P12" s="9">
        <v>80</v>
      </c>
      <c r="Q12" s="9">
        <f>-160.2*-1</f>
        <v>160.19999999999999</v>
      </c>
    </row>
    <row r="13" spans="2:17" x14ac:dyDescent="0.2">
      <c r="J13" s="9">
        <v>2</v>
      </c>
      <c r="K13" s="9">
        <v>230</v>
      </c>
      <c r="L13" s="9">
        <f>-29.23*-1</f>
        <v>29.23</v>
      </c>
      <c r="M13" s="9">
        <v>340</v>
      </c>
      <c r="N13" s="9"/>
      <c r="O13" s="9">
        <f>-287*-1</f>
        <v>287</v>
      </c>
      <c r="P13" s="9">
        <v>160</v>
      </c>
      <c r="Q13" s="9">
        <f>-222.73*-1</f>
        <v>222.73</v>
      </c>
    </row>
    <row r="14" spans="2:17" x14ac:dyDescent="0.2">
      <c r="J14" s="9">
        <v>3</v>
      </c>
      <c r="K14" s="9">
        <v>350</v>
      </c>
      <c r="L14" s="9">
        <f>-80.34*-1</f>
        <v>80.34</v>
      </c>
      <c r="M14" s="9">
        <v>400</v>
      </c>
      <c r="N14" s="9"/>
      <c r="O14" s="9">
        <f>-294*-1</f>
        <v>294</v>
      </c>
      <c r="P14" s="9">
        <v>240</v>
      </c>
      <c r="Q14" s="9">
        <f>-245.64*-1</f>
        <v>245.64</v>
      </c>
    </row>
    <row r="15" spans="2:17" x14ac:dyDescent="0.2">
      <c r="J15" s="9">
        <v>4</v>
      </c>
      <c r="K15" s="9">
        <v>410</v>
      </c>
      <c r="L15" s="9">
        <f>-105.24*-1</f>
        <v>105.24</v>
      </c>
      <c r="M15" s="9">
        <v>460</v>
      </c>
      <c r="N15" s="9"/>
      <c r="O15" s="9">
        <f>-298*-1</f>
        <v>298</v>
      </c>
      <c r="P15" s="9">
        <v>300</v>
      </c>
      <c r="Q15" s="9">
        <f>-250.9*-1</f>
        <v>250.9</v>
      </c>
    </row>
    <row r="16" spans="2:17" x14ac:dyDescent="0.2">
      <c r="J16" s="9">
        <v>5</v>
      </c>
      <c r="K16" s="71">
        <v>470</v>
      </c>
      <c r="L16" s="71">
        <f>-110.5*-1</f>
        <v>110.5</v>
      </c>
      <c r="M16" s="9">
        <v>520</v>
      </c>
      <c r="N16" s="9"/>
      <c r="O16" s="9">
        <f>-295*-1</f>
        <v>295</v>
      </c>
      <c r="P16" s="9">
        <v>360</v>
      </c>
      <c r="Q16" s="9">
        <f>-260*-1</f>
        <v>260</v>
      </c>
    </row>
    <row r="17" spans="2:17" x14ac:dyDescent="0.2">
      <c r="J17" s="9">
        <v>6</v>
      </c>
      <c r="K17" s="9">
        <v>530</v>
      </c>
      <c r="L17" s="9">
        <f>-103.97*-1</f>
        <v>103.97</v>
      </c>
      <c r="M17" s="9">
        <v>580</v>
      </c>
      <c r="N17" s="9"/>
      <c r="O17" s="9">
        <f>-289*-1</f>
        <v>289</v>
      </c>
      <c r="P17" s="71">
        <v>420</v>
      </c>
      <c r="Q17" s="71">
        <f>-242.8*-1</f>
        <v>242.8</v>
      </c>
    </row>
    <row r="18" spans="2:17" x14ac:dyDescent="0.2">
      <c r="J18" s="9">
        <v>7</v>
      </c>
      <c r="K18" s="9">
        <v>650</v>
      </c>
      <c r="L18" s="9">
        <f>-107.2*-1</f>
        <v>107.2</v>
      </c>
      <c r="M18" s="9">
        <v>700</v>
      </c>
      <c r="N18" s="9"/>
      <c r="O18" s="9">
        <f>-284*-1</f>
        <v>284</v>
      </c>
      <c r="P18" s="9">
        <v>540</v>
      </c>
      <c r="Q18" s="9">
        <f>-256.48*-1</f>
        <v>256.48</v>
      </c>
    </row>
    <row r="20" spans="2:17" x14ac:dyDescent="0.2">
      <c r="J20" s="5" t="s">
        <v>19</v>
      </c>
    </row>
    <row r="21" spans="2:17" x14ac:dyDescent="0.2">
      <c r="J21" s="5" t="s">
        <v>20</v>
      </c>
    </row>
    <row r="24" spans="2:17" x14ac:dyDescent="0.2">
      <c r="J24" s="4" t="s">
        <v>13</v>
      </c>
      <c r="K24" s="4" t="s">
        <v>117</v>
      </c>
      <c r="L24" s="4" t="s">
        <v>21</v>
      </c>
      <c r="M24" s="4" t="s">
        <v>22</v>
      </c>
    </row>
    <row r="25" spans="2:17" x14ac:dyDescent="0.2">
      <c r="J25" s="9">
        <v>1</v>
      </c>
      <c r="K25" s="9">
        <v>219.79</v>
      </c>
      <c r="L25" s="71">
        <v>207.8</v>
      </c>
      <c r="M25" s="9">
        <v>214.91</v>
      </c>
    </row>
    <row r="26" spans="2:17" x14ac:dyDescent="0.2">
      <c r="J26" s="9">
        <v>2</v>
      </c>
      <c r="K26" s="9">
        <v>205.12</v>
      </c>
      <c r="L26" s="9">
        <v>206.4</v>
      </c>
      <c r="M26" s="9">
        <v>212.91</v>
      </c>
    </row>
    <row r="27" spans="2:17" x14ac:dyDescent="0.2">
      <c r="J27" s="9">
        <v>3</v>
      </c>
      <c r="K27" s="9">
        <v>202.56</v>
      </c>
      <c r="L27" s="9">
        <v>207.9</v>
      </c>
      <c r="M27" s="9">
        <v>216.77</v>
      </c>
    </row>
    <row r="28" spans="2:17" x14ac:dyDescent="0.2">
      <c r="J28" s="9">
        <v>4</v>
      </c>
      <c r="K28" s="9">
        <v>201.9</v>
      </c>
      <c r="L28" s="9">
        <v>205.7</v>
      </c>
      <c r="M28" s="9">
        <v>215.9</v>
      </c>
    </row>
    <row r="29" spans="2:17" x14ac:dyDescent="0.2">
      <c r="J29" s="9">
        <v>5</v>
      </c>
      <c r="K29" s="71">
        <v>209.96</v>
      </c>
      <c r="L29" s="9">
        <v>205.2</v>
      </c>
      <c r="M29" s="9">
        <v>216.6</v>
      </c>
    </row>
    <row r="30" spans="2:17" x14ac:dyDescent="0.2">
      <c r="J30" s="9">
        <v>6</v>
      </c>
      <c r="K30" s="9">
        <v>201.7</v>
      </c>
      <c r="L30" s="9">
        <v>204.2</v>
      </c>
      <c r="M30" s="71">
        <v>217.4</v>
      </c>
    </row>
    <row r="31" spans="2:17" ht="23" customHeight="1" x14ac:dyDescent="0.2">
      <c r="B31" s="10"/>
      <c r="C31" s="10"/>
      <c r="J31" s="9">
        <v>7</v>
      </c>
      <c r="K31" s="9">
        <v>204.2</v>
      </c>
      <c r="L31" s="9">
        <v>205.7</v>
      </c>
      <c r="M31" s="9">
        <v>215.4</v>
      </c>
    </row>
    <row r="32" spans="2:17" x14ac:dyDescent="0.2">
      <c r="B32" s="11"/>
      <c r="C32" s="11"/>
    </row>
    <row r="33" spans="2:3" x14ac:dyDescent="0.2">
      <c r="B33" s="11"/>
      <c r="C33" s="11"/>
    </row>
    <row r="34" spans="2:3" x14ac:dyDescent="0.2">
      <c r="B34" s="11"/>
      <c r="C34" s="11"/>
    </row>
    <row r="52" spans="2:3" x14ac:dyDescent="0.2">
      <c r="B52" s="10"/>
      <c r="C52" s="10"/>
    </row>
    <row r="53" spans="2:3" x14ac:dyDescent="0.2">
      <c r="B53" s="11"/>
      <c r="C53" s="11"/>
    </row>
    <row r="54" spans="2:3" x14ac:dyDescent="0.2">
      <c r="B54" s="11"/>
      <c r="C54" s="11"/>
    </row>
    <row r="55" spans="2:3" x14ac:dyDescent="0.2">
      <c r="B55" s="11"/>
      <c r="C55" s="11"/>
    </row>
  </sheetData>
  <mergeCells count="5">
    <mergeCell ref="F2:H2"/>
    <mergeCell ref="K10:L10"/>
    <mergeCell ref="M10:O10"/>
    <mergeCell ref="P10:Q10"/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B499-6765-406E-BF00-D317C0E2D3B7}">
  <dimension ref="A2:AB82"/>
  <sheetViews>
    <sheetView tabSelected="1" zoomScale="75" zoomScaleNormal="75" workbookViewId="0">
      <selection activeCell="W13" sqref="W13"/>
    </sheetView>
  </sheetViews>
  <sheetFormatPr baseColWidth="10" defaultColWidth="12.5" defaultRowHeight="16" customHeight="1" x14ac:dyDescent="0.2"/>
  <cols>
    <col min="1" max="1" width="43.33203125" style="5" customWidth="1"/>
    <col min="2" max="2" width="20.6640625" style="5" customWidth="1"/>
    <col min="3" max="3" width="39" style="51" customWidth="1"/>
    <col min="4" max="4" width="33" style="5" customWidth="1"/>
    <col min="5" max="5" width="33.33203125" style="5" customWidth="1"/>
    <col min="6" max="6" width="33.5" style="5" customWidth="1"/>
    <col min="7" max="7" width="29.5" style="5" customWidth="1"/>
    <col min="8" max="8" width="34.5" style="5" customWidth="1"/>
    <col min="9" max="9" width="21.83203125" style="5" customWidth="1"/>
    <col min="10" max="10" width="37.33203125" style="5" customWidth="1"/>
    <col min="11" max="11" width="26.33203125" style="5" customWidth="1"/>
    <col min="12" max="12" width="21.1640625" style="5" customWidth="1"/>
    <col min="13" max="13" width="27.83203125" style="5" customWidth="1"/>
    <col min="14" max="14" width="19.33203125" style="5" customWidth="1"/>
    <col min="15" max="15" width="44.5" style="5" customWidth="1"/>
    <col min="16" max="16" width="36.1640625" style="5" customWidth="1"/>
    <col min="17" max="17" width="25.6640625" style="5" customWidth="1"/>
    <col min="18" max="20" width="14.5" style="5" customWidth="1"/>
    <col min="21" max="21" width="73.6640625" style="5" customWidth="1"/>
    <col min="22" max="22" width="21.83203125" style="5" customWidth="1"/>
    <col min="23" max="23" width="46.33203125" style="5" customWidth="1"/>
    <col min="24" max="24" width="13.5" style="5" bestFit="1" customWidth="1"/>
    <col min="25" max="25" width="12.5" style="5" customWidth="1"/>
    <col min="26" max="26" width="14.5" style="5" bestFit="1" customWidth="1"/>
    <col min="27" max="27" width="12.5" style="5" customWidth="1"/>
    <col min="28" max="16384" width="12.5" style="5"/>
  </cols>
  <sheetData>
    <row r="2" spans="1:22" ht="37" customHeight="1" x14ac:dyDescent="0.2">
      <c r="A2" s="12" t="s">
        <v>23</v>
      </c>
      <c r="N2" s="13" t="s">
        <v>24</v>
      </c>
      <c r="O2" s="14"/>
      <c r="T2" s="61"/>
    </row>
    <row r="3" spans="1:22" ht="34" customHeight="1" x14ac:dyDescent="0.2">
      <c r="A3" s="15" t="s">
        <v>25</v>
      </c>
      <c r="B3" s="15" t="s">
        <v>26</v>
      </c>
      <c r="C3" s="16" t="s">
        <v>27</v>
      </c>
      <c r="D3" s="15" t="s">
        <v>28</v>
      </c>
      <c r="E3" s="15" t="s">
        <v>29</v>
      </c>
      <c r="F3" s="4" t="s">
        <v>30</v>
      </c>
      <c r="G3" s="4" t="s">
        <v>31</v>
      </c>
      <c r="H3" s="15" t="s">
        <v>32</v>
      </c>
      <c r="I3" s="15" t="s">
        <v>33</v>
      </c>
      <c r="J3" s="16" t="s">
        <v>34</v>
      </c>
      <c r="K3" s="15" t="s">
        <v>35</v>
      </c>
      <c r="L3" s="17"/>
      <c r="M3" s="17"/>
      <c r="N3" s="4" t="s">
        <v>5</v>
      </c>
      <c r="O3" s="18" t="s">
        <v>36</v>
      </c>
      <c r="P3" s="4" t="s">
        <v>37</v>
      </c>
      <c r="R3" s="60"/>
      <c r="T3" s="61"/>
      <c r="U3" s="19"/>
    </row>
    <row r="4" spans="1:22" x14ac:dyDescent="0.2">
      <c r="A4" s="9">
        <f>C4/D4</f>
        <v>0.65874363327674024</v>
      </c>
      <c r="B4" s="20">
        <v>1</v>
      </c>
      <c r="C4" s="21">
        <v>3.8800000000000001E-2</v>
      </c>
      <c r="D4" s="21">
        <v>5.8900000000000001E-2</v>
      </c>
      <c r="E4" s="22">
        <f>1.52*10^(-5)</f>
        <v>1.5200000000000002E-5</v>
      </c>
      <c r="F4" s="21">
        <f>G4/(I4*H4)</f>
        <v>1.1834950990069955</v>
      </c>
      <c r="G4" s="20">
        <v>99810</v>
      </c>
      <c r="H4" s="9">
        <f>273.15+20.7</f>
        <v>293.84999999999997</v>
      </c>
      <c r="I4" s="9">
        <v>287</v>
      </c>
      <c r="J4" s="21">
        <f>(40-2*1.8)*POWER(10,-3)</f>
        <v>3.6400000000000002E-2</v>
      </c>
      <c r="K4" s="7">
        <f>(K9+K23+K37)/3</f>
        <v>1.3353175451794117</v>
      </c>
      <c r="N4" s="9" t="s">
        <v>10</v>
      </c>
      <c r="O4" s="23">
        <v>467.53</v>
      </c>
      <c r="P4" s="9">
        <v>169.65</v>
      </c>
      <c r="R4" s="60"/>
      <c r="U4" s="24"/>
      <c r="V4" s="25"/>
    </row>
    <row r="5" spans="1:22" x14ac:dyDescent="0.2">
      <c r="N5" s="9" t="s">
        <v>11</v>
      </c>
      <c r="O5" s="23">
        <v>853.54</v>
      </c>
      <c r="P5" s="9">
        <v>274.55</v>
      </c>
      <c r="R5" s="60"/>
      <c r="U5" s="26"/>
      <c r="V5" s="25"/>
    </row>
    <row r="6" spans="1:22" ht="49" customHeight="1" x14ac:dyDescent="0.2">
      <c r="A6" s="27" t="s">
        <v>38</v>
      </c>
      <c r="K6" s="11" t="s">
        <v>39</v>
      </c>
      <c r="N6" s="9" t="s">
        <v>12</v>
      </c>
      <c r="O6" s="23">
        <v>633.17999999999995</v>
      </c>
      <c r="P6" s="9">
        <v>213.64</v>
      </c>
      <c r="R6" s="60"/>
      <c r="U6" s="26"/>
      <c r="V6" s="25"/>
    </row>
    <row r="7" spans="1:22" ht="20" x14ac:dyDescent="0.2">
      <c r="A7" s="27" t="s">
        <v>40</v>
      </c>
      <c r="C7" s="5"/>
      <c r="N7" s="12" t="s">
        <v>41</v>
      </c>
      <c r="R7" s="60"/>
      <c r="U7" s="26"/>
      <c r="V7" s="25"/>
    </row>
    <row r="8" spans="1:22" ht="34" x14ac:dyDescent="0.2">
      <c r="A8" s="28" t="s">
        <v>42</v>
      </c>
      <c r="B8" s="15" t="s">
        <v>43</v>
      </c>
      <c r="C8" s="29" t="s">
        <v>44</v>
      </c>
      <c r="D8" s="15" t="s">
        <v>45</v>
      </c>
      <c r="E8" s="15" t="s">
        <v>46</v>
      </c>
      <c r="F8" s="15" t="s">
        <v>47</v>
      </c>
      <c r="G8" s="15" t="s">
        <v>48</v>
      </c>
      <c r="H8" s="67" t="s">
        <v>49</v>
      </c>
      <c r="I8" s="68"/>
      <c r="J8" s="3" t="s">
        <v>50</v>
      </c>
      <c r="K8" s="15" t="s">
        <v>51</v>
      </c>
      <c r="L8" s="17"/>
      <c r="M8" s="4" t="s">
        <v>52</v>
      </c>
      <c r="N8" s="4" t="s">
        <v>53</v>
      </c>
      <c r="O8" s="4" t="s">
        <v>54</v>
      </c>
      <c r="P8" s="4" t="s">
        <v>55</v>
      </c>
      <c r="R8" s="69" t="s">
        <v>38</v>
      </c>
      <c r="S8" s="70"/>
      <c r="U8" s="30"/>
      <c r="V8" s="31"/>
    </row>
    <row r="9" spans="1:22" x14ac:dyDescent="0.2">
      <c r="A9" s="9" t="s">
        <v>56</v>
      </c>
      <c r="B9" s="9">
        <v>0.6</v>
      </c>
      <c r="C9" s="21">
        <f>($B9/SQRT(1-POWER($A$4,4)))*$B$4*((POWER($C$4,2)*PI())/4)*SQRT((2/$F$4)*$O$4)</f>
        <v>2.2133245657827792E-2</v>
      </c>
      <c r="D9" s="7">
        <f>(4*$C9)/(POWER($D$4,2)*PI())</f>
        <v>8.1231530016586415</v>
      </c>
      <c r="E9" s="7">
        <f>(4*$C9)/(POWER($C$4,2)*PI())</f>
        <v>18.719393416465731</v>
      </c>
      <c r="F9" s="7">
        <f>($D9*$D$4)/$E$4</f>
        <v>31477.21788142723</v>
      </c>
      <c r="G9" s="9">
        <f>((19000*$A$4)/$F9)^(0.8)</f>
        <v>0.47816628723873378</v>
      </c>
      <c r="H9" s="9">
        <f>0.5961+0.0261*POWER($A$4,2)-0.216*POWER($A$4,8)+0.000521*(((POWER(10,6)*$A$4)/$F9)^(0.7))+(0.0188+0.0063*$G9)*($A$4^(3.5))*(((10^(6))/$F9)^(0.3))+0.011*(0.75-$A$4)*(2.8-($D$4/0.0254))</f>
        <v>0.61891107975030124</v>
      </c>
      <c r="I9" s="32" t="s">
        <v>57</v>
      </c>
      <c r="J9" s="21">
        <f>((POWER($J$4,2)*PI())/4)*SQRT((2/$F$4)*$P$4)</f>
        <v>1.7619815096490125E-2</v>
      </c>
      <c r="K9" s="7">
        <f>C11/J9</f>
        <v>1.2951742554002073</v>
      </c>
      <c r="M9" s="9">
        <v>80</v>
      </c>
      <c r="N9" s="9">
        <v>1</v>
      </c>
      <c r="O9" s="7">
        <v>214.91</v>
      </c>
      <c r="P9" s="7">
        <f>-160.2 * -1</f>
        <v>160.19999999999999</v>
      </c>
      <c r="U9" s="26"/>
      <c r="V9" s="31"/>
    </row>
    <row r="10" spans="1:22" x14ac:dyDescent="0.2">
      <c r="A10" s="9" t="s">
        <v>58</v>
      </c>
      <c r="B10" s="9">
        <f>H9</f>
        <v>0.61891107975030124</v>
      </c>
      <c r="C10" s="21">
        <f>($B10/SQRT(1-POWER($A$4,4)))*$B$4*((POWER($C$4,2)*PI())/4)*SQRT((2/$F$4)*$O$4)</f>
        <v>2.2830851614108107E-2</v>
      </c>
      <c r="D10" s="7">
        <f>(4*$C10)/(POWER($D$4,2)*PI())</f>
        <v>8.3791823253890847</v>
      </c>
      <c r="E10" s="7">
        <f>(4*$C10)/(POWER($C$4,2)*PI())</f>
        <v>19.30939998609248</v>
      </c>
      <c r="F10" s="7">
        <f>($D10*$D$4)/$E$4</f>
        <v>32469.331510882697</v>
      </c>
      <c r="G10" s="9">
        <f>((19000*$A$4)/$F10)^(0.8)</f>
        <v>0.46644167640626327</v>
      </c>
      <c r="H10" s="33">
        <f>0.5961+0.0261*POWER($A$4,2)-0.216*POWER($A$4,8)+0.000521*(((POWER(10,6)*$A$4)/$F10)^(0.7))+(0.0188+0.0063*$G10)*($A$4^(3.5))*(((10^(6))/$F10)^(0.3))+0.011*(0.75-$A$4)*(2.8-($D$4/0.0254))</f>
        <v>0.6186367218984441</v>
      </c>
      <c r="I10" s="34" t="s">
        <v>59</v>
      </c>
      <c r="J10" s="11"/>
      <c r="K10" s="11"/>
      <c r="M10" s="9">
        <v>160</v>
      </c>
      <c r="N10" s="9">
        <v>2</v>
      </c>
      <c r="O10" s="7">
        <v>212.91</v>
      </c>
      <c r="P10" s="7">
        <f>-222.73*-1</f>
        <v>222.73</v>
      </c>
      <c r="U10" s="26"/>
      <c r="V10" s="31"/>
    </row>
    <row r="11" spans="1:22" x14ac:dyDescent="0.2">
      <c r="A11" s="9" t="s">
        <v>60</v>
      </c>
      <c r="B11" s="9">
        <f>H10</f>
        <v>0.6186367218984441</v>
      </c>
      <c r="C11" s="21">
        <f>($B11/SQRT(1-POWER($A$4,4)))*$B$4*((POWER($C$4,2)*PI())/4)*SQRT((2/$F$4)*$O$4)</f>
        <v>2.282073089788593E-2</v>
      </c>
      <c r="D11" s="7">
        <f>(4*$C11)/(POWER($D$4,2)*PI())</f>
        <v>8.3754679073760148</v>
      </c>
      <c r="E11" s="7">
        <f>(4*$C11)/(POWER($C$4,2)*PI())</f>
        <v>19.300840298482797</v>
      </c>
      <c r="F11" s="7">
        <f>($D11*$D$4)/$E$4</f>
        <v>32454.938141082053</v>
      </c>
      <c r="G11" s="9">
        <f>((19000*$A$4)/$F11)^(0.8)</f>
        <v>0.46660715803052866</v>
      </c>
      <c r="H11" s="33">
        <f>0.5961+0.0261*POWER($A$4,2)-0.216*POWER($A$4,8)+0.000521*(((POWER(10,6)*$A$4)/$F11)^(0.7))+(0.0188+0.0063*$G11)*($A$4^(3.5))*(((10^(6))/$F11)^(0.3))+0.011*(0.75-$A$4)*(2.8-($D$4/0.0254))</f>
        <v>0.61864060433334078</v>
      </c>
      <c r="I11" s="35" t="s">
        <v>61</v>
      </c>
      <c r="J11" s="11"/>
      <c r="K11" s="11"/>
      <c r="M11" s="9">
        <v>240</v>
      </c>
      <c r="N11" s="9">
        <v>3</v>
      </c>
      <c r="O11" s="7">
        <v>212.77</v>
      </c>
      <c r="P11" s="7">
        <f>-245.64*-1</f>
        <v>245.64</v>
      </c>
      <c r="U11" s="24"/>
      <c r="V11" s="25"/>
    </row>
    <row r="12" spans="1:22" x14ac:dyDescent="0.2">
      <c r="C12" s="5"/>
      <c r="M12" s="9">
        <v>300</v>
      </c>
      <c r="N12" s="9">
        <v>4</v>
      </c>
      <c r="O12" s="7">
        <v>215.9</v>
      </c>
      <c r="P12" s="7">
        <f>-250.9*-1</f>
        <v>250.9</v>
      </c>
      <c r="U12" s="24"/>
      <c r="V12" s="25"/>
    </row>
    <row r="13" spans="1:22" x14ac:dyDescent="0.2">
      <c r="H13" s="36"/>
      <c r="M13" s="9">
        <v>360</v>
      </c>
      <c r="N13" s="9">
        <v>5</v>
      </c>
      <c r="O13" s="7">
        <v>216.6</v>
      </c>
      <c r="P13" s="7">
        <f>-260*-1</f>
        <v>260</v>
      </c>
      <c r="U13" s="24"/>
      <c r="V13" s="31"/>
    </row>
    <row r="14" spans="1:22" x14ac:dyDescent="0.2">
      <c r="C14" s="25"/>
      <c r="H14" s="36"/>
      <c r="M14" s="9">
        <v>420</v>
      </c>
      <c r="N14" s="37">
        <v>6</v>
      </c>
      <c r="O14" s="38">
        <v>217.4</v>
      </c>
      <c r="P14" s="38">
        <f>-242.8*-1</f>
        <v>242.8</v>
      </c>
      <c r="Q14" s="11"/>
    </row>
    <row r="15" spans="1:22" x14ac:dyDescent="0.2">
      <c r="H15" s="39"/>
      <c r="M15" s="9">
        <v>540</v>
      </c>
      <c r="N15" s="9">
        <v>7</v>
      </c>
      <c r="O15" s="7">
        <v>215.4</v>
      </c>
      <c r="P15" s="7">
        <f>-256.48*-1</f>
        <v>256.48</v>
      </c>
    </row>
    <row r="16" spans="1:22" x14ac:dyDescent="0.2">
      <c r="C16" s="40"/>
      <c r="N16" s="4" t="s">
        <v>62</v>
      </c>
      <c r="O16" s="9">
        <f>$K$4*((POWER($J$4,2)*PI())/4)*SQRT((2/$F$4)*$O$14)</f>
        <v>2.6634143777922177E-2</v>
      </c>
      <c r="P16" s="9" t="s">
        <v>63</v>
      </c>
    </row>
    <row r="17" spans="1:23" x14ac:dyDescent="0.2">
      <c r="C17" s="25"/>
      <c r="N17" s="4" t="s">
        <v>64</v>
      </c>
      <c r="O17" s="9">
        <f>(4*$O$16)/(POWER($J$4,2)*PI())</f>
        <v>25.594467076902323</v>
      </c>
      <c r="P17" s="9" t="s">
        <v>65</v>
      </c>
    </row>
    <row r="18" spans="1:23" x14ac:dyDescent="0.2">
      <c r="C18" s="31"/>
      <c r="J18" s="41"/>
      <c r="N18" s="4" t="s">
        <v>66</v>
      </c>
      <c r="O18" s="9">
        <f>(4*$O$16)/(POWER($D$4,2)*PI())</f>
        <v>9.7750338256296114</v>
      </c>
      <c r="P18" s="9" t="s">
        <v>65</v>
      </c>
    </row>
    <row r="19" spans="1:23" x14ac:dyDescent="0.2">
      <c r="N19" s="4" t="s">
        <v>67</v>
      </c>
      <c r="O19" s="9">
        <f>0.5*$F$4*(POWER(O17,2)-POWER(O18,2))</f>
        <v>331.09781904594888</v>
      </c>
      <c r="P19" s="9" t="s">
        <v>68</v>
      </c>
    </row>
    <row r="20" spans="1:23" x14ac:dyDescent="0.2">
      <c r="N20" s="4" t="s">
        <v>69</v>
      </c>
      <c r="O20" s="23">
        <f>$P$14/$O$19</f>
        <v>0.73331802879168129</v>
      </c>
      <c r="P20" s="9" t="s">
        <v>70</v>
      </c>
      <c r="Q20" s="11"/>
    </row>
    <row r="21" spans="1:23" ht="20" x14ac:dyDescent="0.2">
      <c r="A21" s="27" t="s">
        <v>71</v>
      </c>
      <c r="B21" s="11"/>
      <c r="C21" s="42"/>
      <c r="D21" s="11"/>
      <c r="E21" s="11"/>
      <c r="F21" s="11"/>
      <c r="G21" s="11"/>
      <c r="H21" s="11"/>
      <c r="I21" s="11"/>
      <c r="J21" s="11"/>
      <c r="K21" s="11"/>
      <c r="N21" s="12" t="s">
        <v>72</v>
      </c>
      <c r="W21" s="43"/>
    </row>
    <row r="22" spans="1:23" ht="34" x14ac:dyDescent="0.2">
      <c r="A22" s="28" t="s">
        <v>42</v>
      </c>
      <c r="B22" s="15" t="s">
        <v>43</v>
      </c>
      <c r="C22" s="29" t="s">
        <v>73</v>
      </c>
      <c r="D22" s="15" t="s">
        <v>45</v>
      </c>
      <c r="E22" s="15" t="s">
        <v>46</v>
      </c>
      <c r="F22" s="15" t="s">
        <v>47</v>
      </c>
      <c r="G22" s="15" t="s">
        <v>48</v>
      </c>
      <c r="H22" s="67" t="s">
        <v>74</v>
      </c>
      <c r="I22" s="68"/>
      <c r="J22" s="3" t="s">
        <v>50</v>
      </c>
      <c r="K22" s="15" t="s">
        <v>75</v>
      </c>
      <c r="M22" s="4" t="s">
        <v>52</v>
      </c>
      <c r="N22" s="4" t="s">
        <v>76</v>
      </c>
      <c r="O22" s="4" t="s">
        <v>54</v>
      </c>
      <c r="P22" s="15" t="s">
        <v>55</v>
      </c>
    </row>
    <row r="23" spans="1:23" x14ac:dyDescent="0.2">
      <c r="A23" s="9" t="s">
        <v>56</v>
      </c>
      <c r="B23" s="9">
        <v>0.6</v>
      </c>
      <c r="C23" s="21">
        <f>($B23/SQRT(1-POWER($A$4,4)))*$B$4*((POWER($C$4,2)*PI())/4)*SQRT((2/$F$4)*$O$5)</f>
        <v>2.9905584967323751E-2</v>
      </c>
      <c r="D23" s="7">
        <f>(4*$C23)/(POWER($D$4,2)*PI())</f>
        <v>10.975689966543975</v>
      </c>
      <c r="E23" s="7">
        <f>(4*$C23)/(POWER($C$4,2)*PI())</f>
        <v>25.292919936253863</v>
      </c>
      <c r="F23" s="7">
        <f>($D23*$D$4)/$E$4</f>
        <v>42530.798620357898</v>
      </c>
      <c r="G23" s="9">
        <f>((19000*$A$4)/$F23)^(0.8)</f>
        <v>0.37584882357176436</v>
      </c>
      <c r="H23" s="9">
        <f>0.5961+0.0261*POWER($A$4,2)-0.216*POWER($A$4,8)+0.000521*(((POWER(10,6)*$A$4)/$F23)^(0.7))+(0.0188+0.0063*$G23)*($A$4^(3.5))*(((10^(6))/$F23)^(0.3))+0.011*(0.75-$A$4)*(2.8-($D$4/0.0254))</f>
        <v>0.61646057303383306</v>
      </c>
      <c r="I23" s="32" t="s">
        <v>57</v>
      </c>
      <c r="J23" s="21">
        <f>((POWER($J$4,2)*PI())/4)*SQRT((2/$F$4)*$P$5)</f>
        <v>2.2414813959333885E-2</v>
      </c>
      <c r="K23" s="7">
        <f>C25/J23</f>
        <v>1.3703482573150425</v>
      </c>
      <c r="M23" s="9">
        <v>110</v>
      </c>
      <c r="N23" s="9">
        <v>1</v>
      </c>
      <c r="O23" s="9">
        <v>219.79</v>
      </c>
      <c r="P23" s="9">
        <f>30.6*-1</f>
        <v>-30.6</v>
      </c>
    </row>
    <row r="24" spans="1:23" x14ac:dyDescent="0.2">
      <c r="A24" s="9" t="s">
        <v>58</v>
      </c>
      <c r="B24" s="9">
        <f>H23</f>
        <v>0.61646057303383306</v>
      </c>
      <c r="C24" s="21">
        <f>($B24/SQRT(1-POWER($A$4,4)))*$B$4*((POWER($C$4,2)*PI())/4)*SQRT((2/$F$4)*$O$5)</f>
        <v>3.0726023409780642E-2</v>
      </c>
      <c r="D24" s="7">
        <f>(4*$C24)/(POWER($D$4,2)*PI())</f>
        <v>11.276800210362319</v>
      </c>
      <c r="E24" s="7">
        <f>(4*$C24)/(POWER($C$4,2)*PI())</f>
        <v>25.986813196003197</v>
      </c>
      <c r="F24" s="7">
        <f>($D24*$D$4)/$E$4</f>
        <v>43697.600815153979</v>
      </c>
      <c r="G24" s="9">
        <f>((19000*$A$4)/$F24)^(0.8)</f>
        <v>0.36779849770592082</v>
      </c>
      <c r="H24" s="33">
        <f>0.5961+0.0261*POWER($A$4,2)-0.216*POWER($A$4,8)+0.000521*(((POWER(10,6)*$A$4)/$F24)^(0.7))+(0.0188+0.0063*$G24)*($A$4^(3.5))*(((10^(6))/$F24)^(0.3))+0.011*(0.75-$A$4)*(2.8-($D$4/0.0254))</f>
        <v>0.61626150327658069</v>
      </c>
      <c r="I24" s="34" t="s">
        <v>59</v>
      </c>
      <c r="J24" s="11"/>
      <c r="K24" s="11"/>
      <c r="M24" s="9">
        <v>230</v>
      </c>
      <c r="N24" s="9">
        <v>2</v>
      </c>
      <c r="O24" s="9">
        <v>205.12</v>
      </c>
      <c r="P24" s="9">
        <f>-29.23*-1</f>
        <v>29.23</v>
      </c>
    </row>
    <row r="25" spans="1:23" x14ac:dyDescent="0.2">
      <c r="A25" s="9" t="s">
        <v>60</v>
      </c>
      <c r="B25" s="9">
        <f>H24</f>
        <v>0.61626150327658069</v>
      </c>
      <c r="C25" s="21">
        <f>($B25/SQRT(1-POWER($A$4,4)))*$B$4*((POWER($C$4,2)*PI())/4)*SQRT((2/$F$4)*$O$5)</f>
        <v>3.0716101247214078E-2</v>
      </c>
      <c r="D25" s="7">
        <f>(4*$C25)/(POWER($D$4,2)*PI())</f>
        <v>11.273158663800121</v>
      </c>
      <c r="E25" s="7">
        <f>(4*$C25)/(POWER($C$4,2)*PI())</f>
        <v>25.978421436950004</v>
      </c>
      <c r="F25" s="7">
        <f>($D25*$D$4)/$E$4</f>
        <v>43683.489822225463</v>
      </c>
      <c r="G25" s="9">
        <f>((19000*$A$4)/$F25)^(0.8)</f>
        <v>0.3678935420238798</v>
      </c>
      <c r="H25" s="33">
        <f>0.5961+0.0261*POWER($A$4,2)-0.216*POWER($A$4,8)+0.000521*(((POWER(10,6)*$A$4)/$F25)^(0.7))+(0.0188+0.0063*$G25)*($A$4^(3.5))*(((10^(6))/$F25)^(0.3))+0.011*(0.75-$A$4)*(2.8-($D$4/0.0254))</f>
        <v>0.61626385985161736</v>
      </c>
      <c r="I25" s="35" t="s">
        <v>77</v>
      </c>
      <c r="J25" s="11"/>
      <c r="K25" s="11"/>
      <c r="M25" s="9">
        <v>350</v>
      </c>
      <c r="N25" s="9">
        <v>3</v>
      </c>
      <c r="O25" s="9">
        <v>202.56</v>
      </c>
      <c r="P25" s="9">
        <f>-80.34*-1</f>
        <v>80.34</v>
      </c>
    </row>
    <row r="26" spans="1:23" x14ac:dyDescent="0.2">
      <c r="A26" s="1"/>
      <c r="B26" s="1"/>
      <c r="C26" s="44"/>
      <c r="D26" s="1"/>
      <c r="E26" s="1"/>
      <c r="F26" s="1"/>
      <c r="G26" s="1"/>
      <c r="H26" s="1"/>
      <c r="I26" s="1"/>
      <c r="J26" s="1"/>
      <c r="K26" s="1"/>
      <c r="M26" s="9">
        <v>410</v>
      </c>
      <c r="N26" s="9">
        <v>4</v>
      </c>
      <c r="O26" s="9">
        <v>201.9</v>
      </c>
      <c r="P26" s="9">
        <f>-105.24*-1</f>
        <v>105.24</v>
      </c>
    </row>
    <row r="27" spans="1:23" x14ac:dyDescent="0.2">
      <c r="H27" s="36"/>
      <c r="M27" s="9">
        <v>470</v>
      </c>
      <c r="N27" s="37">
        <v>5</v>
      </c>
      <c r="O27" s="37">
        <v>209.96</v>
      </c>
      <c r="P27" s="37">
        <f>-110.5*-1</f>
        <v>110.5</v>
      </c>
    </row>
    <row r="28" spans="1:23" x14ac:dyDescent="0.2">
      <c r="C28" s="25"/>
      <c r="H28" s="39"/>
      <c r="M28" s="9">
        <v>530</v>
      </c>
      <c r="N28" s="9">
        <v>6</v>
      </c>
      <c r="O28" s="9">
        <v>201.7</v>
      </c>
      <c r="P28" s="9">
        <f>-103.97*-1</f>
        <v>103.97</v>
      </c>
    </row>
    <row r="29" spans="1:23" x14ac:dyDescent="0.2">
      <c r="H29" s="45"/>
      <c r="M29" s="9">
        <v>650</v>
      </c>
      <c r="N29" s="46">
        <v>7</v>
      </c>
      <c r="O29" s="46">
        <v>204.2</v>
      </c>
      <c r="P29" s="46">
        <f>-107.2*-1</f>
        <v>107.2</v>
      </c>
    </row>
    <row r="30" spans="1:23" x14ac:dyDescent="0.2">
      <c r="C30" s="40"/>
      <c r="N30" s="4" t="s">
        <v>62</v>
      </c>
      <c r="O30" s="9">
        <f>$K$4*((POWER($J$4,2)*PI())/4)*SQRT((2/$F$4)*$O$27)</f>
        <v>2.6174431156482325E-2</v>
      </c>
      <c r="P30" s="9" t="s">
        <v>68</v>
      </c>
    </row>
    <row r="31" spans="1:23" x14ac:dyDescent="0.2">
      <c r="C31" s="25"/>
      <c r="N31" s="4" t="s">
        <v>64</v>
      </c>
      <c r="O31" s="9">
        <f>(4*$O$30)/(POWER($J$4,2)*PI())</f>
        <v>25.152699560274588</v>
      </c>
      <c r="P31" s="9" t="s">
        <v>65</v>
      </c>
    </row>
    <row r="32" spans="1:23" x14ac:dyDescent="0.2">
      <c r="N32" s="4" t="s">
        <v>66</v>
      </c>
      <c r="O32" s="9">
        <f>(4*$O$30)/(POWER($D$4,2)*PI())</f>
        <v>9.6063140626775017</v>
      </c>
      <c r="P32" s="9" t="s">
        <v>65</v>
      </c>
    </row>
    <row r="33" spans="1:28" x14ac:dyDescent="0.2">
      <c r="N33" s="4" t="s">
        <v>67</v>
      </c>
      <c r="O33" s="9">
        <f>0.5*$F$4*(POWER(O31,2)-POWER(O32,2))</f>
        <v>319.76678052846097</v>
      </c>
      <c r="P33" s="9" t="s">
        <v>68</v>
      </c>
    </row>
    <row r="34" spans="1:28" x14ac:dyDescent="0.2">
      <c r="N34" s="4" t="s">
        <v>69</v>
      </c>
      <c r="O34" s="23">
        <f>$P$28/$O$33</f>
        <v>0.32514321790454437</v>
      </c>
      <c r="P34" s="9" t="s">
        <v>70</v>
      </c>
    </row>
    <row r="35" spans="1:28" ht="20" x14ac:dyDescent="0.2">
      <c r="A35" s="12" t="s">
        <v>78</v>
      </c>
      <c r="B35" s="43"/>
      <c r="C35" s="47"/>
      <c r="D35" s="43"/>
      <c r="E35" s="43"/>
      <c r="F35" s="43"/>
      <c r="G35" s="43"/>
      <c r="H35" s="43"/>
      <c r="I35" s="43"/>
      <c r="J35" s="43"/>
      <c r="K35" s="43"/>
      <c r="N35" s="12" t="s">
        <v>79</v>
      </c>
    </row>
    <row r="36" spans="1:28" ht="34" x14ac:dyDescent="0.2">
      <c r="A36" s="28" t="s">
        <v>42</v>
      </c>
      <c r="B36" s="15" t="s">
        <v>43</v>
      </c>
      <c r="C36" s="29" t="s">
        <v>73</v>
      </c>
      <c r="D36" s="15" t="s">
        <v>45</v>
      </c>
      <c r="E36" s="15" t="s">
        <v>46</v>
      </c>
      <c r="F36" s="15" t="s">
        <v>47</v>
      </c>
      <c r="G36" s="15" t="s">
        <v>48</v>
      </c>
      <c r="H36" s="67" t="s">
        <v>80</v>
      </c>
      <c r="I36" s="68"/>
      <c r="J36" s="3" t="s">
        <v>50</v>
      </c>
      <c r="K36" s="15" t="s">
        <v>81</v>
      </c>
      <c r="M36" s="4" t="s">
        <v>82</v>
      </c>
      <c r="N36" s="4" t="s">
        <v>76</v>
      </c>
      <c r="O36" s="4" t="s">
        <v>54</v>
      </c>
      <c r="P36" s="4" t="s">
        <v>55</v>
      </c>
    </row>
    <row r="37" spans="1:28" x14ac:dyDescent="0.2">
      <c r="A37" s="9" t="s">
        <v>56</v>
      </c>
      <c r="B37" s="9">
        <v>0.6</v>
      </c>
      <c r="C37" s="21">
        <f>($B37/SQRT(1-POWER($A$4,4)))*$B$4*((POWER($C$4,2)*PI())/4)*SQRT((2/$F$4)*$O$6)</f>
        <v>2.5757514727775009E-2</v>
      </c>
      <c r="D37" s="7">
        <f>(4*$C37)/(POWER($D$4,2)*PI())</f>
        <v>9.4533009894187732</v>
      </c>
      <c r="E37" s="7">
        <f>(4*$C37)/(POWER($C$4,2)*PI())</f>
        <v>21.784651879517948</v>
      </c>
      <c r="F37" s="7">
        <f>($D37*$D$4)/$E$4</f>
        <v>36631.541333997746</v>
      </c>
      <c r="G37" s="9">
        <f>((19000*$A$4)/$F37)^(0.8)</f>
        <v>0.42353750237702059</v>
      </c>
      <c r="H37" s="9">
        <f>0.5961+0.0261*POWER($A$4,2)-0.216*POWER($A$4,8)+0.000521*(((POWER(10,6)*$A$4)/$F37)^(0.7))+(0.0188+0.0063*$G37)*($A$4^(3.5))*(((10^(6))/$F37)^(0.3))+0.011*(0.75-$A$4)*(2.8-($D$4/0.0254))</f>
        <v>0.61761954349515913</v>
      </c>
      <c r="I37" s="32" t="s">
        <v>57</v>
      </c>
      <c r="J37" s="21">
        <f>((POWER($J$4,2)*PI())/4)*SQRT((2/$F$4)*$P$6)</f>
        <v>1.9772687349396415E-2</v>
      </c>
      <c r="K37" s="7">
        <f>C39/J37</f>
        <v>1.3404301228229853</v>
      </c>
      <c r="M37" s="9">
        <v>260</v>
      </c>
      <c r="N37" s="37">
        <v>1</v>
      </c>
      <c r="O37" s="37">
        <v>207.8</v>
      </c>
      <c r="P37" s="37">
        <f>-280*-1</f>
        <v>280</v>
      </c>
    </row>
    <row r="38" spans="1:28" x14ac:dyDescent="0.2">
      <c r="A38" s="9" t="s">
        <v>83</v>
      </c>
      <c r="B38" s="9">
        <f>H37</f>
        <v>0.61761954349515913</v>
      </c>
      <c r="C38" s="21">
        <f>($B38/SQRT(1-POWER($A$4,4)))*$B$4*((POWER($C$4,2)*PI())/4)*SQRT((2/$F$4)*$O$6)</f>
        <v>2.6513907479563729E-2</v>
      </c>
      <c r="D38" s="7">
        <f>(4*$C38)/(POWER($D$4,2)*PI())</f>
        <v>9.7309057360119304</v>
      </c>
      <c r="E38" s="7">
        <f>(4*$C38)/(POWER($C$4,2)*PI())</f>
        <v>22.424377915048055</v>
      </c>
      <c r="F38" s="7">
        <f>($D38*$D$4)/$E$4</f>
        <v>37707.259727046228</v>
      </c>
      <c r="G38" s="9">
        <f>((19000*$A$4)/$F38)^(0.8)</f>
        <v>0.41384341340844655</v>
      </c>
      <c r="H38" s="33">
        <f>0.5961+0.0261*POWER($A$4,2)-0.216*POWER($A$4,8)+0.000521*(((POWER(10,6)*$A$4)/$F38)^(0.7))+(0.0188+0.0063*$G38)*($A$4^(3.5))*(((10^(6))/$F38)^(0.3))+0.011*(0.75-$A$4)*(2.8-($D$4/0.0254))</f>
        <v>0.61738656106550682</v>
      </c>
      <c r="I38" s="34" t="s">
        <v>59</v>
      </c>
      <c r="J38" s="11"/>
      <c r="K38" s="11"/>
      <c r="M38" s="9">
        <v>340</v>
      </c>
      <c r="N38" s="9">
        <v>2</v>
      </c>
      <c r="O38" s="9">
        <v>206.4</v>
      </c>
      <c r="P38" s="9">
        <f>-287*-1</f>
        <v>287</v>
      </c>
    </row>
    <row r="39" spans="1:28" x14ac:dyDescent="0.2">
      <c r="A39" s="9" t="s">
        <v>60</v>
      </c>
      <c r="B39" s="9">
        <f>H38</f>
        <v>0.61738656106550682</v>
      </c>
      <c r="C39" s="21">
        <f>($B39/SQRT(1-POWER($A$4,4)))*$B$4*((POWER($C$4,2)*PI())/4)*SQRT((2/$F$4)*$O$6)</f>
        <v>2.6503905732291926E-2</v>
      </c>
      <c r="D39" s="7">
        <f>(4*$C39)/(POWER($D$4,2)*PI())</f>
        <v>9.7272349809573484</v>
      </c>
      <c r="E39" s="7">
        <f>(4*$C39)/(POWER($C$4,2)*PI())</f>
        <v>22.415918846508024</v>
      </c>
      <c r="F39" s="7">
        <f>($D39*$D$4)/$E$4</f>
        <v>37693.035551209723</v>
      </c>
      <c r="G39" s="9">
        <f>((19000*$A$4)/$F39)^(0.8)</f>
        <v>0.41396834597038701</v>
      </c>
      <c r="H39" s="33">
        <f>0.5961+0.0261*POWER($A$4,2)-0.216*POWER($A$4,8)+0.000521*(((POWER(10,6)*$A$4)/$F39)^(0.7))+(0.0188+0.0063*$G39)*($A$4^(3.5))*(((10^(6))/$F39)^(0.3))+0.011*(0.75-$A$4)*(2.8-($D$4/0.0254))</f>
        <v>0.61738957160847596</v>
      </c>
      <c r="I39" s="35" t="s">
        <v>61</v>
      </c>
      <c r="J39" s="11"/>
      <c r="K39" s="11"/>
      <c r="M39" s="9">
        <v>400</v>
      </c>
      <c r="N39" s="9">
        <v>3</v>
      </c>
      <c r="O39" s="9">
        <v>207.9</v>
      </c>
      <c r="P39" s="9">
        <f>-294*-1</f>
        <v>294</v>
      </c>
    </row>
    <row r="40" spans="1:28" x14ac:dyDescent="0.2">
      <c r="A40" s="11"/>
      <c r="B40" s="11"/>
      <c r="C40" s="42"/>
      <c r="D40" s="11"/>
      <c r="E40" s="11"/>
      <c r="F40" s="11"/>
      <c r="G40" s="11"/>
      <c r="H40" s="11"/>
      <c r="I40" s="11"/>
      <c r="J40" s="11"/>
      <c r="K40" s="11"/>
      <c r="M40" s="9">
        <v>460</v>
      </c>
      <c r="N40" s="9">
        <v>4</v>
      </c>
      <c r="O40" s="9">
        <v>205.7</v>
      </c>
      <c r="P40" s="9">
        <f>-298*-1</f>
        <v>298</v>
      </c>
    </row>
    <row r="41" spans="1:28" x14ac:dyDescent="0.2">
      <c r="H41" s="36"/>
      <c r="M41" s="9">
        <v>520</v>
      </c>
      <c r="N41" s="9">
        <v>5</v>
      </c>
      <c r="O41" s="9">
        <v>205.2</v>
      </c>
      <c r="P41" s="9">
        <f>-295*-1</f>
        <v>295</v>
      </c>
    </row>
    <row r="42" spans="1:28" x14ac:dyDescent="0.2">
      <c r="C42" s="25"/>
      <c r="H42" s="48"/>
      <c r="M42" s="9">
        <v>580</v>
      </c>
      <c r="N42" s="9">
        <v>6</v>
      </c>
      <c r="O42" s="9">
        <v>204.2</v>
      </c>
      <c r="P42" s="9">
        <f>-289*-1</f>
        <v>289</v>
      </c>
    </row>
    <row r="43" spans="1:28" x14ac:dyDescent="0.2">
      <c r="H43" s="49"/>
      <c r="M43" s="9">
        <v>700</v>
      </c>
      <c r="N43" s="9">
        <v>7</v>
      </c>
      <c r="O43" s="9">
        <v>205.7</v>
      </c>
      <c r="P43" s="9">
        <f>-284*-1</f>
        <v>284</v>
      </c>
      <c r="U43" s="5">
        <v>6</v>
      </c>
      <c r="V43" s="5">
        <v>0.88500000000000001</v>
      </c>
    </row>
    <row r="44" spans="1:28" x14ac:dyDescent="0.2">
      <c r="C44" s="40"/>
      <c r="N44" s="4" t="s">
        <v>62</v>
      </c>
      <c r="O44" s="9">
        <f>$K$4*((POWER($J$4,2)*PI())/4)*SQRT((2/$F$4)*$O$37)</f>
        <v>2.6039446082985539E-2</v>
      </c>
      <c r="P44" s="9" t="s">
        <v>68</v>
      </c>
      <c r="U44" s="5">
        <v>30</v>
      </c>
      <c r="V44" s="5">
        <v>0.73299999999999998</v>
      </c>
    </row>
    <row r="45" spans="1:28" x14ac:dyDescent="0.2">
      <c r="C45" s="25"/>
      <c r="N45" s="4" t="s">
        <v>64</v>
      </c>
      <c r="O45" s="9">
        <f>(4*$O$44)/(POWER($J$4,2)*PI())</f>
        <v>25.022983694493664</v>
      </c>
      <c r="P45" s="9" t="s">
        <v>65</v>
      </c>
      <c r="U45" s="5">
        <v>180</v>
      </c>
      <c r="V45" s="5">
        <v>0.34599999999999997</v>
      </c>
    </row>
    <row r="46" spans="1:28" x14ac:dyDescent="0.2">
      <c r="N46" s="4" t="s">
        <v>66</v>
      </c>
      <c r="O46" s="9">
        <f>(4*$O$44)/(POWER($D$4,2)*PI())</f>
        <v>9.5567730047637145</v>
      </c>
      <c r="P46" s="9" t="s">
        <v>65</v>
      </c>
      <c r="X46" s="50"/>
      <c r="Y46" s="51"/>
      <c r="Z46" s="51"/>
      <c r="AA46" s="52"/>
      <c r="AB46" s="51"/>
    </row>
    <row r="47" spans="1:28" x14ac:dyDescent="0.2">
      <c r="N47" s="4" t="s">
        <v>67</v>
      </c>
      <c r="O47" s="9">
        <f>0.5*$F$4*(POWER(O45,2)-POWER(O46,2))</f>
        <v>316.47712418467421</v>
      </c>
      <c r="P47" s="9" t="s">
        <v>68</v>
      </c>
      <c r="U47" s="62"/>
    </row>
    <row r="48" spans="1:28" x14ac:dyDescent="0.2">
      <c r="N48" s="4" t="s">
        <v>69</v>
      </c>
      <c r="O48" s="23">
        <f>$P$38/$O$47</f>
        <v>0.906858594406737</v>
      </c>
      <c r="P48" s="9" t="s">
        <v>70</v>
      </c>
      <c r="W48" s="19"/>
    </row>
    <row r="49" spans="10:24" x14ac:dyDescent="0.2">
      <c r="X49" s="50"/>
    </row>
    <row r="50" spans="10:24" x14ac:dyDescent="0.2">
      <c r="N50" s="4" t="s">
        <v>84</v>
      </c>
      <c r="O50" s="53">
        <f>(O19-O16)/(0.5*$F$4*POWER(O17,2))</f>
        <v>0.854068555584651</v>
      </c>
      <c r="P50" s="9" t="s">
        <v>70</v>
      </c>
      <c r="W50" s="17"/>
    </row>
    <row r="51" spans="10:24" x14ac:dyDescent="0.2">
      <c r="N51" s="4" t="s">
        <v>85</v>
      </c>
      <c r="O51" s="53">
        <f>(O33-O30)/(0.5*$F$4*POWER(O31,2))</f>
        <v>0.85406734882921209</v>
      </c>
      <c r="P51" s="9" t="s">
        <v>70</v>
      </c>
      <c r="W51" s="26"/>
      <c r="X51" s="41"/>
    </row>
    <row r="52" spans="10:24" x14ac:dyDescent="0.2">
      <c r="M52" s="24"/>
      <c r="N52" s="4" t="s">
        <v>86</v>
      </c>
      <c r="O52" s="53">
        <f>(O47-O44)/(0.5*$F$4*POWER(O45,2))</f>
        <v>0.85406698639800727</v>
      </c>
      <c r="P52" s="9" t="s">
        <v>70</v>
      </c>
      <c r="W52" s="26"/>
      <c r="X52" s="50"/>
    </row>
    <row r="53" spans="10:24" x14ac:dyDescent="0.2">
      <c r="K53" s="25"/>
      <c r="W53" s="30"/>
      <c r="X53" s="31"/>
    </row>
    <row r="54" spans="10:24" x14ac:dyDescent="0.2">
      <c r="K54" s="25"/>
      <c r="M54" s="54"/>
      <c r="N54" s="4" t="s">
        <v>87</v>
      </c>
      <c r="O54" s="23">
        <f>O20</f>
        <v>0.73331802879168129</v>
      </c>
      <c r="P54" s="9" t="s">
        <v>70</v>
      </c>
      <c r="Q54" s="42"/>
      <c r="W54" s="26"/>
      <c r="X54" s="31"/>
    </row>
    <row r="55" spans="10:24" x14ac:dyDescent="0.2">
      <c r="M55" s="54"/>
      <c r="N55" s="4" t="s">
        <v>88</v>
      </c>
      <c r="O55" s="23">
        <f>O34</f>
        <v>0.32514321790454437</v>
      </c>
      <c r="P55" s="9" t="s">
        <v>70</v>
      </c>
      <c r="Q55" s="42"/>
      <c r="W55" s="26"/>
      <c r="X55" s="31"/>
    </row>
    <row r="56" spans="10:24" x14ac:dyDescent="0.2">
      <c r="M56" s="54"/>
      <c r="N56" s="4" t="s">
        <v>89</v>
      </c>
      <c r="O56" s="23">
        <f>O48</f>
        <v>0.906858594406737</v>
      </c>
      <c r="P56" s="9" t="s">
        <v>70</v>
      </c>
      <c r="Q56" s="42"/>
      <c r="W56" s="24"/>
      <c r="X56" s="41"/>
    </row>
    <row r="57" spans="10:24" x14ac:dyDescent="0.2">
      <c r="J57" s="24"/>
      <c r="K57" s="25"/>
    </row>
    <row r="58" spans="10:24" x14ac:dyDescent="0.2">
      <c r="N58" s="24"/>
    </row>
    <row r="59" spans="10:24" x14ac:dyDescent="0.2">
      <c r="N59" s="24"/>
    </row>
    <row r="60" spans="10:24" x14ac:dyDescent="0.2">
      <c r="N60" s="24"/>
    </row>
    <row r="62" spans="10:24" x14ac:dyDescent="0.2">
      <c r="X62" s="17"/>
    </row>
    <row r="63" spans="10:24" x14ac:dyDescent="0.2">
      <c r="U63" s="5">
        <v>6</v>
      </c>
      <c r="V63" s="25">
        <v>2.2200000000000001E-2</v>
      </c>
      <c r="W63" s="50"/>
    </row>
    <row r="64" spans="10:24" x14ac:dyDescent="0.2">
      <c r="L64" s="43"/>
      <c r="M64" s="43"/>
      <c r="N64" s="43"/>
      <c r="O64" s="43"/>
      <c r="P64" s="43"/>
      <c r="Q64" s="43" t="s">
        <v>90</v>
      </c>
      <c r="R64" s="43"/>
      <c r="U64" s="5">
        <v>30</v>
      </c>
      <c r="V64" s="5">
        <v>1.8499999999999999E-2</v>
      </c>
    </row>
    <row r="65" spans="9:22" x14ac:dyDescent="0.2">
      <c r="L65" s="43"/>
      <c r="M65" s="43"/>
      <c r="N65" s="43"/>
      <c r="O65" s="43"/>
      <c r="P65" s="43"/>
      <c r="Q65" s="43" t="s">
        <v>91</v>
      </c>
      <c r="R65" s="55"/>
      <c r="U65" s="5">
        <v>180</v>
      </c>
      <c r="V65" s="5">
        <v>1.04E-2</v>
      </c>
    </row>
    <row r="66" spans="9:22" x14ac:dyDescent="0.2">
      <c r="L66" s="43"/>
      <c r="M66" s="43"/>
      <c r="N66" s="43"/>
      <c r="O66" s="43"/>
      <c r="P66" s="43"/>
      <c r="Q66" s="43" t="s">
        <v>92</v>
      </c>
      <c r="R66" s="55"/>
    </row>
    <row r="67" spans="9:22" ht="20" x14ac:dyDescent="0.2">
      <c r="I67" s="2" t="s">
        <v>38</v>
      </c>
      <c r="L67" s="43"/>
      <c r="M67" s="43"/>
      <c r="N67" s="43"/>
      <c r="O67" s="43"/>
      <c r="P67" s="43"/>
      <c r="Q67" s="43" t="s">
        <v>93</v>
      </c>
      <c r="R67" s="55"/>
    </row>
    <row r="68" spans="9:22" x14ac:dyDescent="0.2">
      <c r="L68" s="9"/>
      <c r="M68" s="4" t="s">
        <v>94</v>
      </c>
      <c r="N68" s="4" t="s">
        <v>95</v>
      </c>
      <c r="O68" s="4" t="s">
        <v>96</v>
      </c>
      <c r="P68" s="4" t="s">
        <v>97</v>
      </c>
      <c r="Q68" s="43"/>
      <c r="R68" s="43"/>
    </row>
    <row r="69" spans="9:22" x14ac:dyDescent="0.2">
      <c r="L69" s="4" t="s">
        <v>98</v>
      </c>
      <c r="M69" s="9">
        <f>-(4*$P$37*POWER($D$4,4)*POWER($J$4,3))/(POWER($K$4,2)*$O$37*($J$4^4-($D$4)^4)^2)</f>
        <v>-16.603169493091492</v>
      </c>
      <c r="N69" s="9">
        <f>(4*$P$37*POWER($D$4,3)*POWER($J$4,4))/(POWER($K$4,2)*$O$37*($J$4^4-($D$4)^4)^2)</f>
        <v>10.260702369244999</v>
      </c>
      <c r="O69" s="9">
        <f>-$P$37/(POWER($K$4,2)*POWER($O$37,2)*(1-($J$4^4/($D$4)^4)))</f>
        <v>-4.2576520312999694E-3</v>
      </c>
      <c r="P69" s="9">
        <f>1/(POWER($K$4,2)*POWER($O$37,1)*(1-($J$4^4/($D$4)^4)))</f>
        <v>3.1597860432290487E-3</v>
      </c>
      <c r="Q69" s="43"/>
      <c r="R69" s="43"/>
    </row>
    <row r="70" spans="9:22" x14ac:dyDescent="0.2">
      <c r="L70" s="4" t="s">
        <v>99</v>
      </c>
      <c r="M70" s="9">
        <f>-(4*$P$14*POWER($D$4,4)*POWER($J$4,3))/(POWER($K$4,2)*$O$14*($J$4^4-($D$4)^4)^2)</f>
        <v>-13.761559618499794</v>
      </c>
      <c r="N70" s="9">
        <f>(4*$P$14*POWER($D$4,3)*POWER($J$4,4))/(POWER($K$4,2)*$O$14*($J$4^4-($D$4)^4)^2)</f>
        <v>8.5045971156772922</v>
      </c>
      <c r="O70" s="9">
        <f>-$P$14/(POWER($K$4,2)*POWER($O$14,2)*(1-($J$4^4/($D$4)^4)))</f>
        <v>-3.3731280073214407E-3</v>
      </c>
      <c r="P70" s="9">
        <f>1/(POWER($K$4,2)*POWER($O$14,1)*(1-($J$4^4/($D$4)^4)))</f>
        <v>3.0202554727828722E-3</v>
      </c>
      <c r="Q70" s="43"/>
      <c r="R70" s="43"/>
    </row>
    <row r="71" spans="9:22" x14ac:dyDescent="0.2">
      <c r="L71" s="4" t="s">
        <v>100</v>
      </c>
      <c r="M71" s="9">
        <f>-(4*$P$27*POWER($D$4,4)*POWER($J$4,3))/(POWER($K$4,2)*$O$27*($J$4^4-($D$4)^4)^2)</f>
        <v>-6.4849140921981325</v>
      </c>
      <c r="N71" s="9">
        <f>(4*$P$27*POWER($D$4,3)*POWER($J$4,4))/(POWER($K$4,2)*$O$27*($J$4^4-($D$4)^4)^2)</f>
        <v>4.0076548888966386</v>
      </c>
      <c r="O71" s="9">
        <f>-$P$27/(POWER($K$4,2)*POWER($O$27,2)*(1-($J$4^4/($D$4)^4)))</f>
        <v>-1.6458580255663893E-3</v>
      </c>
      <c r="P71" s="9">
        <f>1/(POWER($K$4,2)*POWER($O$27,1)*(1-($J$4^4/($D$4)^4)))</f>
        <v>3.1272791950037924E-3</v>
      </c>
      <c r="Q71" s="43"/>
      <c r="R71" s="43"/>
    </row>
    <row r="72" spans="9:22" x14ac:dyDescent="0.2">
      <c r="L72" s="43"/>
      <c r="M72" s="55"/>
      <c r="N72" s="55"/>
      <c r="O72" s="55"/>
      <c r="P72" s="43"/>
      <c r="Q72" s="43"/>
      <c r="R72" s="43"/>
      <c r="U72" s="25"/>
    </row>
    <row r="73" spans="9:22" x14ac:dyDescent="0.2">
      <c r="K73" s="11"/>
      <c r="L73" s="4" t="s">
        <v>101</v>
      </c>
      <c r="M73" s="56">
        <f>SQRT(($M$77*M69)^2+(($M$77*N69)^2+($M$78*O69)^2+($M$78*P69)^2))</f>
        <v>2.2212488490959883E-2</v>
      </c>
      <c r="N73" s="9" t="s">
        <v>70</v>
      </c>
      <c r="O73" s="4" t="s">
        <v>102</v>
      </c>
      <c r="P73" s="57">
        <f>M73/O56</f>
        <v>2.4493883200711351E-2</v>
      </c>
      <c r="Q73" s="9" t="s">
        <v>70</v>
      </c>
      <c r="R73" s="43"/>
    </row>
    <row r="74" spans="9:22" x14ac:dyDescent="0.2">
      <c r="K74" s="11" t="s">
        <v>116</v>
      </c>
      <c r="L74" s="4" t="s">
        <v>103</v>
      </c>
      <c r="M74" s="56">
        <f>SQRT(($M$77*M70)^2+(($M$77*N70)^2+($M$78*O70)^2+($M$78*P70)^2))</f>
        <v>1.8539375338239301E-2</v>
      </c>
      <c r="N74" s="9" t="s">
        <v>70</v>
      </c>
      <c r="O74" s="4" t="s">
        <v>104</v>
      </c>
      <c r="P74" s="57">
        <f>M74/O54</f>
        <v>2.5281493990796058E-2</v>
      </c>
      <c r="Q74" s="9" t="s">
        <v>70</v>
      </c>
      <c r="R74" s="43"/>
    </row>
    <row r="75" spans="9:22" x14ac:dyDescent="0.2">
      <c r="K75" s="11"/>
      <c r="L75" s="4" t="s">
        <v>105</v>
      </c>
      <c r="M75" s="56">
        <f t="shared" ref="M75" si="0">SQRT(($M$77*M71)^2+(($M$77*N71)^2+($M$78*O71)^2+($M$78*P71)^2))</f>
        <v>1.0395686783805412E-2</v>
      </c>
      <c r="N75" s="9" t="s">
        <v>70</v>
      </c>
      <c r="O75" s="4" t="s">
        <v>106</v>
      </c>
      <c r="P75" s="57">
        <f>M75/O55</f>
        <v>3.1972639167449531E-2</v>
      </c>
      <c r="Q75" s="9" t="s">
        <v>70</v>
      </c>
      <c r="R75" s="43"/>
    </row>
    <row r="76" spans="9:22" x14ac:dyDescent="0.2">
      <c r="L76" s="58" t="s">
        <v>107</v>
      </c>
      <c r="M76" s="58" t="s">
        <v>108</v>
      </c>
      <c r="N76" s="58" t="s">
        <v>109</v>
      </c>
      <c r="O76" s="43"/>
      <c r="P76" s="43"/>
      <c r="Q76" s="43"/>
      <c r="R76" s="43"/>
    </row>
    <row r="77" spans="9:22" x14ac:dyDescent="0.2">
      <c r="L77" s="4" t="s">
        <v>110</v>
      </c>
      <c r="M77" s="9">
        <v>1E-3</v>
      </c>
      <c r="N77" s="33" t="s">
        <v>111</v>
      </c>
      <c r="O77" s="4" t="s">
        <v>112</v>
      </c>
      <c r="P77" s="57">
        <f>M73/2</f>
        <v>1.1106244245479941E-2</v>
      </c>
      <c r="Q77" s="43"/>
      <c r="R77" s="43"/>
    </row>
    <row r="78" spans="9:22" x14ac:dyDescent="0.2">
      <c r="L78" s="4" t="s">
        <v>113</v>
      </c>
      <c r="M78" s="9">
        <v>2</v>
      </c>
      <c r="N78" s="33" t="s">
        <v>68</v>
      </c>
      <c r="O78" s="4" t="s">
        <v>114</v>
      </c>
      <c r="P78" s="57">
        <f>M74/2</f>
        <v>9.2696876691196507E-3</v>
      </c>
      <c r="Q78" s="43"/>
      <c r="R78" s="43"/>
    </row>
    <row r="79" spans="9:22" x14ac:dyDescent="0.2">
      <c r="L79" s="43"/>
      <c r="M79" s="43"/>
      <c r="N79" s="43"/>
      <c r="O79" s="4" t="s">
        <v>115</v>
      </c>
      <c r="P79" s="57">
        <f>M75/2</f>
        <v>5.1978433919027062E-3</v>
      </c>
      <c r="Q79" s="43"/>
      <c r="R79" s="43"/>
    </row>
    <row r="81" spans="14:15" x14ac:dyDescent="0.2">
      <c r="N81" s="25"/>
    </row>
    <row r="82" spans="14:15" x14ac:dyDescent="0.2">
      <c r="O82" s="25"/>
    </row>
  </sheetData>
  <mergeCells count="4">
    <mergeCell ref="H8:I8"/>
    <mergeCell ref="H22:I22"/>
    <mergeCell ref="H36:I36"/>
    <mergeCell ref="R8:S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 Manometer</vt:lpstr>
      <vt:lpstr>Calibration Inlet Orifice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Kevin Fahlevi</cp:lastModifiedBy>
  <dcterms:modified xsi:type="dcterms:W3CDTF">2023-12-11T16:52:17Z</dcterms:modified>
  <cp:category/>
</cp:coreProperties>
</file>