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kharytonau/Projects/results-analyzer/2025/Minsk_Indoor_Triathlon_2025/"/>
    </mc:Choice>
  </mc:AlternateContent>
  <xr:revisionPtr revIDLastSave="0" documentId="13_ncr:1_{873983AB-BAFE-2E4E-898A-B317CC5FE88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Протоко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/>
  <c r="C165" i="1"/>
  <c r="C164" i="1"/>
  <c r="AC161" i="1"/>
  <c r="V106" i="1"/>
  <c r="W106" i="1" s="1"/>
  <c r="X106" i="1" s="1"/>
  <c r="V83" i="1"/>
  <c r="W83" i="1" s="1"/>
  <c r="X83" i="1" s="1"/>
  <c r="V78" i="1"/>
  <c r="W78" i="1" s="1"/>
  <c r="X78" i="1" s="1"/>
  <c r="V40" i="1"/>
  <c r="W40" i="1" s="1"/>
  <c r="X40" i="1" s="1"/>
  <c r="V60" i="1"/>
  <c r="W60" i="1" s="1"/>
  <c r="X60" i="1" s="1"/>
  <c r="V80" i="1"/>
  <c r="W80" i="1" s="1"/>
  <c r="X80" i="1" s="1"/>
  <c r="V16" i="1"/>
  <c r="W16" i="1" s="1"/>
  <c r="X16" i="1" s="1"/>
  <c r="V141" i="1"/>
  <c r="W141" i="1" s="1"/>
  <c r="X141" i="1" s="1"/>
  <c r="V25" i="1"/>
  <c r="W25" i="1" s="1"/>
  <c r="X25" i="1" s="1"/>
  <c r="V45" i="1"/>
  <c r="W45" i="1" s="1"/>
  <c r="X45" i="1" s="1"/>
  <c r="V105" i="1"/>
  <c r="W105" i="1" s="1"/>
  <c r="X105" i="1" s="1"/>
  <c r="V10" i="1"/>
  <c r="W10" i="1" s="1"/>
  <c r="X10" i="1" s="1"/>
  <c r="V90" i="1"/>
  <c r="W90" i="1" s="1"/>
  <c r="X90" i="1" s="1"/>
  <c r="V74" i="1"/>
  <c r="W74" i="1" s="1"/>
  <c r="X74" i="1" s="1"/>
  <c r="V30" i="1"/>
  <c r="W30" i="1" s="1"/>
  <c r="X30" i="1" s="1"/>
  <c r="V138" i="1"/>
  <c r="W138" i="1" s="1"/>
  <c r="X138" i="1" s="1"/>
  <c r="V132" i="1"/>
  <c r="W132" i="1" s="1"/>
  <c r="X132" i="1" s="1"/>
  <c r="V50" i="1"/>
  <c r="W50" i="1" s="1"/>
  <c r="X50" i="1" s="1"/>
  <c r="V115" i="1"/>
  <c r="W115" i="1" s="1"/>
  <c r="X115" i="1" s="1"/>
  <c r="V37" i="1"/>
  <c r="W37" i="1" s="1"/>
  <c r="X37" i="1" s="1"/>
  <c r="V107" i="1"/>
  <c r="W107" i="1" s="1"/>
  <c r="X107" i="1" s="1"/>
  <c r="V84" i="1"/>
  <c r="W84" i="1" s="1"/>
  <c r="X84" i="1" s="1"/>
  <c r="V7" i="1"/>
  <c r="W7" i="1" s="1"/>
  <c r="X7" i="1" s="1"/>
  <c r="V157" i="1"/>
  <c r="W157" i="1" s="1"/>
  <c r="X157" i="1" s="1"/>
  <c r="V26" i="1"/>
  <c r="W26" i="1" s="1"/>
  <c r="X26" i="1" s="1"/>
  <c r="V131" i="1"/>
  <c r="W131" i="1" s="1"/>
  <c r="X131" i="1" s="1"/>
  <c r="V137" i="1"/>
  <c r="W137" i="1" s="1"/>
  <c r="X137" i="1" s="1"/>
  <c r="V52" i="1"/>
  <c r="W52" i="1" s="1"/>
  <c r="X52" i="1" s="1"/>
  <c r="V145" i="1"/>
  <c r="W145" i="1" s="1"/>
  <c r="X145" i="1" s="1"/>
  <c r="V119" i="1"/>
  <c r="W119" i="1" s="1"/>
  <c r="X119" i="1" s="1"/>
  <c r="V124" i="1"/>
  <c r="W124" i="1" s="1"/>
  <c r="X124" i="1" s="1"/>
  <c r="V155" i="1"/>
  <c r="W155" i="1" s="1"/>
  <c r="X155" i="1" s="1"/>
  <c r="V92" i="1"/>
  <c r="W92" i="1" s="1"/>
  <c r="X92" i="1" s="1"/>
  <c r="V5" i="1"/>
  <c r="W5" i="1" s="1"/>
  <c r="X5" i="1" s="1"/>
  <c r="V69" i="1"/>
  <c r="W69" i="1" s="1"/>
  <c r="X69" i="1" s="1"/>
  <c r="V112" i="1"/>
  <c r="W112" i="1" s="1"/>
  <c r="X112" i="1" s="1"/>
  <c r="V57" i="1"/>
  <c r="W57" i="1" s="1"/>
  <c r="X57" i="1" s="1"/>
  <c r="V24" i="1"/>
  <c r="W24" i="1" s="1"/>
  <c r="X24" i="1" s="1"/>
  <c r="V118" i="1"/>
  <c r="W118" i="1" s="1"/>
  <c r="X118" i="1" s="1"/>
  <c r="V136" i="1"/>
  <c r="W136" i="1" s="1"/>
  <c r="X136" i="1" s="1"/>
  <c r="V18" i="1"/>
  <c r="W18" i="1" s="1"/>
  <c r="X18" i="1" s="1"/>
  <c r="V82" i="1"/>
  <c r="W82" i="1" s="1"/>
  <c r="X82" i="1" s="1"/>
  <c r="V42" i="1"/>
  <c r="W42" i="1" s="1"/>
  <c r="X42" i="1" s="1"/>
  <c r="V77" i="1"/>
  <c r="W77" i="1" s="1"/>
  <c r="X77" i="1" s="1"/>
  <c r="V28" i="1"/>
  <c r="W28" i="1" s="1"/>
  <c r="X28" i="1" s="1"/>
  <c r="V8" i="1"/>
  <c r="W8" i="1" s="1"/>
  <c r="X8" i="1" s="1"/>
  <c r="V85" i="1"/>
  <c r="W85" i="1" s="1"/>
  <c r="X85" i="1" s="1"/>
  <c r="V149" i="1"/>
  <c r="W149" i="1" s="1"/>
  <c r="X149" i="1" s="1"/>
  <c r="V109" i="1"/>
  <c r="W109" i="1" s="1"/>
  <c r="X109" i="1" s="1"/>
  <c r="V140" i="1"/>
  <c r="W140" i="1" s="1"/>
  <c r="X140" i="1" s="1"/>
  <c r="V108" i="1"/>
  <c r="W108" i="1" s="1"/>
  <c r="X108" i="1" s="1"/>
  <c r="V88" i="1"/>
  <c r="W88" i="1" s="1"/>
  <c r="X88" i="1" s="1"/>
  <c r="V120" i="1"/>
  <c r="W120" i="1" s="1"/>
  <c r="X120" i="1" s="1"/>
  <c r="V68" i="1"/>
  <c r="W68" i="1" s="1"/>
  <c r="X68" i="1" s="1"/>
  <c r="V123" i="1"/>
  <c r="W123" i="1" s="1"/>
  <c r="X123" i="1" s="1"/>
  <c r="V39" i="1"/>
  <c r="W39" i="1" s="1"/>
  <c r="X39" i="1" s="1"/>
  <c r="V49" i="1"/>
  <c r="W49" i="1" s="1"/>
  <c r="X49" i="1" s="1"/>
  <c r="V127" i="1"/>
  <c r="W127" i="1" s="1"/>
  <c r="X127" i="1" s="1"/>
  <c r="V94" i="1"/>
  <c r="W94" i="1" s="1"/>
  <c r="X94" i="1" s="1"/>
  <c r="V133" i="1"/>
  <c r="W133" i="1" s="1"/>
  <c r="X133" i="1" s="1"/>
  <c r="V38" i="1"/>
  <c r="W38" i="1" s="1"/>
  <c r="X38" i="1" s="1"/>
  <c r="V51" i="1"/>
  <c r="W51" i="1" s="1"/>
  <c r="X51" i="1" s="1"/>
  <c r="V19" i="1"/>
  <c r="W19" i="1" s="1"/>
  <c r="X19" i="1" s="1"/>
  <c r="V101" i="1"/>
  <c r="W101" i="1" s="1"/>
  <c r="X101" i="1" s="1"/>
  <c r="V22" i="1"/>
  <c r="W22" i="1" s="1"/>
  <c r="X22" i="1" s="1"/>
  <c r="V14" i="1"/>
  <c r="W14" i="1" s="1"/>
  <c r="X14" i="1" s="1"/>
  <c r="V76" i="1"/>
  <c r="W76" i="1" s="1"/>
  <c r="X76" i="1" s="1"/>
  <c r="V102" i="1"/>
  <c r="W102" i="1" s="1"/>
  <c r="X102" i="1" s="1"/>
  <c r="V79" i="1"/>
  <c r="W79" i="1" s="1"/>
  <c r="X79" i="1" s="1"/>
  <c r="V43" i="1"/>
  <c r="W43" i="1" s="1"/>
  <c r="X43" i="1" s="1"/>
  <c r="V54" i="1"/>
  <c r="W54" i="1" s="1"/>
  <c r="X54" i="1" s="1"/>
  <c r="V91" i="1"/>
  <c r="W91" i="1" s="1"/>
  <c r="X91" i="1" s="1"/>
  <c r="V126" i="1"/>
  <c r="W126" i="1" s="1"/>
  <c r="X126" i="1" s="1"/>
  <c r="V47" i="1"/>
  <c r="W47" i="1" s="1"/>
  <c r="X47" i="1" s="1"/>
  <c r="V44" i="1"/>
  <c r="W44" i="1" s="1"/>
  <c r="X44" i="1" s="1"/>
  <c r="V48" i="1"/>
  <c r="W48" i="1" s="1"/>
  <c r="X48" i="1" s="1"/>
  <c r="V75" i="1"/>
  <c r="W75" i="1" s="1"/>
  <c r="X75" i="1" s="1"/>
  <c r="V110" i="1"/>
  <c r="W110" i="1" s="1"/>
  <c r="X110" i="1" s="1"/>
  <c r="V100" i="1"/>
  <c r="W100" i="1" s="1"/>
  <c r="X100" i="1" s="1"/>
  <c r="V70" i="1"/>
  <c r="W70" i="1" s="1"/>
  <c r="X70" i="1" s="1"/>
  <c r="V156" i="1"/>
  <c r="W156" i="1" s="1"/>
  <c r="X156" i="1" s="1"/>
  <c r="V153" i="1"/>
  <c r="W153" i="1" s="1"/>
  <c r="X153" i="1" s="1"/>
  <c r="V116" i="1"/>
  <c r="W116" i="1" s="1"/>
  <c r="X116" i="1" s="1"/>
  <c r="V159" i="1"/>
  <c r="W159" i="1" s="1"/>
  <c r="X159" i="1" s="1"/>
  <c r="V34" i="1"/>
  <c r="W34" i="1" s="1"/>
  <c r="X34" i="1" s="1"/>
  <c r="V20" i="1"/>
  <c r="W20" i="1" s="1"/>
  <c r="X20" i="1" s="1"/>
  <c r="V143" i="1"/>
  <c r="W143" i="1" s="1"/>
  <c r="X143" i="1" s="1"/>
  <c r="V66" i="1"/>
  <c r="W66" i="1" s="1"/>
  <c r="X66" i="1" s="1"/>
  <c r="V125" i="1"/>
  <c r="W125" i="1" s="1"/>
  <c r="X125" i="1" s="1"/>
  <c r="V13" i="1"/>
  <c r="W13" i="1" s="1"/>
  <c r="X13" i="1" s="1"/>
  <c r="V135" i="1"/>
  <c r="W135" i="1" s="1"/>
  <c r="X135" i="1" s="1"/>
  <c r="V130" i="1"/>
  <c r="W130" i="1" s="1"/>
  <c r="X130" i="1" s="1"/>
  <c r="V23" i="1"/>
  <c r="W23" i="1" s="1"/>
  <c r="X23" i="1" s="1"/>
  <c r="V121" i="1"/>
  <c r="W121" i="1" s="1"/>
  <c r="X121" i="1" s="1"/>
  <c r="V55" i="1"/>
  <c r="W55" i="1" s="1"/>
  <c r="X55" i="1" s="1"/>
  <c r="V144" i="1"/>
  <c r="W144" i="1" s="1"/>
  <c r="X144" i="1" s="1"/>
  <c r="V35" i="1"/>
  <c r="W35" i="1" s="1"/>
  <c r="X35" i="1" s="1"/>
  <c r="V103" i="1"/>
  <c r="W103" i="1" s="1"/>
  <c r="X103" i="1" s="1"/>
  <c r="V62" i="1"/>
  <c r="W62" i="1" s="1"/>
  <c r="X62" i="1" s="1"/>
  <c r="V129" i="1"/>
  <c r="W129" i="1" s="1"/>
  <c r="X129" i="1" s="1"/>
  <c r="V46" i="1"/>
  <c r="W46" i="1" s="1"/>
  <c r="X46" i="1" s="1"/>
  <c r="V21" i="1"/>
  <c r="W21" i="1" s="1"/>
  <c r="X21" i="1" s="1"/>
  <c r="V67" i="1"/>
  <c r="W67" i="1" s="1"/>
  <c r="X67" i="1" s="1"/>
  <c r="V27" i="1"/>
  <c r="W27" i="1" s="1"/>
  <c r="X27" i="1" s="1"/>
  <c r="V95" i="1"/>
  <c r="W95" i="1" s="1"/>
  <c r="X95" i="1" s="1"/>
  <c r="V97" i="1"/>
  <c r="W97" i="1" s="1"/>
  <c r="X97" i="1" s="1"/>
  <c r="V31" i="1"/>
  <c r="W31" i="1" s="1"/>
  <c r="X31" i="1" s="1"/>
  <c r="V93" i="1"/>
  <c r="W93" i="1" s="1"/>
  <c r="X93" i="1" s="1"/>
  <c r="V87" i="1"/>
  <c r="W87" i="1" s="1"/>
  <c r="X87" i="1" s="1"/>
  <c r="V63" i="1"/>
  <c r="W63" i="1" s="1"/>
  <c r="X63" i="1" s="1"/>
  <c r="V73" i="1"/>
  <c r="W73" i="1" s="1"/>
  <c r="X73" i="1" s="1"/>
  <c r="V114" i="1"/>
  <c r="W114" i="1" s="1"/>
  <c r="X114" i="1" s="1"/>
  <c r="V150" i="1"/>
  <c r="W150" i="1" s="1"/>
  <c r="X150" i="1" s="1"/>
  <c r="V33" i="1"/>
  <c r="W33" i="1" s="1"/>
  <c r="X33" i="1" s="1"/>
  <c r="V96" i="1"/>
  <c r="W96" i="1" s="1"/>
  <c r="X96" i="1" s="1"/>
  <c r="V139" i="1"/>
  <c r="W139" i="1" s="1"/>
  <c r="X139" i="1" s="1"/>
  <c r="V128" i="1"/>
  <c r="W128" i="1" s="1"/>
  <c r="X128" i="1" s="1"/>
  <c r="V151" i="1"/>
  <c r="W151" i="1" s="1"/>
  <c r="X151" i="1" s="1"/>
  <c r="V56" i="1"/>
  <c r="W56" i="1" s="1"/>
  <c r="X56" i="1" s="1"/>
  <c r="V6" i="1"/>
  <c r="W6" i="1" s="1"/>
  <c r="X6" i="1" s="1"/>
  <c r="V12" i="1"/>
  <c r="W12" i="1" s="1"/>
  <c r="X12" i="1" s="1"/>
  <c r="V59" i="1"/>
  <c r="W59" i="1" s="1"/>
  <c r="X59" i="1" s="1"/>
  <c r="V64" i="1"/>
  <c r="W64" i="1" s="1"/>
  <c r="X64" i="1" s="1"/>
  <c r="V86" i="1"/>
  <c r="W86" i="1" s="1"/>
  <c r="X86" i="1" s="1"/>
  <c r="V147" i="1"/>
  <c r="W147" i="1" s="1"/>
  <c r="X147" i="1" s="1"/>
  <c r="V104" i="1"/>
  <c r="W104" i="1" s="1"/>
  <c r="X104" i="1" s="1"/>
  <c r="V134" i="1"/>
  <c r="W134" i="1" s="1"/>
  <c r="X134" i="1" s="1"/>
  <c r="V99" i="1"/>
  <c r="W99" i="1" s="1"/>
  <c r="X99" i="1" s="1"/>
  <c r="V32" i="1"/>
  <c r="W32" i="1" s="1"/>
  <c r="X32" i="1" s="1"/>
  <c r="V17" i="1"/>
  <c r="W17" i="1" s="1"/>
  <c r="X17" i="1" s="1"/>
  <c r="V71" i="1"/>
  <c r="W71" i="1" s="1"/>
  <c r="X71" i="1" s="1"/>
  <c r="V142" i="1"/>
  <c r="W142" i="1" s="1"/>
  <c r="X142" i="1" s="1"/>
  <c r="V146" i="1"/>
  <c r="W146" i="1" s="1"/>
  <c r="X146" i="1" s="1"/>
  <c r="V158" i="1"/>
  <c r="W158" i="1" s="1"/>
  <c r="X158" i="1" s="1"/>
  <c r="V89" i="1"/>
  <c r="W89" i="1" s="1"/>
  <c r="X89" i="1" s="1"/>
  <c r="V61" i="1"/>
  <c r="W61" i="1" s="1"/>
  <c r="X61" i="1" s="1"/>
  <c r="V3" i="1"/>
  <c r="W3" i="1" s="1"/>
  <c r="X3" i="1" s="1"/>
  <c r="V11" i="1"/>
  <c r="W11" i="1" s="1"/>
  <c r="X11" i="1" s="1"/>
  <c r="V98" i="1"/>
  <c r="W98" i="1" s="1"/>
  <c r="X98" i="1" s="1"/>
  <c r="V53" i="1"/>
  <c r="W53" i="1" s="1"/>
  <c r="X53" i="1" s="1"/>
  <c r="V160" i="1"/>
  <c r="W160" i="1" s="1"/>
  <c r="X160" i="1" s="1"/>
  <c r="V81" i="1"/>
  <c r="W81" i="1" s="1"/>
  <c r="X81" i="1" s="1"/>
  <c r="V113" i="1"/>
  <c r="W113" i="1" s="1"/>
  <c r="X113" i="1" s="1"/>
  <c r="V36" i="1"/>
  <c r="W36" i="1" s="1"/>
  <c r="X36" i="1" s="1"/>
  <c r="V65" i="1"/>
  <c r="W65" i="1" s="1"/>
  <c r="X65" i="1" s="1"/>
  <c r="V117" i="1"/>
  <c r="W117" i="1" s="1"/>
  <c r="X117" i="1" s="1"/>
  <c r="V15" i="1"/>
  <c r="W15" i="1" s="1"/>
  <c r="X15" i="1" s="1"/>
  <c r="V4" i="1"/>
  <c r="W4" i="1" s="1"/>
  <c r="X4" i="1" s="1"/>
  <c r="V29" i="1"/>
  <c r="W29" i="1" s="1"/>
  <c r="X29" i="1" s="1"/>
  <c r="V111" i="1"/>
  <c r="W111" i="1" s="1"/>
  <c r="X111" i="1" s="1"/>
  <c r="V154" i="1"/>
  <c r="W154" i="1" s="1"/>
  <c r="X154" i="1" s="1"/>
  <c r="V58" i="1"/>
  <c r="W58" i="1" s="1"/>
  <c r="X58" i="1" s="1"/>
  <c r="V148" i="1"/>
  <c r="W148" i="1" s="1"/>
  <c r="X148" i="1" s="1"/>
  <c r="V9" i="1"/>
  <c r="W9" i="1" s="1"/>
  <c r="X9" i="1" s="1"/>
  <c r="V41" i="1"/>
  <c r="W41" i="1" s="1"/>
  <c r="X41" i="1" s="1"/>
  <c r="V72" i="1"/>
  <c r="W72" i="1" s="1"/>
  <c r="X72" i="1" s="1"/>
  <c r="V122" i="1"/>
  <c r="W122" i="1" s="1"/>
  <c r="X122" i="1" s="1"/>
  <c r="V152" i="1"/>
  <c r="W152" i="1" s="1"/>
  <c r="X152" i="1" s="1"/>
  <c r="Y106" i="1"/>
  <c r="Y83" i="1"/>
  <c r="Y78" i="1"/>
  <c r="Y40" i="1"/>
  <c r="Y60" i="1"/>
  <c r="Y80" i="1"/>
  <c r="Y16" i="1"/>
  <c r="Y141" i="1"/>
  <c r="Y25" i="1"/>
  <c r="Y45" i="1"/>
  <c r="Y105" i="1"/>
  <c r="Y10" i="1"/>
  <c r="Y90" i="1"/>
  <c r="Y74" i="1"/>
  <c r="Y30" i="1"/>
  <c r="Y138" i="1"/>
  <c r="Y132" i="1"/>
  <c r="Y50" i="1"/>
  <c r="Y115" i="1"/>
  <c r="Y37" i="1"/>
  <c r="Y107" i="1"/>
  <c r="Y84" i="1"/>
  <c r="Y7" i="1"/>
  <c r="Y157" i="1"/>
  <c r="Y26" i="1"/>
  <c r="Y131" i="1"/>
  <c r="Y137" i="1"/>
  <c r="Y52" i="1"/>
  <c r="Y145" i="1"/>
  <c r="Y119" i="1"/>
  <c r="Y124" i="1"/>
  <c r="Y155" i="1"/>
  <c r="Y92" i="1"/>
  <c r="Y5" i="1"/>
  <c r="Y69" i="1"/>
  <c r="Y112" i="1"/>
  <c r="Y57" i="1"/>
  <c r="Y24" i="1"/>
  <c r="Y118" i="1"/>
  <c r="Y136" i="1"/>
  <c r="Y18" i="1"/>
  <c r="Y82" i="1"/>
  <c r="Y42" i="1"/>
  <c r="Y77" i="1"/>
  <c r="Y28" i="1"/>
  <c r="Y8" i="1"/>
  <c r="Y85" i="1"/>
  <c r="Y149" i="1"/>
  <c r="Y109" i="1"/>
  <c r="Y140" i="1"/>
  <c r="Y108" i="1"/>
  <c r="Y88" i="1"/>
  <c r="Y120" i="1"/>
  <c r="Y68" i="1"/>
  <c r="Y123" i="1"/>
  <c r="Y39" i="1"/>
  <c r="Y49" i="1"/>
  <c r="Y127" i="1"/>
  <c r="Y94" i="1"/>
  <c r="Y133" i="1"/>
  <c r="Y38" i="1"/>
  <c r="Y51" i="1"/>
  <c r="Y19" i="1"/>
  <c r="Y101" i="1"/>
  <c r="Y22" i="1"/>
  <c r="Y14" i="1"/>
  <c r="Y76" i="1"/>
  <c r="Y102" i="1"/>
  <c r="Y79" i="1"/>
  <c r="Y43" i="1"/>
  <c r="Y54" i="1"/>
  <c r="Y91" i="1"/>
  <c r="Y126" i="1"/>
  <c r="Y47" i="1"/>
  <c r="Y44" i="1"/>
  <c r="Y48" i="1"/>
  <c r="Y75" i="1"/>
  <c r="Y110" i="1"/>
  <c r="Y100" i="1"/>
  <c r="Y70" i="1"/>
  <c r="Y156" i="1"/>
  <c r="Y153" i="1"/>
  <c r="Y116" i="1"/>
  <c r="Y159" i="1"/>
  <c r="Y34" i="1"/>
  <c r="Y20" i="1"/>
  <c r="Y143" i="1"/>
  <c r="Y66" i="1"/>
  <c r="Y125" i="1"/>
  <c r="Y13" i="1"/>
  <c r="Y135" i="1"/>
  <c r="Y130" i="1"/>
  <c r="Y23" i="1"/>
  <c r="Y121" i="1"/>
  <c r="Y55" i="1"/>
  <c r="Y144" i="1"/>
  <c r="Y35" i="1"/>
  <c r="Y103" i="1"/>
  <c r="Y62" i="1"/>
  <c r="Y129" i="1"/>
  <c r="Y46" i="1"/>
  <c r="Y21" i="1"/>
  <c r="Y67" i="1"/>
  <c r="Y27" i="1"/>
  <c r="Y95" i="1"/>
  <c r="Y97" i="1"/>
  <c r="Y31" i="1"/>
  <c r="Y93" i="1"/>
  <c r="Y87" i="1"/>
  <c r="Y63" i="1"/>
  <c r="Y73" i="1"/>
  <c r="Y114" i="1"/>
  <c r="Y150" i="1"/>
  <c r="Y33" i="1"/>
  <c r="Y96" i="1"/>
  <c r="Y139" i="1"/>
  <c r="Y128" i="1"/>
  <c r="Y151" i="1"/>
  <c r="Y56" i="1"/>
  <c r="Y6" i="1"/>
  <c r="Y12" i="1"/>
  <c r="Y59" i="1"/>
  <c r="Y64" i="1"/>
  <c r="Y86" i="1"/>
  <c r="Y147" i="1"/>
  <c r="Y104" i="1"/>
  <c r="Y134" i="1"/>
  <c r="Y99" i="1"/>
  <c r="Y32" i="1"/>
  <c r="Y17" i="1"/>
  <c r="Y71" i="1"/>
  <c r="Y142" i="1"/>
  <c r="Y146" i="1"/>
  <c r="Y158" i="1"/>
  <c r="Y89" i="1"/>
  <c r="Y61" i="1"/>
  <c r="Y3" i="1"/>
  <c r="Y11" i="1"/>
  <c r="Y98" i="1"/>
  <c r="Y53" i="1"/>
  <c r="Y160" i="1"/>
  <c r="Y81" i="1"/>
  <c r="Y113" i="1"/>
  <c r="Y36" i="1"/>
  <c r="Y65" i="1"/>
  <c r="Y117" i="1"/>
  <c r="Y15" i="1"/>
  <c r="Y4" i="1"/>
  <c r="Y29" i="1"/>
  <c r="Y111" i="1"/>
  <c r="Y154" i="1"/>
  <c r="Y58" i="1"/>
  <c r="Y148" i="1"/>
  <c r="Y9" i="1"/>
  <c r="Y41" i="1"/>
  <c r="Y72" i="1"/>
  <c r="Y122" i="1"/>
  <c r="Y152" i="1"/>
  <c r="U106" i="1"/>
  <c r="U83" i="1"/>
  <c r="U78" i="1"/>
  <c r="U40" i="1"/>
  <c r="U60" i="1"/>
  <c r="U80" i="1"/>
  <c r="U16" i="1"/>
  <c r="U141" i="1"/>
  <c r="U25" i="1"/>
  <c r="U45" i="1"/>
  <c r="U105" i="1"/>
  <c r="U10" i="1"/>
  <c r="U90" i="1"/>
  <c r="U74" i="1"/>
  <c r="U30" i="1"/>
  <c r="U138" i="1"/>
  <c r="U132" i="1"/>
  <c r="U50" i="1"/>
  <c r="U115" i="1"/>
  <c r="U37" i="1"/>
  <c r="U107" i="1"/>
  <c r="U84" i="1"/>
  <c r="U7" i="1"/>
  <c r="U157" i="1"/>
  <c r="U26" i="1"/>
  <c r="U131" i="1"/>
  <c r="U137" i="1"/>
  <c r="U52" i="1"/>
  <c r="U145" i="1"/>
  <c r="U119" i="1"/>
  <c r="U124" i="1"/>
  <c r="U155" i="1"/>
  <c r="U92" i="1"/>
  <c r="U5" i="1"/>
  <c r="U69" i="1"/>
  <c r="U112" i="1"/>
  <c r="U57" i="1"/>
  <c r="U24" i="1"/>
  <c r="U118" i="1"/>
  <c r="U136" i="1"/>
  <c r="U18" i="1"/>
  <c r="U82" i="1"/>
  <c r="U42" i="1"/>
  <c r="U77" i="1"/>
  <c r="U28" i="1"/>
  <c r="U8" i="1"/>
  <c r="U85" i="1"/>
  <c r="U149" i="1"/>
  <c r="U109" i="1"/>
  <c r="U140" i="1"/>
  <c r="U108" i="1"/>
  <c r="U88" i="1"/>
  <c r="U120" i="1"/>
  <c r="U68" i="1"/>
  <c r="U123" i="1"/>
  <c r="U39" i="1"/>
  <c r="U49" i="1"/>
  <c r="U127" i="1"/>
  <c r="U94" i="1"/>
  <c r="U133" i="1"/>
  <c r="U38" i="1"/>
  <c r="U51" i="1"/>
  <c r="U19" i="1"/>
  <c r="U101" i="1"/>
  <c r="U22" i="1"/>
  <c r="U14" i="1"/>
  <c r="U76" i="1"/>
  <c r="U102" i="1"/>
  <c r="U79" i="1"/>
  <c r="U43" i="1"/>
  <c r="U54" i="1"/>
  <c r="U91" i="1"/>
  <c r="U126" i="1"/>
  <c r="U47" i="1"/>
  <c r="U44" i="1"/>
  <c r="U48" i="1"/>
  <c r="U75" i="1"/>
  <c r="U110" i="1"/>
  <c r="U100" i="1"/>
  <c r="U70" i="1"/>
  <c r="U156" i="1"/>
  <c r="U153" i="1"/>
  <c r="U116" i="1"/>
  <c r="U159" i="1"/>
  <c r="U34" i="1"/>
  <c r="U20" i="1"/>
  <c r="U143" i="1"/>
  <c r="U66" i="1"/>
  <c r="U125" i="1"/>
  <c r="U13" i="1"/>
  <c r="U135" i="1"/>
  <c r="U130" i="1"/>
  <c r="U23" i="1"/>
  <c r="U121" i="1"/>
  <c r="U55" i="1"/>
  <c r="U144" i="1"/>
  <c r="U35" i="1"/>
  <c r="U103" i="1"/>
  <c r="U62" i="1"/>
  <c r="U129" i="1"/>
  <c r="U46" i="1"/>
  <c r="U21" i="1"/>
  <c r="U67" i="1"/>
  <c r="U27" i="1"/>
  <c r="U95" i="1"/>
  <c r="U97" i="1"/>
  <c r="U31" i="1"/>
  <c r="U93" i="1"/>
  <c r="U87" i="1"/>
  <c r="U63" i="1"/>
  <c r="U73" i="1"/>
  <c r="U114" i="1"/>
  <c r="U150" i="1"/>
  <c r="U33" i="1"/>
  <c r="U96" i="1"/>
  <c r="U139" i="1"/>
  <c r="U128" i="1"/>
  <c r="U151" i="1"/>
  <c r="U56" i="1"/>
  <c r="U6" i="1"/>
  <c r="U12" i="1"/>
  <c r="U59" i="1"/>
  <c r="U64" i="1"/>
  <c r="U86" i="1"/>
  <c r="U147" i="1"/>
  <c r="U104" i="1"/>
  <c r="U134" i="1"/>
  <c r="U99" i="1"/>
  <c r="U32" i="1"/>
  <c r="U17" i="1"/>
  <c r="U71" i="1"/>
  <c r="U142" i="1"/>
  <c r="U146" i="1"/>
  <c r="U158" i="1"/>
  <c r="U89" i="1"/>
  <c r="U61" i="1"/>
  <c r="U3" i="1"/>
  <c r="U11" i="1"/>
  <c r="U98" i="1"/>
  <c r="U53" i="1"/>
  <c r="U160" i="1"/>
  <c r="U81" i="1"/>
  <c r="U113" i="1"/>
  <c r="U36" i="1"/>
  <c r="U65" i="1"/>
  <c r="U117" i="1"/>
  <c r="U15" i="1"/>
  <c r="U4" i="1"/>
  <c r="U29" i="1"/>
  <c r="U111" i="1"/>
  <c r="U154" i="1"/>
  <c r="U58" i="1"/>
  <c r="U148" i="1"/>
  <c r="U9" i="1"/>
  <c r="U41" i="1"/>
  <c r="U72" i="1"/>
  <c r="U122" i="1"/>
  <c r="U152" i="1"/>
  <c r="T160" i="1"/>
  <c r="R160" i="1"/>
  <c r="Q160" i="1"/>
  <c r="P160" i="1"/>
  <c r="O160" i="1"/>
  <c r="N160" i="1"/>
  <c r="L160" i="1"/>
  <c r="K160" i="1"/>
  <c r="I160" i="1"/>
  <c r="J160" i="1" s="1"/>
  <c r="G160" i="1"/>
  <c r="F160" i="1"/>
  <c r="E160" i="1"/>
  <c r="T159" i="1"/>
  <c r="R159" i="1"/>
  <c r="Q159" i="1"/>
  <c r="P159" i="1"/>
  <c r="O159" i="1"/>
  <c r="N159" i="1"/>
  <c r="L159" i="1"/>
  <c r="K159" i="1"/>
  <c r="I159" i="1"/>
  <c r="J159" i="1" s="1"/>
  <c r="G159" i="1"/>
  <c r="F159" i="1"/>
  <c r="E159" i="1"/>
  <c r="T158" i="1"/>
  <c r="R158" i="1"/>
  <c r="Q158" i="1"/>
  <c r="P158" i="1"/>
  <c r="O158" i="1"/>
  <c r="N158" i="1"/>
  <c r="L158" i="1"/>
  <c r="K158" i="1"/>
  <c r="I158" i="1"/>
  <c r="J158" i="1" s="1"/>
  <c r="G158" i="1"/>
  <c r="F158" i="1"/>
  <c r="E158" i="1"/>
  <c r="T157" i="1"/>
  <c r="R157" i="1"/>
  <c r="Q157" i="1"/>
  <c r="P157" i="1"/>
  <c r="O157" i="1"/>
  <c r="N157" i="1"/>
  <c r="L157" i="1"/>
  <c r="K157" i="1"/>
  <c r="I157" i="1"/>
  <c r="J157" i="1" s="1"/>
  <c r="G157" i="1"/>
  <c r="F157" i="1"/>
  <c r="E157" i="1"/>
  <c r="T156" i="1"/>
  <c r="R156" i="1"/>
  <c r="Q156" i="1"/>
  <c r="P156" i="1"/>
  <c r="O156" i="1"/>
  <c r="N156" i="1"/>
  <c r="L156" i="1"/>
  <c r="K156" i="1"/>
  <c r="I156" i="1"/>
  <c r="J156" i="1" s="1"/>
  <c r="G156" i="1"/>
  <c r="F156" i="1"/>
  <c r="E156" i="1"/>
  <c r="T155" i="1"/>
  <c r="R155" i="1"/>
  <c r="Q155" i="1"/>
  <c r="P155" i="1"/>
  <c r="O155" i="1"/>
  <c r="N155" i="1"/>
  <c r="L155" i="1"/>
  <c r="K155" i="1"/>
  <c r="I155" i="1"/>
  <c r="J155" i="1" s="1"/>
  <c r="G155" i="1"/>
  <c r="F155" i="1"/>
  <c r="E155" i="1"/>
  <c r="T154" i="1"/>
  <c r="R154" i="1"/>
  <c r="Q154" i="1"/>
  <c r="P154" i="1"/>
  <c r="O154" i="1"/>
  <c r="N154" i="1"/>
  <c r="L154" i="1"/>
  <c r="K154" i="1"/>
  <c r="I154" i="1"/>
  <c r="J154" i="1" s="1"/>
  <c r="G154" i="1"/>
  <c r="F154" i="1"/>
  <c r="E154" i="1"/>
  <c r="T153" i="1"/>
  <c r="R153" i="1"/>
  <c r="Q153" i="1"/>
  <c r="P153" i="1"/>
  <c r="O153" i="1"/>
  <c r="N153" i="1"/>
  <c r="L153" i="1"/>
  <c r="K153" i="1"/>
  <c r="I153" i="1"/>
  <c r="J153" i="1" s="1"/>
  <c r="G153" i="1"/>
  <c r="F153" i="1"/>
  <c r="E153" i="1"/>
  <c r="T152" i="1"/>
  <c r="R152" i="1"/>
  <c r="Q152" i="1"/>
  <c r="P152" i="1"/>
  <c r="O152" i="1"/>
  <c r="N152" i="1"/>
  <c r="L152" i="1"/>
  <c r="K152" i="1"/>
  <c r="I152" i="1"/>
  <c r="J152" i="1" s="1"/>
  <c r="G152" i="1"/>
  <c r="F152" i="1"/>
  <c r="E152" i="1"/>
  <c r="T151" i="1"/>
  <c r="R151" i="1"/>
  <c r="Q151" i="1"/>
  <c r="P151" i="1"/>
  <c r="O151" i="1"/>
  <c r="N151" i="1"/>
  <c r="L151" i="1"/>
  <c r="K151" i="1"/>
  <c r="I151" i="1"/>
  <c r="J151" i="1" s="1"/>
  <c r="G151" i="1"/>
  <c r="F151" i="1"/>
  <c r="E151" i="1"/>
  <c r="T150" i="1"/>
  <c r="R150" i="1"/>
  <c r="Q150" i="1"/>
  <c r="P150" i="1"/>
  <c r="O150" i="1"/>
  <c r="N150" i="1"/>
  <c r="L150" i="1"/>
  <c r="K150" i="1"/>
  <c r="I150" i="1"/>
  <c r="J150" i="1" s="1"/>
  <c r="G150" i="1"/>
  <c r="F150" i="1"/>
  <c r="E150" i="1"/>
  <c r="T149" i="1"/>
  <c r="R149" i="1"/>
  <c r="Q149" i="1"/>
  <c r="P149" i="1"/>
  <c r="O149" i="1"/>
  <c r="N149" i="1"/>
  <c r="L149" i="1"/>
  <c r="K149" i="1"/>
  <c r="I149" i="1"/>
  <c r="J149" i="1" s="1"/>
  <c r="G149" i="1"/>
  <c r="F149" i="1"/>
  <c r="E149" i="1"/>
  <c r="T148" i="1"/>
  <c r="R148" i="1"/>
  <c r="Q148" i="1"/>
  <c r="P148" i="1"/>
  <c r="O148" i="1"/>
  <c r="N148" i="1"/>
  <c r="L148" i="1"/>
  <c r="K148" i="1"/>
  <c r="I148" i="1"/>
  <c r="J148" i="1" s="1"/>
  <c r="G148" i="1"/>
  <c r="F148" i="1"/>
  <c r="E148" i="1"/>
  <c r="T147" i="1"/>
  <c r="R147" i="1"/>
  <c r="Q147" i="1"/>
  <c r="P147" i="1"/>
  <c r="O147" i="1"/>
  <c r="N147" i="1"/>
  <c r="L147" i="1"/>
  <c r="K147" i="1"/>
  <c r="I147" i="1"/>
  <c r="J147" i="1" s="1"/>
  <c r="G147" i="1"/>
  <c r="F147" i="1"/>
  <c r="E147" i="1"/>
  <c r="T146" i="1"/>
  <c r="R146" i="1"/>
  <c r="Q146" i="1"/>
  <c r="P146" i="1"/>
  <c r="O146" i="1"/>
  <c r="N146" i="1"/>
  <c r="L146" i="1"/>
  <c r="K146" i="1"/>
  <c r="I146" i="1"/>
  <c r="J146" i="1" s="1"/>
  <c r="G146" i="1"/>
  <c r="F146" i="1"/>
  <c r="E146" i="1"/>
  <c r="T145" i="1"/>
  <c r="R145" i="1"/>
  <c r="Q145" i="1"/>
  <c r="P145" i="1"/>
  <c r="O145" i="1"/>
  <c r="N145" i="1"/>
  <c r="L145" i="1"/>
  <c r="K145" i="1"/>
  <c r="I145" i="1"/>
  <c r="J145" i="1" s="1"/>
  <c r="G145" i="1"/>
  <c r="F145" i="1"/>
  <c r="E145" i="1"/>
  <c r="T144" i="1"/>
  <c r="R144" i="1"/>
  <c r="Q144" i="1"/>
  <c r="P144" i="1"/>
  <c r="O144" i="1"/>
  <c r="N144" i="1"/>
  <c r="L144" i="1"/>
  <c r="K144" i="1"/>
  <c r="I144" i="1"/>
  <c r="J144" i="1" s="1"/>
  <c r="G144" i="1"/>
  <c r="F144" i="1"/>
  <c r="E144" i="1"/>
  <c r="T143" i="1"/>
  <c r="R143" i="1"/>
  <c r="Q143" i="1"/>
  <c r="P143" i="1"/>
  <c r="O143" i="1"/>
  <c r="N143" i="1"/>
  <c r="L143" i="1"/>
  <c r="K143" i="1"/>
  <c r="I143" i="1"/>
  <c r="J143" i="1" s="1"/>
  <c r="G143" i="1"/>
  <c r="F143" i="1"/>
  <c r="E143" i="1"/>
  <c r="T142" i="1"/>
  <c r="R142" i="1"/>
  <c r="Q142" i="1"/>
  <c r="P142" i="1"/>
  <c r="O142" i="1"/>
  <c r="N142" i="1"/>
  <c r="L142" i="1"/>
  <c r="K142" i="1"/>
  <c r="I142" i="1"/>
  <c r="J142" i="1" s="1"/>
  <c r="G142" i="1"/>
  <c r="F142" i="1"/>
  <c r="E142" i="1"/>
  <c r="T141" i="1"/>
  <c r="R141" i="1"/>
  <c r="Q141" i="1"/>
  <c r="P141" i="1"/>
  <c r="O141" i="1"/>
  <c r="N141" i="1"/>
  <c r="L141" i="1"/>
  <c r="K141" i="1"/>
  <c r="I141" i="1"/>
  <c r="J141" i="1" s="1"/>
  <c r="G141" i="1"/>
  <c r="F141" i="1"/>
  <c r="E141" i="1"/>
  <c r="T140" i="1"/>
  <c r="R140" i="1"/>
  <c r="Q140" i="1"/>
  <c r="P140" i="1"/>
  <c r="O140" i="1"/>
  <c r="N140" i="1"/>
  <c r="L140" i="1"/>
  <c r="K140" i="1"/>
  <c r="I140" i="1"/>
  <c r="J140" i="1" s="1"/>
  <c r="G140" i="1"/>
  <c r="F140" i="1"/>
  <c r="E140" i="1"/>
  <c r="T139" i="1"/>
  <c r="R139" i="1"/>
  <c r="Q139" i="1"/>
  <c r="P139" i="1"/>
  <c r="O139" i="1"/>
  <c r="N139" i="1"/>
  <c r="L139" i="1"/>
  <c r="K139" i="1"/>
  <c r="I139" i="1"/>
  <c r="J139" i="1" s="1"/>
  <c r="G139" i="1"/>
  <c r="F139" i="1"/>
  <c r="E139" i="1"/>
  <c r="T138" i="1"/>
  <c r="R138" i="1"/>
  <c r="Q138" i="1"/>
  <c r="P138" i="1"/>
  <c r="O138" i="1"/>
  <c r="N138" i="1"/>
  <c r="L138" i="1"/>
  <c r="K138" i="1"/>
  <c r="I138" i="1"/>
  <c r="J138" i="1" s="1"/>
  <c r="G138" i="1"/>
  <c r="F138" i="1"/>
  <c r="E138" i="1"/>
  <c r="T137" i="1"/>
  <c r="R137" i="1"/>
  <c r="Q137" i="1"/>
  <c r="P137" i="1"/>
  <c r="O137" i="1"/>
  <c r="N137" i="1"/>
  <c r="L137" i="1"/>
  <c r="K137" i="1"/>
  <c r="I137" i="1"/>
  <c r="J137" i="1" s="1"/>
  <c r="G137" i="1"/>
  <c r="F137" i="1"/>
  <c r="E137" i="1"/>
  <c r="T136" i="1"/>
  <c r="R136" i="1"/>
  <c r="Q136" i="1"/>
  <c r="P136" i="1"/>
  <c r="O136" i="1"/>
  <c r="N136" i="1"/>
  <c r="L136" i="1"/>
  <c r="K136" i="1"/>
  <c r="I136" i="1"/>
  <c r="J136" i="1" s="1"/>
  <c r="G136" i="1"/>
  <c r="F136" i="1"/>
  <c r="E136" i="1"/>
  <c r="T135" i="1"/>
  <c r="R135" i="1"/>
  <c r="Q135" i="1"/>
  <c r="P135" i="1"/>
  <c r="O135" i="1"/>
  <c r="N135" i="1"/>
  <c r="L135" i="1"/>
  <c r="K135" i="1"/>
  <c r="I135" i="1"/>
  <c r="J135" i="1" s="1"/>
  <c r="G135" i="1"/>
  <c r="F135" i="1"/>
  <c r="E135" i="1"/>
  <c r="T134" i="1"/>
  <c r="R134" i="1"/>
  <c r="Q134" i="1"/>
  <c r="P134" i="1"/>
  <c r="O134" i="1"/>
  <c r="N134" i="1"/>
  <c r="L134" i="1"/>
  <c r="K134" i="1"/>
  <c r="I134" i="1"/>
  <c r="J134" i="1" s="1"/>
  <c r="G134" i="1"/>
  <c r="F134" i="1"/>
  <c r="E134" i="1"/>
  <c r="T133" i="1"/>
  <c r="R133" i="1"/>
  <c r="Q133" i="1"/>
  <c r="P133" i="1"/>
  <c r="O133" i="1"/>
  <c r="N133" i="1"/>
  <c r="L133" i="1"/>
  <c r="K133" i="1"/>
  <c r="I133" i="1"/>
  <c r="J133" i="1" s="1"/>
  <c r="G133" i="1"/>
  <c r="F133" i="1"/>
  <c r="E133" i="1"/>
  <c r="T132" i="1"/>
  <c r="R132" i="1"/>
  <c r="Q132" i="1"/>
  <c r="P132" i="1"/>
  <c r="O132" i="1"/>
  <c r="N132" i="1"/>
  <c r="L132" i="1"/>
  <c r="K132" i="1"/>
  <c r="I132" i="1"/>
  <c r="J132" i="1" s="1"/>
  <c r="G132" i="1"/>
  <c r="F132" i="1"/>
  <c r="E132" i="1"/>
  <c r="T131" i="1"/>
  <c r="R131" i="1"/>
  <c r="Q131" i="1"/>
  <c r="P131" i="1"/>
  <c r="O131" i="1"/>
  <c r="N131" i="1"/>
  <c r="L131" i="1"/>
  <c r="K131" i="1"/>
  <c r="I131" i="1"/>
  <c r="J131" i="1" s="1"/>
  <c r="G131" i="1"/>
  <c r="F131" i="1"/>
  <c r="E131" i="1"/>
  <c r="T130" i="1"/>
  <c r="R130" i="1"/>
  <c r="Q130" i="1"/>
  <c r="P130" i="1"/>
  <c r="O130" i="1"/>
  <c r="N130" i="1"/>
  <c r="L130" i="1"/>
  <c r="K130" i="1"/>
  <c r="I130" i="1"/>
  <c r="J130" i="1" s="1"/>
  <c r="G130" i="1"/>
  <c r="F130" i="1"/>
  <c r="E130" i="1"/>
  <c r="T129" i="1"/>
  <c r="R129" i="1"/>
  <c r="Q129" i="1"/>
  <c r="P129" i="1"/>
  <c r="O129" i="1"/>
  <c r="N129" i="1"/>
  <c r="L129" i="1"/>
  <c r="K129" i="1"/>
  <c r="I129" i="1"/>
  <c r="J129" i="1" s="1"/>
  <c r="G129" i="1"/>
  <c r="F129" i="1"/>
  <c r="E129" i="1"/>
  <c r="T128" i="1"/>
  <c r="R128" i="1"/>
  <c r="Q128" i="1"/>
  <c r="P128" i="1"/>
  <c r="O128" i="1"/>
  <c r="N128" i="1"/>
  <c r="L128" i="1"/>
  <c r="K128" i="1"/>
  <c r="I128" i="1"/>
  <c r="J128" i="1" s="1"/>
  <c r="G128" i="1"/>
  <c r="F128" i="1"/>
  <c r="E128" i="1"/>
  <c r="T127" i="1"/>
  <c r="R127" i="1"/>
  <c r="Q127" i="1"/>
  <c r="P127" i="1"/>
  <c r="O127" i="1"/>
  <c r="N127" i="1"/>
  <c r="L127" i="1"/>
  <c r="K127" i="1"/>
  <c r="I127" i="1"/>
  <c r="J127" i="1" s="1"/>
  <c r="G127" i="1"/>
  <c r="F127" i="1"/>
  <c r="E127" i="1"/>
  <c r="T126" i="1"/>
  <c r="R126" i="1"/>
  <c r="Q126" i="1"/>
  <c r="P126" i="1"/>
  <c r="O126" i="1"/>
  <c r="N126" i="1"/>
  <c r="L126" i="1"/>
  <c r="K126" i="1"/>
  <c r="I126" i="1"/>
  <c r="J126" i="1" s="1"/>
  <c r="G126" i="1"/>
  <c r="F126" i="1"/>
  <c r="E126" i="1"/>
  <c r="T125" i="1"/>
  <c r="R125" i="1"/>
  <c r="Q125" i="1"/>
  <c r="P125" i="1"/>
  <c r="O125" i="1"/>
  <c r="N125" i="1"/>
  <c r="L125" i="1"/>
  <c r="K125" i="1"/>
  <c r="I125" i="1"/>
  <c r="J125" i="1" s="1"/>
  <c r="G125" i="1"/>
  <c r="F125" i="1"/>
  <c r="E125" i="1"/>
  <c r="T124" i="1"/>
  <c r="R124" i="1"/>
  <c r="Q124" i="1"/>
  <c r="P124" i="1"/>
  <c r="O124" i="1"/>
  <c r="N124" i="1"/>
  <c r="L124" i="1"/>
  <c r="K124" i="1"/>
  <c r="I124" i="1"/>
  <c r="J124" i="1" s="1"/>
  <c r="G124" i="1"/>
  <c r="F124" i="1"/>
  <c r="E124" i="1"/>
  <c r="T123" i="1"/>
  <c r="R123" i="1"/>
  <c r="Q123" i="1"/>
  <c r="P123" i="1"/>
  <c r="O123" i="1"/>
  <c r="N123" i="1"/>
  <c r="L123" i="1"/>
  <c r="K123" i="1"/>
  <c r="I123" i="1"/>
  <c r="J123" i="1" s="1"/>
  <c r="G123" i="1"/>
  <c r="F123" i="1"/>
  <c r="E123" i="1"/>
  <c r="T122" i="1"/>
  <c r="R122" i="1"/>
  <c r="Q122" i="1"/>
  <c r="P122" i="1"/>
  <c r="O122" i="1"/>
  <c r="N122" i="1"/>
  <c r="L122" i="1"/>
  <c r="K122" i="1"/>
  <c r="I122" i="1"/>
  <c r="J122" i="1" s="1"/>
  <c r="G122" i="1"/>
  <c r="F122" i="1"/>
  <c r="E122" i="1"/>
  <c r="T121" i="1"/>
  <c r="R121" i="1"/>
  <c r="Q121" i="1"/>
  <c r="P121" i="1"/>
  <c r="O121" i="1"/>
  <c r="N121" i="1"/>
  <c r="L121" i="1"/>
  <c r="K121" i="1"/>
  <c r="I121" i="1"/>
  <c r="J121" i="1" s="1"/>
  <c r="G121" i="1"/>
  <c r="F121" i="1"/>
  <c r="E121" i="1"/>
  <c r="T120" i="1"/>
  <c r="R120" i="1"/>
  <c r="Q120" i="1"/>
  <c r="P120" i="1"/>
  <c r="O120" i="1"/>
  <c r="N120" i="1"/>
  <c r="L120" i="1"/>
  <c r="K120" i="1"/>
  <c r="I120" i="1"/>
  <c r="J120" i="1" s="1"/>
  <c r="G120" i="1"/>
  <c r="F120" i="1"/>
  <c r="E120" i="1"/>
  <c r="T119" i="1"/>
  <c r="R119" i="1"/>
  <c r="Q119" i="1"/>
  <c r="P119" i="1"/>
  <c r="O119" i="1"/>
  <c r="N119" i="1"/>
  <c r="L119" i="1"/>
  <c r="K119" i="1"/>
  <c r="I119" i="1"/>
  <c r="J119" i="1" s="1"/>
  <c r="G119" i="1"/>
  <c r="F119" i="1"/>
  <c r="E119" i="1"/>
  <c r="T118" i="1"/>
  <c r="R118" i="1"/>
  <c r="Q118" i="1"/>
  <c r="P118" i="1"/>
  <c r="O118" i="1"/>
  <c r="N118" i="1"/>
  <c r="L118" i="1"/>
  <c r="K118" i="1"/>
  <c r="I118" i="1"/>
  <c r="J118" i="1" s="1"/>
  <c r="G118" i="1"/>
  <c r="F118" i="1"/>
  <c r="E118" i="1"/>
  <c r="T117" i="1"/>
  <c r="R117" i="1"/>
  <c r="Q117" i="1"/>
  <c r="P117" i="1"/>
  <c r="O117" i="1"/>
  <c r="N117" i="1"/>
  <c r="L117" i="1"/>
  <c r="K117" i="1"/>
  <c r="I117" i="1"/>
  <c r="J117" i="1" s="1"/>
  <c r="G117" i="1"/>
  <c r="F117" i="1"/>
  <c r="E117" i="1"/>
  <c r="T116" i="1"/>
  <c r="R116" i="1"/>
  <c r="Q116" i="1"/>
  <c r="P116" i="1"/>
  <c r="O116" i="1"/>
  <c r="N116" i="1"/>
  <c r="L116" i="1"/>
  <c r="K116" i="1"/>
  <c r="I116" i="1"/>
  <c r="J116" i="1" s="1"/>
  <c r="G116" i="1"/>
  <c r="F116" i="1"/>
  <c r="E116" i="1"/>
  <c r="T115" i="1"/>
  <c r="R115" i="1"/>
  <c r="Q115" i="1"/>
  <c r="P115" i="1"/>
  <c r="O115" i="1"/>
  <c r="N115" i="1"/>
  <c r="L115" i="1"/>
  <c r="K115" i="1"/>
  <c r="I115" i="1"/>
  <c r="J115" i="1" s="1"/>
  <c r="G115" i="1"/>
  <c r="F115" i="1"/>
  <c r="E115" i="1"/>
  <c r="T114" i="1"/>
  <c r="R114" i="1"/>
  <c r="Q114" i="1"/>
  <c r="P114" i="1"/>
  <c r="O114" i="1"/>
  <c r="N114" i="1"/>
  <c r="L114" i="1"/>
  <c r="K114" i="1"/>
  <c r="I114" i="1"/>
  <c r="J114" i="1" s="1"/>
  <c r="G114" i="1"/>
  <c r="F114" i="1"/>
  <c r="E114" i="1"/>
  <c r="T113" i="1"/>
  <c r="R113" i="1"/>
  <c r="Q113" i="1"/>
  <c r="P113" i="1"/>
  <c r="O113" i="1"/>
  <c r="N113" i="1"/>
  <c r="L113" i="1"/>
  <c r="K113" i="1"/>
  <c r="I113" i="1"/>
  <c r="J113" i="1" s="1"/>
  <c r="G113" i="1"/>
  <c r="F113" i="1"/>
  <c r="E113" i="1"/>
  <c r="T112" i="1"/>
  <c r="R112" i="1"/>
  <c r="Q112" i="1"/>
  <c r="P112" i="1"/>
  <c r="O112" i="1"/>
  <c r="N112" i="1"/>
  <c r="L112" i="1"/>
  <c r="K112" i="1"/>
  <c r="I112" i="1"/>
  <c r="J112" i="1" s="1"/>
  <c r="G112" i="1"/>
  <c r="F112" i="1"/>
  <c r="E112" i="1"/>
  <c r="T111" i="1"/>
  <c r="R111" i="1"/>
  <c r="Q111" i="1"/>
  <c r="P111" i="1"/>
  <c r="O111" i="1"/>
  <c r="N111" i="1"/>
  <c r="L111" i="1"/>
  <c r="K111" i="1"/>
  <c r="I111" i="1"/>
  <c r="J111" i="1" s="1"/>
  <c r="G111" i="1"/>
  <c r="F111" i="1"/>
  <c r="E111" i="1"/>
  <c r="T110" i="1"/>
  <c r="R110" i="1"/>
  <c r="Q110" i="1"/>
  <c r="P110" i="1"/>
  <c r="O110" i="1"/>
  <c r="N110" i="1"/>
  <c r="L110" i="1"/>
  <c r="K110" i="1"/>
  <c r="I110" i="1"/>
  <c r="J110" i="1" s="1"/>
  <c r="G110" i="1"/>
  <c r="F110" i="1"/>
  <c r="E110" i="1"/>
  <c r="T109" i="1"/>
  <c r="R109" i="1"/>
  <c r="Q109" i="1"/>
  <c r="P109" i="1"/>
  <c r="O109" i="1"/>
  <c r="N109" i="1"/>
  <c r="L109" i="1"/>
  <c r="K109" i="1"/>
  <c r="I109" i="1"/>
  <c r="J109" i="1" s="1"/>
  <c r="G109" i="1"/>
  <c r="F109" i="1"/>
  <c r="E109" i="1"/>
  <c r="T108" i="1"/>
  <c r="R108" i="1"/>
  <c r="Q108" i="1"/>
  <c r="P108" i="1"/>
  <c r="O108" i="1"/>
  <c r="N108" i="1"/>
  <c r="L108" i="1"/>
  <c r="K108" i="1"/>
  <c r="I108" i="1"/>
  <c r="J108" i="1" s="1"/>
  <c r="G108" i="1"/>
  <c r="F108" i="1"/>
  <c r="E108" i="1"/>
  <c r="T107" i="1"/>
  <c r="R107" i="1"/>
  <c r="Q107" i="1"/>
  <c r="P107" i="1"/>
  <c r="O107" i="1"/>
  <c r="N107" i="1"/>
  <c r="L107" i="1"/>
  <c r="K107" i="1"/>
  <c r="I107" i="1"/>
  <c r="J107" i="1" s="1"/>
  <c r="G107" i="1"/>
  <c r="F107" i="1"/>
  <c r="E107" i="1"/>
  <c r="T106" i="1"/>
  <c r="R106" i="1"/>
  <c r="Q106" i="1"/>
  <c r="P106" i="1"/>
  <c r="O106" i="1"/>
  <c r="N106" i="1"/>
  <c r="L106" i="1"/>
  <c r="K106" i="1"/>
  <c r="I106" i="1"/>
  <c r="J106" i="1" s="1"/>
  <c r="G106" i="1"/>
  <c r="F106" i="1"/>
  <c r="E106" i="1"/>
  <c r="T105" i="1"/>
  <c r="R105" i="1"/>
  <c r="Q105" i="1"/>
  <c r="P105" i="1"/>
  <c r="O105" i="1"/>
  <c r="N105" i="1"/>
  <c r="L105" i="1"/>
  <c r="K105" i="1"/>
  <c r="I105" i="1"/>
  <c r="J105" i="1" s="1"/>
  <c r="G105" i="1"/>
  <c r="F105" i="1"/>
  <c r="E105" i="1"/>
  <c r="T104" i="1"/>
  <c r="R104" i="1"/>
  <c r="Q104" i="1"/>
  <c r="P104" i="1"/>
  <c r="O104" i="1"/>
  <c r="N104" i="1"/>
  <c r="L104" i="1"/>
  <c r="K104" i="1"/>
  <c r="I104" i="1"/>
  <c r="J104" i="1" s="1"/>
  <c r="G104" i="1"/>
  <c r="F104" i="1"/>
  <c r="E104" i="1"/>
  <c r="T103" i="1"/>
  <c r="R103" i="1"/>
  <c r="Q103" i="1"/>
  <c r="P103" i="1"/>
  <c r="O103" i="1"/>
  <c r="N103" i="1"/>
  <c r="L103" i="1"/>
  <c r="K103" i="1"/>
  <c r="I103" i="1"/>
  <c r="J103" i="1" s="1"/>
  <c r="G103" i="1"/>
  <c r="F103" i="1"/>
  <c r="E103" i="1"/>
  <c r="T102" i="1"/>
  <c r="R102" i="1"/>
  <c r="Q102" i="1"/>
  <c r="P102" i="1"/>
  <c r="O102" i="1"/>
  <c r="N102" i="1"/>
  <c r="L102" i="1"/>
  <c r="K102" i="1"/>
  <c r="I102" i="1"/>
  <c r="J102" i="1" s="1"/>
  <c r="G102" i="1"/>
  <c r="F102" i="1"/>
  <c r="E102" i="1"/>
  <c r="T101" i="1"/>
  <c r="R101" i="1"/>
  <c r="Q101" i="1"/>
  <c r="P101" i="1"/>
  <c r="O101" i="1"/>
  <c r="N101" i="1"/>
  <c r="L101" i="1"/>
  <c r="K101" i="1"/>
  <c r="I101" i="1"/>
  <c r="J101" i="1" s="1"/>
  <c r="G101" i="1"/>
  <c r="F101" i="1"/>
  <c r="E101" i="1"/>
  <c r="T100" i="1"/>
  <c r="R100" i="1"/>
  <c r="Q100" i="1"/>
  <c r="P100" i="1"/>
  <c r="O100" i="1"/>
  <c r="N100" i="1"/>
  <c r="L100" i="1"/>
  <c r="K100" i="1"/>
  <c r="I100" i="1"/>
  <c r="J100" i="1" s="1"/>
  <c r="G100" i="1"/>
  <c r="F100" i="1"/>
  <c r="E100" i="1"/>
  <c r="T99" i="1"/>
  <c r="R99" i="1"/>
  <c r="Q99" i="1"/>
  <c r="P99" i="1"/>
  <c r="O99" i="1"/>
  <c r="N99" i="1"/>
  <c r="L99" i="1"/>
  <c r="K99" i="1"/>
  <c r="I99" i="1"/>
  <c r="J99" i="1" s="1"/>
  <c r="G99" i="1"/>
  <c r="F99" i="1"/>
  <c r="E99" i="1"/>
  <c r="T98" i="1"/>
  <c r="R98" i="1"/>
  <c r="Q98" i="1"/>
  <c r="P98" i="1"/>
  <c r="O98" i="1"/>
  <c r="N98" i="1"/>
  <c r="L98" i="1"/>
  <c r="K98" i="1"/>
  <c r="I98" i="1"/>
  <c r="J98" i="1" s="1"/>
  <c r="G98" i="1"/>
  <c r="F98" i="1"/>
  <c r="E98" i="1"/>
  <c r="T97" i="1"/>
  <c r="R97" i="1"/>
  <c r="Q97" i="1"/>
  <c r="P97" i="1"/>
  <c r="O97" i="1"/>
  <c r="N97" i="1"/>
  <c r="L97" i="1"/>
  <c r="K97" i="1"/>
  <c r="I97" i="1"/>
  <c r="J97" i="1" s="1"/>
  <c r="G97" i="1"/>
  <c r="F97" i="1"/>
  <c r="E97" i="1"/>
  <c r="T96" i="1"/>
  <c r="R96" i="1"/>
  <c r="Q96" i="1"/>
  <c r="P96" i="1"/>
  <c r="O96" i="1"/>
  <c r="N96" i="1"/>
  <c r="L96" i="1"/>
  <c r="K96" i="1"/>
  <c r="I96" i="1"/>
  <c r="J96" i="1" s="1"/>
  <c r="G96" i="1"/>
  <c r="F96" i="1"/>
  <c r="E96" i="1"/>
  <c r="T95" i="1"/>
  <c r="R95" i="1"/>
  <c r="Q95" i="1"/>
  <c r="P95" i="1"/>
  <c r="O95" i="1"/>
  <c r="N95" i="1"/>
  <c r="L95" i="1"/>
  <c r="K95" i="1"/>
  <c r="I95" i="1"/>
  <c r="J95" i="1" s="1"/>
  <c r="G95" i="1"/>
  <c r="F95" i="1"/>
  <c r="E95" i="1"/>
  <c r="T94" i="1"/>
  <c r="R94" i="1"/>
  <c r="Q94" i="1"/>
  <c r="P94" i="1"/>
  <c r="O94" i="1"/>
  <c r="N94" i="1"/>
  <c r="L94" i="1"/>
  <c r="K94" i="1"/>
  <c r="I94" i="1"/>
  <c r="J94" i="1" s="1"/>
  <c r="G94" i="1"/>
  <c r="F94" i="1"/>
  <c r="E94" i="1"/>
  <c r="T93" i="1"/>
  <c r="R93" i="1"/>
  <c r="Q93" i="1"/>
  <c r="P93" i="1"/>
  <c r="O93" i="1"/>
  <c r="N93" i="1"/>
  <c r="L93" i="1"/>
  <c r="K93" i="1"/>
  <c r="I93" i="1"/>
  <c r="J93" i="1" s="1"/>
  <c r="G93" i="1"/>
  <c r="F93" i="1"/>
  <c r="E93" i="1"/>
  <c r="T92" i="1"/>
  <c r="R92" i="1"/>
  <c r="Q92" i="1"/>
  <c r="P92" i="1"/>
  <c r="O92" i="1"/>
  <c r="N92" i="1"/>
  <c r="L92" i="1"/>
  <c r="K92" i="1"/>
  <c r="I92" i="1"/>
  <c r="J92" i="1" s="1"/>
  <c r="G92" i="1"/>
  <c r="F92" i="1"/>
  <c r="E92" i="1"/>
  <c r="T91" i="1"/>
  <c r="R91" i="1"/>
  <c r="Q91" i="1"/>
  <c r="P91" i="1"/>
  <c r="O91" i="1"/>
  <c r="N91" i="1"/>
  <c r="L91" i="1"/>
  <c r="K91" i="1"/>
  <c r="I91" i="1"/>
  <c r="J91" i="1" s="1"/>
  <c r="G91" i="1"/>
  <c r="F91" i="1"/>
  <c r="E91" i="1"/>
  <c r="T90" i="1"/>
  <c r="R90" i="1"/>
  <c r="Q90" i="1"/>
  <c r="P90" i="1"/>
  <c r="O90" i="1"/>
  <c r="N90" i="1"/>
  <c r="L90" i="1"/>
  <c r="K90" i="1"/>
  <c r="I90" i="1"/>
  <c r="J90" i="1" s="1"/>
  <c r="G90" i="1"/>
  <c r="F90" i="1"/>
  <c r="E90" i="1"/>
  <c r="T89" i="1"/>
  <c r="R89" i="1"/>
  <c r="Q89" i="1"/>
  <c r="P89" i="1"/>
  <c r="O89" i="1"/>
  <c r="N89" i="1"/>
  <c r="L89" i="1"/>
  <c r="K89" i="1"/>
  <c r="I89" i="1"/>
  <c r="J89" i="1" s="1"/>
  <c r="G89" i="1"/>
  <c r="F89" i="1"/>
  <c r="E89" i="1"/>
  <c r="T88" i="1"/>
  <c r="R88" i="1"/>
  <c r="Q88" i="1"/>
  <c r="P88" i="1"/>
  <c r="O88" i="1"/>
  <c r="N88" i="1"/>
  <c r="L88" i="1"/>
  <c r="K88" i="1"/>
  <c r="I88" i="1"/>
  <c r="J88" i="1" s="1"/>
  <c r="G88" i="1"/>
  <c r="F88" i="1"/>
  <c r="E88" i="1"/>
  <c r="T87" i="1"/>
  <c r="R87" i="1"/>
  <c r="Q87" i="1"/>
  <c r="P87" i="1"/>
  <c r="O87" i="1"/>
  <c r="N87" i="1"/>
  <c r="L87" i="1"/>
  <c r="K87" i="1"/>
  <c r="I87" i="1"/>
  <c r="J87" i="1" s="1"/>
  <c r="G87" i="1"/>
  <c r="F87" i="1"/>
  <c r="E87" i="1"/>
  <c r="T86" i="1"/>
  <c r="R86" i="1"/>
  <c r="Q86" i="1"/>
  <c r="P86" i="1"/>
  <c r="O86" i="1"/>
  <c r="N86" i="1"/>
  <c r="L86" i="1"/>
  <c r="K86" i="1"/>
  <c r="I86" i="1"/>
  <c r="J86" i="1" s="1"/>
  <c r="G86" i="1"/>
  <c r="F86" i="1"/>
  <c r="E86" i="1"/>
  <c r="T85" i="1"/>
  <c r="R85" i="1"/>
  <c r="Q85" i="1"/>
  <c r="P85" i="1"/>
  <c r="O85" i="1"/>
  <c r="N85" i="1"/>
  <c r="L85" i="1"/>
  <c r="K85" i="1"/>
  <c r="I85" i="1"/>
  <c r="J85" i="1" s="1"/>
  <c r="G85" i="1"/>
  <c r="F85" i="1"/>
  <c r="E85" i="1"/>
  <c r="T84" i="1"/>
  <c r="R84" i="1"/>
  <c r="Q84" i="1"/>
  <c r="P84" i="1"/>
  <c r="O84" i="1"/>
  <c r="N84" i="1"/>
  <c r="L84" i="1"/>
  <c r="K84" i="1"/>
  <c r="I84" i="1"/>
  <c r="J84" i="1" s="1"/>
  <c r="G84" i="1"/>
  <c r="F84" i="1"/>
  <c r="E84" i="1"/>
  <c r="T83" i="1"/>
  <c r="R83" i="1"/>
  <c r="Q83" i="1"/>
  <c r="P83" i="1"/>
  <c r="O83" i="1"/>
  <c r="N83" i="1"/>
  <c r="L83" i="1"/>
  <c r="K83" i="1"/>
  <c r="I83" i="1"/>
  <c r="J83" i="1" s="1"/>
  <c r="G83" i="1"/>
  <c r="F83" i="1"/>
  <c r="E83" i="1"/>
  <c r="T82" i="1"/>
  <c r="R82" i="1"/>
  <c r="Q82" i="1"/>
  <c r="P82" i="1"/>
  <c r="O82" i="1"/>
  <c r="N82" i="1"/>
  <c r="L82" i="1"/>
  <c r="K82" i="1"/>
  <c r="I82" i="1"/>
  <c r="J82" i="1" s="1"/>
  <c r="G82" i="1"/>
  <c r="F82" i="1"/>
  <c r="E82" i="1"/>
  <c r="T81" i="1"/>
  <c r="R81" i="1"/>
  <c r="Q81" i="1"/>
  <c r="P81" i="1"/>
  <c r="O81" i="1"/>
  <c r="N81" i="1"/>
  <c r="L81" i="1"/>
  <c r="K81" i="1"/>
  <c r="I81" i="1"/>
  <c r="J81" i="1" s="1"/>
  <c r="G81" i="1"/>
  <c r="F81" i="1"/>
  <c r="E81" i="1"/>
  <c r="T80" i="1"/>
  <c r="R80" i="1"/>
  <c r="Q80" i="1"/>
  <c r="P80" i="1"/>
  <c r="O80" i="1"/>
  <c r="N80" i="1"/>
  <c r="L80" i="1"/>
  <c r="K80" i="1"/>
  <c r="I80" i="1"/>
  <c r="J80" i="1" s="1"/>
  <c r="G80" i="1"/>
  <c r="F80" i="1"/>
  <c r="E80" i="1"/>
  <c r="T79" i="1"/>
  <c r="R79" i="1"/>
  <c r="Q79" i="1"/>
  <c r="P79" i="1"/>
  <c r="O79" i="1"/>
  <c r="N79" i="1"/>
  <c r="L79" i="1"/>
  <c r="K79" i="1"/>
  <c r="I79" i="1"/>
  <c r="J79" i="1" s="1"/>
  <c r="G79" i="1"/>
  <c r="F79" i="1"/>
  <c r="E79" i="1"/>
  <c r="T78" i="1"/>
  <c r="R78" i="1"/>
  <c r="Q78" i="1"/>
  <c r="P78" i="1"/>
  <c r="O78" i="1"/>
  <c r="N78" i="1"/>
  <c r="L78" i="1"/>
  <c r="K78" i="1"/>
  <c r="I78" i="1"/>
  <c r="J78" i="1" s="1"/>
  <c r="G78" i="1"/>
  <c r="F78" i="1"/>
  <c r="E78" i="1"/>
  <c r="T77" i="1"/>
  <c r="R77" i="1"/>
  <c r="Q77" i="1"/>
  <c r="P77" i="1"/>
  <c r="O77" i="1"/>
  <c r="N77" i="1"/>
  <c r="L77" i="1"/>
  <c r="K77" i="1"/>
  <c r="I77" i="1"/>
  <c r="J77" i="1" s="1"/>
  <c r="G77" i="1"/>
  <c r="F77" i="1"/>
  <c r="E77" i="1"/>
  <c r="T76" i="1"/>
  <c r="R76" i="1"/>
  <c r="Q76" i="1"/>
  <c r="P76" i="1"/>
  <c r="O76" i="1"/>
  <c r="N76" i="1"/>
  <c r="L76" i="1"/>
  <c r="K76" i="1"/>
  <c r="I76" i="1"/>
  <c r="J76" i="1" s="1"/>
  <c r="G76" i="1"/>
  <c r="F76" i="1"/>
  <c r="E76" i="1"/>
  <c r="T75" i="1"/>
  <c r="R75" i="1"/>
  <c r="Q75" i="1"/>
  <c r="P75" i="1"/>
  <c r="O75" i="1"/>
  <c r="N75" i="1"/>
  <c r="L75" i="1"/>
  <c r="K75" i="1"/>
  <c r="I75" i="1"/>
  <c r="J75" i="1" s="1"/>
  <c r="G75" i="1"/>
  <c r="F75" i="1"/>
  <c r="E75" i="1"/>
  <c r="T74" i="1"/>
  <c r="R74" i="1"/>
  <c r="Q74" i="1"/>
  <c r="P74" i="1"/>
  <c r="O74" i="1"/>
  <c r="N74" i="1"/>
  <c r="L74" i="1"/>
  <c r="K74" i="1"/>
  <c r="I74" i="1"/>
  <c r="J74" i="1" s="1"/>
  <c r="G74" i="1"/>
  <c r="F74" i="1"/>
  <c r="E74" i="1"/>
  <c r="T73" i="1"/>
  <c r="R73" i="1"/>
  <c r="Q73" i="1"/>
  <c r="P73" i="1"/>
  <c r="O73" i="1"/>
  <c r="N73" i="1"/>
  <c r="L73" i="1"/>
  <c r="K73" i="1"/>
  <c r="I73" i="1"/>
  <c r="J73" i="1" s="1"/>
  <c r="G73" i="1"/>
  <c r="F73" i="1"/>
  <c r="E73" i="1"/>
  <c r="T72" i="1"/>
  <c r="R72" i="1"/>
  <c r="Q72" i="1"/>
  <c r="P72" i="1"/>
  <c r="O72" i="1"/>
  <c r="N72" i="1"/>
  <c r="L72" i="1"/>
  <c r="K72" i="1"/>
  <c r="I72" i="1"/>
  <c r="J72" i="1" s="1"/>
  <c r="G72" i="1"/>
  <c r="F72" i="1"/>
  <c r="E72" i="1"/>
  <c r="T71" i="1"/>
  <c r="R71" i="1"/>
  <c r="Q71" i="1"/>
  <c r="P71" i="1"/>
  <c r="O71" i="1"/>
  <c r="N71" i="1"/>
  <c r="L71" i="1"/>
  <c r="K71" i="1"/>
  <c r="I71" i="1"/>
  <c r="J71" i="1" s="1"/>
  <c r="G71" i="1"/>
  <c r="F71" i="1"/>
  <c r="E71" i="1"/>
  <c r="T70" i="1"/>
  <c r="R70" i="1"/>
  <c r="Q70" i="1"/>
  <c r="P70" i="1"/>
  <c r="O70" i="1"/>
  <c r="N70" i="1"/>
  <c r="L70" i="1"/>
  <c r="K70" i="1"/>
  <c r="I70" i="1"/>
  <c r="J70" i="1" s="1"/>
  <c r="G70" i="1"/>
  <c r="F70" i="1"/>
  <c r="E70" i="1"/>
  <c r="T69" i="1"/>
  <c r="R69" i="1"/>
  <c r="Q69" i="1"/>
  <c r="P69" i="1"/>
  <c r="O69" i="1"/>
  <c r="N69" i="1"/>
  <c r="L69" i="1"/>
  <c r="K69" i="1"/>
  <c r="I69" i="1"/>
  <c r="J69" i="1" s="1"/>
  <c r="G69" i="1"/>
  <c r="F69" i="1"/>
  <c r="E69" i="1"/>
  <c r="T68" i="1"/>
  <c r="R68" i="1"/>
  <c r="Q68" i="1"/>
  <c r="P68" i="1"/>
  <c r="O68" i="1"/>
  <c r="N68" i="1"/>
  <c r="L68" i="1"/>
  <c r="K68" i="1"/>
  <c r="I68" i="1"/>
  <c r="J68" i="1" s="1"/>
  <c r="G68" i="1"/>
  <c r="F68" i="1"/>
  <c r="E68" i="1"/>
  <c r="T67" i="1"/>
  <c r="R67" i="1"/>
  <c r="Q67" i="1"/>
  <c r="P67" i="1"/>
  <c r="O67" i="1"/>
  <c r="N67" i="1"/>
  <c r="L67" i="1"/>
  <c r="K67" i="1"/>
  <c r="I67" i="1"/>
  <c r="J67" i="1" s="1"/>
  <c r="G67" i="1"/>
  <c r="F67" i="1"/>
  <c r="E67" i="1"/>
  <c r="T66" i="1"/>
  <c r="R66" i="1"/>
  <c r="Q66" i="1"/>
  <c r="P66" i="1"/>
  <c r="O66" i="1"/>
  <c r="N66" i="1"/>
  <c r="L66" i="1"/>
  <c r="K66" i="1"/>
  <c r="I66" i="1"/>
  <c r="J66" i="1" s="1"/>
  <c r="G66" i="1"/>
  <c r="F66" i="1"/>
  <c r="E66" i="1"/>
  <c r="T65" i="1"/>
  <c r="R65" i="1"/>
  <c r="Q65" i="1"/>
  <c r="P65" i="1"/>
  <c r="O65" i="1"/>
  <c r="N65" i="1"/>
  <c r="L65" i="1"/>
  <c r="K65" i="1"/>
  <c r="I65" i="1"/>
  <c r="J65" i="1" s="1"/>
  <c r="G65" i="1"/>
  <c r="F65" i="1"/>
  <c r="E65" i="1"/>
  <c r="T64" i="1"/>
  <c r="R64" i="1"/>
  <c r="Q64" i="1"/>
  <c r="P64" i="1"/>
  <c r="O64" i="1"/>
  <c r="N64" i="1"/>
  <c r="L64" i="1"/>
  <c r="K64" i="1"/>
  <c r="I64" i="1"/>
  <c r="J64" i="1" s="1"/>
  <c r="G64" i="1"/>
  <c r="F64" i="1"/>
  <c r="E64" i="1"/>
  <c r="T63" i="1"/>
  <c r="R63" i="1"/>
  <c r="Q63" i="1"/>
  <c r="P63" i="1"/>
  <c r="O63" i="1"/>
  <c r="N63" i="1"/>
  <c r="L63" i="1"/>
  <c r="K63" i="1"/>
  <c r="I63" i="1"/>
  <c r="J63" i="1" s="1"/>
  <c r="G63" i="1"/>
  <c r="F63" i="1"/>
  <c r="E63" i="1"/>
  <c r="T62" i="1"/>
  <c r="R62" i="1"/>
  <c r="Q62" i="1"/>
  <c r="P62" i="1"/>
  <c r="O62" i="1"/>
  <c r="N62" i="1"/>
  <c r="L62" i="1"/>
  <c r="K62" i="1"/>
  <c r="I62" i="1"/>
  <c r="J62" i="1" s="1"/>
  <c r="G62" i="1"/>
  <c r="F62" i="1"/>
  <c r="E62" i="1"/>
  <c r="T61" i="1"/>
  <c r="R61" i="1"/>
  <c r="Q61" i="1"/>
  <c r="P61" i="1"/>
  <c r="O61" i="1"/>
  <c r="N61" i="1"/>
  <c r="L61" i="1"/>
  <c r="K61" i="1"/>
  <c r="I61" i="1"/>
  <c r="J61" i="1" s="1"/>
  <c r="G61" i="1"/>
  <c r="F61" i="1"/>
  <c r="E61" i="1"/>
  <c r="T60" i="1"/>
  <c r="R60" i="1"/>
  <c r="Q60" i="1"/>
  <c r="P60" i="1"/>
  <c r="O60" i="1"/>
  <c r="N60" i="1"/>
  <c r="L60" i="1"/>
  <c r="K60" i="1"/>
  <c r="I60" i="1"/>
  <c r="J60" i="1" s="1"/>
  <c r="G60" i="1"/>
  <c r="F60" i="1"/>
  <c r="E60" i="1"/>
  <c r="T59" i="1"/>
  <c r="R59" i="1"/>
  <c r="Q59" i="1"/>
  <c r="P59" i="1"/>
  <c r="O59" i="1"/>
  <c r="N59" i="1"/>
  <c r="L59" i="1"/>
  <c r="K59" i="1"/>
  <c r="I59" i="1"/>
  <c r="J59" i="1" s="1"/>
  <c r="G59" i="1"/>
  <c r="F59" i="1"/>
  <c r="E59" i="1"/>
  <c r="T58" i="1"/>
  <c r="R58" i="1"/>
  <c r="Q58" i="1"/>
  <c r="P58" i="1"/>
  <c r="O58" i="1"/>
  <c r="N58" i="1"/>
  <c r="L58" i="1"/>
  <c r="K58" i="1"/>
  <c r="I58" i="1"/>
  <c r="J58" i="1" s="1"/>
  <c r="G58" i="1"/>
  <c r="F58" i="1"/>
  <c r="E58" i="1"/>
  <c r="T57" i="1"/>
  <c r="R57" i="1"/>
  <c r="Q57" i="1"/>
  <c r="P57" i="1"/>
  <c r="O57" i="1"/>
  <c r="N57" i="1"/>
  <c r="L57" i="1"/>
  <c r="K57" i="1"/>
  <c r="I57" i="1"/>
  <c r="J57" i="1" s="1"/>
  <c r="G57" i="1"/>
  <c r="F57" i="1"/>
  <c r="E57" i="1"/>
  <c r="T56" i="1"/>
  <c r="R56" i="1"/>
  <c r="Q56" i="1"/>
  <c r="P56" i="1"/>
  <c r="O56" i="1"/>
  <c r="N56" i="1"/>
  <c r="L56" i="1"/>
  <c r="K56" i="1"/>
  <c r="I56" i="1"/>
  <c r="J56" i="1" s="1"/>
  <c r="G56" i="1"/>
  <c r="F56" i="1"/>
  <c r="E56" i="1"/>
  <c r="T55" i="1"/>
  <c r="R55" i="1"/>
  <c r="Q55" i="1"/>
  <c r="P55" i="1"/>
  <c r="O55" i="1"/>
  <c r="N55" i="1"/>
  <c r="L55" i="1"/>
  <c r="K55" i="1"/>
  <c r="I55" i="1"/>
  <c r="J55" i="1" s="1"/>
  <c r="G55" i="1"/>
  <c r="F55" i="1"/>
  <c r="E55" i="1"/>
  <c r="T54" i="1"/>
  <c r="R54" i="1"/>
  <c r="Q54" i="1"/>
  <c r="P54" i="1"/>
  <c r="O54" i="1"/>
  <c r="N54" i="1"/>
  <c r="L54" i="1"/>
  <c r="K54" i="1"/>
  <c r="I54" i="1"/>
  <c r="J54" i="1" s="1"/>
  <c r="G54" i="1"/>
  <c r="F54" i="1"/>
  <c r="E54" i="1"/>
  <c r="T53" i="1"/>
  <c r="R53" i="1"/>
  <c r="Q53" i="1"/>
  <c r="P53" i="1"/>
  <c r="O53" i="1"/>
  <c r="N53" i="1"/>
  <c r="L53" i="1"/>
  <c r="K53" i="1"/>
  <c r="I53" i="1"/>
  <c r="J53" i="1" s="1"/>
  <c r="G53" i="1"/>
  <c r="F53" i="1"/>
  <c r="E53" i="1"/>
  <c r="T52" i="1"/>
  <c r="R52" i="1"/>
  <c r="Q52" i="1"/>
  <c r="P52" i="1"/>
  <c r="O52" i="1"/>
  <c r="N52" i="1"/>
  <c r="L52" i="1"/>
  <c r="K52" i="1"/>
  <c r="I52" i="1"/>
  <c r="J52" i="1" s="1"/>
  <c r="G52" i="1"/>
  <c r="F52" i="1"/>
  <c r="E52" i="1"/>
  <c r="T51" i="1"/>
  <c r="R51" i="1"/>
  <c r="Q51" i="1"/>
  <c r="P51" i="1"/>
  <c r="O51" i="1"/>
  <c r="N51" i="1"/>
  <c r="L51" i="1"/>
  <c r="K51" i="1"/>
  <c r="I51" i="1"/>
  <c r="J51" i="1" s="1"/>
  <c r="G51" i="1"/>
  <c r="F51" i="1"/>
  <c r="E51" i="1"/>
  <c r="T50" i="1"/>
  <c r="R50" i="1"/>
  <c r="Q50" i="1"/>
  <c r="P50" i="1"/>
  <c r="O50" i="1"/>
  <c r="N50" i="1"/>
  <c r="L50" i="1"/>
  <c r="K50" i="1"/>
  <c r="I50" i="1"/>
  <c r="J50" i="1" s="1"/>
  <c r="G50" i="1"/>
  <c r="F50" i="1"/>
  <c r="E50" i="1"/>
  <c r="T49" i="1"/>
  <c r="R49" i="1"/>
  <c r="Q49" i="1"/>
  <c r="P49" i="1"/>
  <c r="O49" i="1"/>
  <c r="N49" i="1"/>
  <c r="L49" i="1"/>
  <c r="K49" i="1"/>
  <c r="I49" i="1"/>
  <c r="J49" i="1" s="1"/>
  <c r="G49" i="1"/>
  <c r="F49" i="1"/>
  <c r="E49" i="1"/>
  <c r="T48" i="1"/>
  <c r="R48" i="1"/>
  <c r="Q48" i="1"/>
  <c r="P48" i="1"/>
  <c r="O48" i="1"/>
  <c r="N48" i="1"/>
  <c r="L48" i="1"/>
  <c r="K48" i="1"/>
  <c r="I48" i="1"/>
  <c r="J48" i="1" s="1"/>
  <c r="G48" i="1"/>
  <c r="F48" i="1"/>
  <c r="E48" i="1"/>
  <c r="T47" i="1"/>
  <c r="R47" i="1"/>
  <c r="Q47" i="1"/>
  <c r="P47" i="1"/>
  <c r="O47" i="1"/>
  <c r="N47" i="1"/>
  <c r="L47" i="1"/>
  <c r="K47" i="1"/>
  <c r="I47" i="1"/>
  <c r="J47" i="1" s="1"/>
  <c r="G47" i="1"/>
  <c r="F47" i="1"/>
  <c r="E47" i="1"/>
  <c r="T46" i="1"/>
  <c r="R46" i="1"/>
  <c r="Q46" i="1"/>
  <c r="P46" i="1"/>
  <c r="O46" i="1"/>
  <c r="N46" i="1"/>
  <c r="L46" i="1"/>
  <c r="K46" i="1"/>
  <c r="I46" i="1"/>
  <c r="J46" i="1" s="1"/>
  <c r="G46" i="1"/>
  <c r="F46" i="1"/>
  <c r="E46" i="1"/>
  <c r="T45" i="1"/>
  <c r="R45" i="1"/>
  <c r="Q45" i="1"/>
  <c r="P45" i="1"/>
  <c r="O45" i="1"/>
  <c r="N45" i="1"/>
  <c r="L45" i="1"/>
  <c r="K45" i="1"/>
  <c r="I45" i="1"/>
  <c r="J45" i="1" s="1"/>
  <c r="G45" i="1"/>
  <c r="F45" i="1"/>
  <c r="E45" i="1"/>
  <c r="T44" i="1"/>
  <c r="R44" i="1"/>
  <c r="Q44" i="1"/>
  <c r="P44" i="1"/>
  <c r="O44" i="1"/>
  <c r="N44" i="1"/>
  <c r="L44" i="1"/>
  <c r="K44" i="1"/>
  <c r="I44" i="1"/>
  <c r="J44" i="1" s="1"/>
  <c r="G44" i="1"/>
  <c r="F44" i="1"/>
  <c r="E44" i="1"/>
  <c r="T43" i="1"/>
  <c r="R43" i="1"/>
  <c r="Q43" i="1"/>
  <c r="P43" i="1"/>
  <c r="O43" i="1"/>
  <c r="N43" i="1"/>
  <c r="L43" i="1"/>
  <c r="K43" i="1"/>
  <c r="I43" i="1"/>
  <c r="J43" i="1" s="1"/>
  <c r="G43" i="1"/>
  <c r="F43" i="1"/>
  <c r="E43" i="1"/>
  <c r="T42" i="1"/>
  <c r="R42" i="1"/>
  <c r="Q42" i="1"/>
  <c r="P42" i="1"/>
  <c r="O42" i="1"/>
  <c r="N42" i="1"/>
  <c r="L42" i="1"/>
  <c r="K42" i="1"/>
  <c r="I42" i="1"/>
  <c r="J42" i="1" s="1"/>
  <c r="G42" i="1"/>
  <c r="F42" i="1"/>
  <c r="E42" i="1"/>
  <c r="T41" i="1"/>
  <c r="R41" i="1"/>
  <c r="Q41" i="1"/>
  <c r="P41" i="1"/>
  <c r="O41" i="1"/>
  <c r="N41" i="1"/>
  <c r="L41" i="1"/>
  <c r="K41" i="1"/>
  <c r="I41" i="1"/>
  <c r="J41" i="1" s="1"/>
  <c r="G41" i="1"/>
  <c r="F41" i="1"/>
  <c r="E41" i="1"/>
  <c r="T40" i="1"/>
  <c r="R40" i="1"/>
  <c r="Q40" i="1"/>
  <c r="P40" i="1"/>
  <c r="O40" i="1"/>
  <c r="N40" i="1"/>
  <c r="L40" i="1"/>
  <c r="K40" i="1"/>
  <c r="I40" i="1"/>
  <c r="J40" i="1" s="1"/>
  <c r="G40" i="1"/>
  <c r="F40" i="1"/>
  <c r="E40" i="1"/>
  <c r="T39" i="1"/>
  <c r="R39" i="1"/>
  <c r="Q39" i="1"/>
  <c r="P39" i="1"/>
  <c r="O39" i="1"/>
  <c r="N39" i="1"/>
  <c r="L39" i="1"/>
  <c r="K39" i="1"/>
  <c r="I39" i="1"/>
  <c r="J39" i="1" s="1"/>
  <c r="G39" i="1"/>
  <c r="F39" i="1"/>
  <c r="E39" i="1"/>
  <c r="T38" i="1"/>
  <c r="R38" i="1"/>
  <c r="Q38" i="1"/>
  <c r="P38" i="1"/>
  <c r="O38" i="1"/>
  <c r="N38" i="1"/>
  <c r="L38" i="1"/>
  <c r="K38" i="1"/>
  <c r="I38" i="1"/>
  <c r="J38" i="1" s="1"/>
  <c r="G38" i="1"/>
  <c r="F38" i="1"/>
  <c r="E38" i="1"/>
  <c r="T37" i="1"/>
  <c r="R37" i="1"/>
  <c r="Q37" i="1"/>
  <c r="P37" i="1"/>
  <c r="O37" i="1"/>
  <c r="N37" i="1"/>
  <c r="L37" i="1"/>
  <c r="K37" i="1"/>
  <c r="I37" i="1"/>
  <c r="J37" i="1" s="1"/>
  <c r="G37" i="1"/>
  <c r="F37" i="1"/>
  <c r="E37" i="1"/>
  <c r="T36" i="1"/>
  <c r="R36" i="1"/>
  <c r="Q36" i="1"/>
  <c r="P36" i="1"/>
  <c r="O36" i="1"/>
  <c r="N36" i="1"/>
  <c r="L36" i="1"/>
  <c r="K36" i="1"/>
  <c r="I36" i="1"/>
  <c r="J36" i="1" s="1"/>
  <c r="G36" i="1"/>
  <c r="F36" i="1"/>
  <c r="E36" i="1"/>
  <c r="T35" i="1"/>
  <c r="R35" i="1"/>
  <c r="Q35" i="1"/>
  <c r="P35" i="1"/>
  <c r="O35" i="1"/>
  <c r="N35" i="1"/>
  <c r="L35" i="1"/>
  <c r="K35" i="1"/>
  <c r="I35" i="1"/>
  <c r="J35" i="1" s="1"/>
  <c r="G35" i="1"/>
  <c r="F35" i="1"/>
  <c r="E35" i="1"/>
  <c r="T34" i="1"/>
  <c r="R34" i="1"/>
  <c r="Q34" i="1"/>
  <c r="P34" i="1"/>
  <c r="O34" i="1"/>
  <c r="N34" i="1"/>
  <c r="L34" i="1"/>
  <c r="K34" i="1"/>
  <c r="I34" i="1"/>
  <c r="J34" i="1" s="1"/>
  <c r="G34" i="1"/>
  <c r="F34" i="1"/>
  <c r="E34" i="1"/>
  <c r="T33" i="1"/>
  <c r="R33" i="1"/>
  <c r="Q33" i="1"/>
  <c r="P33" i="1"/>
  <c r="O33" i="1"/>
  <c r="N33" i="1"/>
  <c r="L33" i="1"/>
  <c r="K33" i="1"/>
  <c r="I33" i="1"/>
  <c r="J33" i="1" s="1"/>
  <c r="G33" i="1"/>
  <c r="F33" i="1"/>
  <c r="E33" i="1"/>
  <c r="T32" i="1"/>
  <c r="R32" i="1"/>
  <c r="Q32" i="1"/>
  <c r="P32" i="1"/>
  <c r="O32" i="1"/>
  <c r="N32" i="1"/>
  <c r="L32" i="1"/>
  <c r="K32" i="1"/>
  <c r="I32" i="1"/>
  <c r="J32" i="1" s="1"/>
  <c r="G32" i="1"/>
  <c r="F32" i="1"/>
  <c r="E32" i="1"/>
  <c r="T31" i="1"/>
  <c r="R31" i="1"/>
  <c r="Q31" i="1"/>
  <c r="P31" i="1"/>
  <c r="O31" i="1"/>
  <c r="N31" i="1"/>
  <c r="L31" i="1"/>
  <c r="K31" i="1"/>
  <c r="I31" i="1"/>
  <c r="J31" i="1" s="1"/>
  <c r="G31" i="1"/>
  <c r="F31" i="1"/>
  <c r="E31" i="1"/>
  <c r="T30" i="1"/>
  <c r="R30" i="1"/>
  <c r="Q30" i="1"/>
  <c r="P30" i="1"/>
  <c r="O30" i="1"/>
  <c r="N30" i="1"/>
  <c r="L30" i="1"/>
  <c r="K30" i="1"/>
  <c r="I30" i="1"/>
  <c r="J30" i="1" s="1"/>
  <c r="G30" i="1"/>
  <c r="F30" i="1"/>
  <c r="E30" i="1"/>
  <c r="T29" i="1"/>
  <c r="R29" i="1"/>
  <c r="Q29" i="1"/>
  <c r="P29" i="1"/>
  <c r="O29" i="1"/>
  <c r="N29" i="1"/>
  <c r="L29" i="1"/>
  <c r="K29" i="1"/>
  <c r="I29" i="1"/>
  <c r="J29" i="1" s="1"/>
  <c r="G29" i="1"/>
  <c r="F29" i="1"/>
  <c r="E29" i="1"/>
  <c r="T28" i="1"/>
  <c r="R28" i="1"/>
  <c r="Q28" i="1"/>
  <c r="P28" i="1"/>
  <c r="O28" i="1"/>
  <c r="N28" i="1"/>
  <c r="L28" i="1"/>
  <c r="K28" i="1"/>
  <c r="I28" i="1"/>
  <c r="J28" i="1" s="1"/>
  <c r="G28" i="1"/>
  <c r="F28" i="1"/>
  <c r="E28" i="1"/>
  <c r="T27" i="1"/>
  <c r="R27" i="1"/>
  <c r="Q27" i="1"/>
  <c r="P27" i="1"/>
  <c r="O27" i="1"/>
  <c r="N27" i="1"/>
  <c r="L27" i="1"/>
  <c r="K27" i="1"/>
  <c r="I27" i="1"/>
  <c r="J27" i="1" s="1"/>
  <c r="G27" i="1"/>
  <c r="F27" i="1"/>
  <c r="E27" i="1"/>
  <c r="T26" i="1"/>
  <c r="R26" i="1"/>
  <c r="Q26" i="1"/>
  <c r="P26" i="1"/>
  <c r="O26" i="1"/>
  <c r="N26" i="1"/>
  <c r="L26" i="1"/>
  <c r="K26" i="1"/>
  <c r="I26" i="1"/>
  <c r="J26" i="1" s="1"/>
  <c r="G26" i="1"/>
  <c r="F26" i="1"/>
  <c r="E26" i="1"/>
  <c r="T25" i="1"/>
  <c r="R25" i="1"/>
  <c r="Q25" i="1"/>
  <c r="P25" i="1"/>
  <c r="O25" i="1"/>
  <c r="N25" i="1"/>
  <c r="L25" i="1"/>
  <c r="K25" i="1"/>
  <c r="I25" i="1"/>
  <c r="J25" i="1" s="1"/>
  <c r="G25" i="1"/>
  <c r="F25" i="1"/>
  <c r="E25" i="1"/>
  <c r="T24" i="1"/>
  <c r="R24" i="1"/>
  <c r="Q24" i="1"/>
  <c r="P24" i="1"/>
  <c r="O24" i="1"/>
  <c r="N24" i="1"/>
  <c r="L24" i="1"/>
  <c r="K24" i="1"/>
  <c r="I24" i="1"/>
  <c r="J24" i="1" s="1"/>
  <c r="G24" i="1"/>
  <c r="F24" i="1"/>
  <c r="E24" i="1"/>
  <c r="T23" i="1"/>
  <c r="R23" i="1"/>
  <c r="Q23" i="1"/>
  <c r="P23" i="1"/>
  <c r="O23" i="1"/>
  <c r="N23" i="1"/>
  <c r="L23" i="1"/>
  <c r="K23" i="1"/>
  <c r="I23" i="1"/>
  <c r="J23" i="1" s="1"/>
  <c r="G23" i="1"/>
  <c r="F23" i="1"/>
  <c r="E23" i="1"/>
  <c r="T22" i="1"/>
  <c r="R22" i="1"/>
  <c r="Q22" i="1"/>
  <c r="P22" i="1"/>
  <c r="O22" i="1"/>
  <c r="N22" i="1"/>
  <c r="L22" i="1"/>
  <c r="K22" i="1"/>
  <c r="I22" i="1"/>
  <c r="J22" i="1" s="1"/>
  <c r="G22" i="1"/>
  <c r="F22" i="1"/>
  <c r="E22" i="1"/>
  <c r="T21" i="1"/>
  <c r="R21" i="1"/>
  <c r="Q21" i="1"/>
  <c r="P21" i="1"/>
  <c r="O21" i="1"/>
  <c r="N21" i="1"/>
  <c r="L21" i="1"/>
  <c r="K21" i="1"/>
  <c r="I21" i="1"/>
  <c r="J21" i="1" s="1"/>
  <c r="G21" i="1"/>
  <c r="F21" i="1"/>
  <c r="E21" i="1"/>
  <c r="T20" i="1"/>
  <c r="R20" i="1"/>
  <c r="Q20" i="1"/>
  <c r="P20" i="1"/>
  <c r="O20" i="1"/>
  <c r="N20" i="1"/>
  <c r="L20" i="1"/>
  <c r="K20" i="1"/>
  <c r="I20" i="1"/>
  <c r="J20" i="1" s="1"/>
  <c r="G20" i="1"/>
  <c r="F20" i="1"/>
  <c r="E20" i="1"/>
  <c r="T19" i="1"/>
  <c r="R19" i="1"/>
  <c r="Q19" i="1"/>
  <c r="P19" i="1"/>
  <c r="O19" i="1"/>
  <c r="N19" i="1"/>
  <c r="L19" i="1"/>
  <c r="K19" i="1"/>
  <c r="I19" i="1"/>
  <c r="J19" i="1" s="1"/>
  <c r="G19" i="1"/>
  <c r="F19" i="1"/>
  <c r="E19" i="1"/>
  <c r="T18" i="1"/>
  <c r="R18" i="1"/>
  <c r="Q18" i="1"/>
  <c r="P18" i="1"/>
  <c r="O18" i="1"/>
  <c r="N18" i="1"/>
  <c r="L18" i="1"/>
  <c r="K18" i="1"/>
  <c r="I18" i="1"/>
  <c r="J18" i="1" s="1"/>
  <c r="G18" i="1"/>
  <c r="F18" i="1"/>
  <c r="E18" i="1"/>
  <c r="T17" i="1"/>
  <c r="R17" i="1"/>
  <c r="Q17" i="1"/>
  <c r="P17" i="1"/>
  <c r="O17" i="1"/>
  <c r="N17" i="1"/>
  <c r="L17" i="1"/>
  <c r="K17" i="1"/>
  <c r="I17" i="1"/>
  <c r="J17" i="1" s="1"/>
  <c r="G17" i="1"/>
  <c r="F17" i="1"/>
  <c r="E17" i="1"/>
  <c r="T16" i="1"/>
  <c r="R16" i="1"/>
  <c r="Q16" i="1"/>
  <c r="P16" i="1"/>
  <c r="O16" i="1"/>
  <c r="N16" i="1"/>
  <c r="L16" i="1"/>
  <c r="K16" i="1"/>
  <c r="I16" i="1"/>
  <c r="J16" i="1" s="1"/>
  <c r="G16" i="1"/>
  <c r="F16" i="1"/>
  <c r="E16" i="1"/>
  <c r="T15" i="1"/>
  <c r="R15" i="1"/>
  <c r="Q15" i="1"/>
  <c r="P15" i="1"/>
  <c r="O15" i="1"/>
  <c r="N15" i="1"/>
  <c r="L15" i="1"/>
  <c r="K15" i="1"/>
  <c r="I15" i="1"/>
  <c r="J15" i="1" s="1"/>
  <c r="G15" i="1"/>
  <c r="F15" i="1"/>
  <c r="E15" i="1"/>
  <c r="T14" i="1"/>
  <c r="R14" i="1"/>
  <c r="Q14" i="1"/>
  <c r="P14" i="1"/>
  <c r="O14" i="1"/>
  <c r="N14" i="1"/>
  <c r="L14" i="1"/>
  <c r="K14" i="1"/>
  <c r="I14" i="1"/>
  <c r="J14" i="1" s="1"/>
  <c r="G14" i="1"/>
  <c r="F14" i="1"/>
  <c r="E14" i="1"/>
  <c r="T13" i="1"/>
  <c r="R13" i="1"/>
  <c r="Q13" i="1"/>
  <c r="P13" i="1"/>
  <c r="O13" i="1"/>
  <c r="N13" i="1"/>
  <c r="L13" i="1"/>
  <c r="K13" i="1"/>
  <c r="I13" i="1"/>
  <c r="J13" i="1" s="1"/>
  <c r="G13" i="1"/>
  <c r="F13" i="1"/>
  <c r="E13" i="1"/>
  <c r="T12" i="1"/>
  <c r="R12" i="1"/>
  <c r="Q12" i="1"/>
  <c r="P12" i="1"/>
  <c r="O12" i="1"/>
  <c r="N12" i="1"/>
  <c r="L12" i="1"/>
  <c r="K12" i="1"/>
  <c r="I12" i="1"/>
  <c r="J12" i="1" s="1"/>
  <c r="G12" i="1"/>
  <c r="F12" i="1"/>
  <c r="E12" i="1"/>
  <c r="T11" i="1"/>
  <c r="R11" i="1"/>
  <c r="Q11" i="1"/>
  <c r="P11" i="1"/>
  <c r="O11" i="1"/>
  <c r="N11" i="1"/>
  <c r="L11" i="1"/>
  <c r="K11" i="1"/>
  <c r="I11" i="1"/>
  <c r="J11" i="1" s="1"/>
  <c r="G11" i="1"/>
  <c r="F11" i="1"/>
  <c r="E11" i="1"/>
  <c r="T10" i="1"/>
  <c r="R10" i="1"/>
  <c r="Q10" i="1"/>
  <c r="P10" i="1"/>
  <c r="O10" i="1"/>
  <c r="N10" i="1"/>
  <c r="L10" i="1"/>
  <c r="K10" i="1"/>
  <c r="I10" i="1"/>
  <c r="J10" i="1" s="1"/>
  <c r="G10" i="1"/>
  <c r="F10" i="1"/>
  <c r="E10" i="1"/>
  <c r="T9" i="1"/>
  <c r="R9" i="1"/>
  <c r="Q9" i="1"/>
  <c r="P9" i="1"/>
  <c r="O9" i="1"/>
  <c r="N9" i="1"/>
  <c r="L9" i="1"/>
  <c r="K9" i="1"/>
  <c r="I9" i="1"/>
  <c r="J9" i="1" s="1"/>
  <c r="G9" i="1"/>
  <c r="F9" i="1"/>
  <c r="E9" i="1"/>
  <c r="T8" i="1"/>
  <c r="R8" i="1"/>
  <c r="Q8" i="1"/>
  <c r="P8" i="1"/>
  <c r="O8" i="1"/>
  <c r="N8" i="1"/>
  <c r="L8" i="1"/>
  <c r="K8" i="1"/>
  <c r="I8" i="1"/>
  <c r="J8" i="1" s="1"/>
  <c r="G8" i="1"/>
  <c r="F8" i="1"/>
  <c r="E8" i="1"/>
  <c r="T7" i="1"/>
  <c r="R7" i="1"/>
  <c r="Q7" i="1"/>
  <c r="P7" i="1"/>
  <c r="O7" i="1"/>
  <c r="N7" i="1"/>
  <c r="L7" i="1"/>
  <c r="K7" i="1"/>
  <c r="I7" i="1"/>
  <c r="J7" i="1" s="1"/>
  <c r="G7" i="1"/>
  <c r="F7" i="1"/>
  <c r="E7" i="1"/>
  <c r="T6" i="1"/>
  <c r="R6" i="1"/>
  <c r="Q6" i="1"/>
  <c r="P6" i="1"/>
  <c r="O6" i="1"/>
  <c r="N6" i="1"/>
  <c r="L6" i="1"/>
  <c r="K6" i="1"/>
  <c r="I6" i="1"/>
  <c r="J6" i="1" s="1"/>
  <c r="G6" i="1"/>
  <c r="F6" i="1"/>
  <c r="E6" i="1"/>
  <c r="T5" i="1"/>
  <c r="R5" i="1"/>
  <c r="Q5" i="1"/>
  <c r="P5" i="1"/>
  <c r="O5" i="1"/>
  <c r="N5" i="1"/>
  <c r="L5" i="1"/>
  <c r="K5" i="1"/>
  <c r="I5" i="1"/>
  <c r="J5" i="1" s="1"/>
  <c r="G5" i="1"/>
  <c r="F5" i="1"/>
  <c r="E5" i="1"/>
  <c r="T4" i="1"/>
  <c r="R4" i="1"/>
  <c r="Q4" i="1"/>
  <c r="P4" i="1"/>
  <c r="O4" i="1"/>
  <c r="N4" i="1"/>
  <c r="L4" i="1"/>
  <c r="K4" i="1"/>
  <c r="I4" i="1"/>
  <c r="J4" i="1" s="1"/>
  <c r="G4" i="1"/>
  <c r="F4" i="1"/>
  <c r="E4" i="1"/>
  <c r="T3" i="1"/>
  <c r="R3" i="1"/>
  <c r="Q3" i="1"/>
  <c r="P3" i="1"/>
  <c r="O3" i="1"/>
  <c r="N3" i="1"/>
  <c r="L3" i="1"/>
  <c r="K3" i="1"/>
  <c r="I3" i="1"/>
  <c r="J3" i="1" s="1"/>
  <c r="G3" i="1"/>
  <c r="F3" i="1"/>
  <c r="E3" i="1"/>
  <c r="AD125" i="1" l="1"/>
  <c r="AD80" i="1"/>
  <c r="AD132" i="1"/>
  <c r="AD140" i="1"/>
  <c r="AD57" i="1"/>
  <c r="AD19" i="1"/>
  <c r="AD41" i="1"/>
  <c r="AD108" i="1"/>
  <c r="AD74" i="1"/>
  <c r="AD76" i="1"/>
  <c r="AD24" i="1"/>
  <c r="AD137" i="1"/>
  <c r="AD124" i="1"/>
  <c r="AD158" i="1"/>
  <c r="AD47" i="1"/>
  <c r="AD4" i="1"/>
  <c r="AD16" i="1"/>
  <c r="AD30" i="1"/>
  <c r="AD40" i="1"/>
  <c r="AD95" i="1"/>
  <c r="AD11" i="1"/>
  <c r="AD97" i="1"/>
  <c r="AD20" i="1"/>
  <c r="AD61" i="1"/>
  <c r="AD83" i="1"/>
  <c r="AD46" i="1"/>
  <c r="AD115" i="1"/>
  <c r="AD48" i="1"/>
  <c r="AD64" i="1"/>
  <c r="AD22" i="1"/>
  <c r="AD130" i="1"/>
  <c r="AD3" i="1"/>
  <c r="AD44" i="1"/>
  <c r="AD151" i="1"/>
  <c r="AD5" i="1"/>
  <c r="AD123" i="1"/>
  <c r="AD66" i="1"/>
  <c r="AD13" i="1"/>
  <c r="AD51" i="1"/>
  <c r="AD110" i="1"/>
  <c r="AD58" i="1"/>
  <c r="AD14" i="1"/>
  <c r="AD28" i="1"/>
  <c r="AD67" i="1"/>
  <c r="AD59" i="1"/>
  <c r="AD88" i="1"/>
  <c r="AD136" i="1"/>
  <c r="AD129" i="1"/>
  <c r="AD103" i="1"/>
  <c r="AD60" i="1"/>
  <c r="AD117" i="1"/>
  <c r="AD131" i="1"/>
  <c r="AD104" i="1"/>
  <c r="AD42" i="1"/>
  <c r="AD138" i="1"/>
  <c r="AD10" i="1"/>
  <c r="AD87" i="1"/>
  <c r="AD121" i="1"/>
  <c r="AD27" i="1"/>
  <c r="AD126" i="1"/>
  <c r="AD31" i="1"/>
  <c r="AD155" i="1"/>
  <c r="AD26" i="1"/>
  <c r="AD56" i="1"/>
  <c r="AD116" i="1"/>
  <c r="AD8" i="1"/>
  <c r="AD122" i="1"/>
  <c r="AD7" i="1"/>
  <c r="AD94" i="1"/>
  <c r="AD159" i="1"/>
  <c r="AD32" i="1"/>
  <c r="AD55" i="1"/>
  <c r="AD105" i="1"/>
  <c r="AD109" i="1"/>
  <c r="AD112" i="1"/>
  <c r="AD38" i="1"/>
  <c r="AD144" i="1"/>
  <c r="AD98" i="1"/>
  <c r="AD111" i="1"/>
  <c r="AD53" i="1"/>
  <c r="AD153" i="1"/>
  <c r="AD127" i="1"/>
  <c r="AD25" i="1"/>
  <c r="AD119" i="1"/>
  <c r="AD145" i="1"/>
  <c r="AD21" i="1"/>
  <c r="AD107" i="1"/>
  <c r="AD134" i="1"/>
  <c r="AD120" i="1"/>
  <c r="AD99" i="1"/>
  <c r="AD133" i="1"/>
  <c r="AD54" i="1"/>
  <c r="AD68" i="1"/>
  <c r="AD75" i="1"/>
  <c r="AD72" i="1"/>
  <c r="AD29" i="1"/>
  <c r="AD33" i="1"/>
  <c r="AD65" i="1"/>
  <c r="AD89" i="1"/>
  <c r="AD39" i="1"/>
  <c r="AD73" i="1"/>
  <c r="AD23" i="1"/>
  <c r="AD50" i="1"/>
  <c r="AD37" i="1"/>
  <c r="AD135" i="1"/>
  <c r="AD34" i="1"/>
  <c r="AD6" i="1"/>
  <c r="AD35" i="1"/>
  <c r="AD9" i="1"/>
  <c r="AD139" i="1"/>
  <c r="AD147" i="1"/>
  <c r="AD70" i="1"/>
  <c r="AD43" i="1"/>
  <c r="AD81" i="1"/>
  <c r="AD77" i="1"/>
  <c r="AD146" i="1"/>
  <c r="AD69" i="1"/>
  <c r="AD91" i="1"/>
  <c r="AD86" i="1"/>
  <c r="AD93" i="1"/>
  <c r="AD148" i="1"/>
  <c r="AD49" i="1"/>
  <c r="AD17" i="1"/>
  <c r="AD152" i="1"/>
  <c r="AD157" i="1"/>
  <c r="AD79" i="1"/>
  <c r="AD102" i="1"/>
  <c r="AD92" i="1"/>
  <c r="AD118" i="1"/>
  <c r="AD113" i="1"/>
  <c r="AD85" i="1"/>
  <c r="AD106" i="1"/>
  <c r="AD62" i="1"/>
  <c r="AD150" i="1"/>
  <c r="AD142" i="1"/>
  <c r="AD100" i="1"/>
  <c r="AD143" i="1"/>
  <c r="AD141" i="1"/>
  <c r="AD18" i="1"/>
  <c r="AD15" i="1"/>
  <c r="AD154" i="1"/>
  <c r="AD52" i="1"/>
  <c r="AD82" i="1"/>
  <c r="AD12" i="1"/>
  <c r="AD45" i="1"/>
  <c r="AD71" i="1"/>
  <c r="AD160" i="1"/>
  <c r="AD36" i="1"/>
  <c r="AD101" i="1"/>
  <c r="AD114" i="1"/>
  <c r="AD96" i="1"/>
  <c r="AD84" i="1"/>
  <c r="AD63" i="1"/>
  <c r="AD78" i="1"/>
  <c r="AD149" i="1"/>
  <c r="AD128" i="1"/>
  <c r="AD156" i="1"/>
  <c r="AD90" i="1"/>
  <c r="X161" i="1"/>
  <c r="AB142" i="1" s="1"/>
  <c r="V161" i="1"/>
  <c r="Z23" i="1" s="1"/>
  <c r="W161" i="1"/>
  <c r="AA142" i="1" s="1"/>
  <c r="S58" i="1"/>
  <c r="S88" i="1"/>
  <c r="S4" i="1"/>
  <c r="S40" i="1"/>
  <c r="S64" i="1"/>
  <c r="S76" i="1"/>
  <c r="S112" i="1"/>
  <c r="S10" i="1"/>
  <c r="S70" i="1"/>
  <c r="S52" i="1"/>
  <c r="S106" i="1"/>
  <c r="S22" i="1"/>
  <c r="S94" i="1"/>
  <c r="S82" i="1"/>
  <c r="S118" i="1"/>
  <c r="S16" i="1"/>
  <c r="S28" i="1"/>
  <c r="S100" i="1"/>
  <c r="S120" i="1"/>
  <c r="S126" i="1"/>
  <c r="S130" i="1"/>
  <c r="S132" i="1"/>
  <c r="S138" i="1"/>
  <c r="S144" i="1"/>
  <c r="S150" i="1"/>
  <c r="S20" i="1"/>
  <c r="S34" i="1"/>
  <c r="S46" i="1"/>
  <c r="S21" i="1"/>
  <c r="S56" i="1"/>
  <c r="S57" i="1"/>
  <c r="S92" i="1"/>
  <c r="S93" i="1"/>
  <c r="S131" i="1"/>
  <c r="S23" i="1"/>
  <c r="S24" i="1"/>
  <c r="S25" i="1"/>
  <c r="S59" i="1"/>
  <c r="S60" i="1"/>
  <c r="S61" i="1"/>
  <c r="S95" i="1"/>
  <c r="S96" i="1"/>
  <c r="S97" i="1"/>
  <c r="S133" i="1"/>
  <c r="S134" i="1"/>
  <c r="S135" i="1"/>
  <c r="S26" i="1"/>
  <c r="S27" i="1"/>
  <c r="S62" i="1"/>
  <c r="S63" i="1"/>
  <c r="S98" i="1"/>
  <c r="S99" i="1"/>
  <c r="S136" i="1"/>
  <c r="S137" i="1"/>
  <c r="S29" i="1"/>
  <c r="S30" i="1"/>
  <c r="S31" i="1"/>
  <c r="S65" i="1"/>
  <c r="S66" i="1"/>
  <c r="S67" i="1"/>
  <c r="S101" i="1"/>
  <c r="S102" i="1"/>
  <c r="S103" i="1"/>
  <c r="S139" i="1"/>
  <c r="S140" i="1"/>
  <c r="S141" i="1"/>
  <c r="S32" i="1"/>
  <c r="S33" i="1"/>
  <c r="S68" i="1"/>
  <c r="S69" i="1"/>
  <c r="S104" i="1"/>
  <c r="S105" i="1"/>
  <c r="S142" i="1"/>
  <c r="S143" i="1"/>
  <c r="S35" i="1"/>
  <c r="S36" i="1"/>
  <c r="S37" i="1"/>
  <c r="S71" i="1"/>
  <c r="S72" i="1"/>
  <c r="S73" i="1"/>
  <c r="S107" i="1"/>
  <c r="S108" i="1"/>
  <c r="S109" i="1"/>
  <c r="S145" i="1"/>
  <c r="S146" i="1"/>
  <c r="S147" i="1"/>
  <c r="S38" i="1"/>
  <c r="S39" i="1"/>
  <c r="S74" i="1"/>
  <c r="S75" i="1"/>
  <c r="S110" i="1"/>
  <c r="S111" i="1"/>
  <c r="S148" i="1"/>
  <c r="S149" i="1"/>
  <c r="S5" i="1"/>
  <c r="S6" i="1"/>
  <c r="S7" i="1"/>
  <c r="S41" i="1"/>
  <c r="S42" i="1"/>
  <c r="S43" i="1"/>
  <c r="S77" i="1"/>
  <c r="S78" i="1"/>
  <c r="S79" i="1"/>
  <c r="S113" i="1"/>
  <c r="S114" i="1"/>
  <c r="S115" i="1"/>
  <c r="S151" i="1"/>
  <c r="S152" i="1"/>
  <c r="S153" i="1"/>
  <c r="S3" i="1"/>
  <c r="S8" i="1"/>
  <c r="S9" i="1"/>
  <c r="S44" i="1"/>
  <c r="S45" i="1"/>
  <c r="S80" i="1"/>
  <c r="S81" i="1"/>
  <c r="S116" i="1"/>
  <c r="S117" i="1"/>
  <c r="S119" i="1"/>
  <c r="S154" i="1"/>
  <c r="S155" i="1"/>
  <c r="S11" i="1"/>
  <c r="S12" i="1"/>
  <c r="S13" i="1"/>
  <c r="S47" i="1"/>
  <c r="S48" i="1"/>
  <c r="S49" i="1"/>
  <c r="S83" i="1"/>
  <c r="S84" i="1"/>
  <c r="S85" i="1"/>
  <c r="S121" i="1"/>
  <c r="S122" i="1"/>
  <c r="S123" i="1"/>
  <c r="S156" i="1"/>
  <c r="S157" i="1"/>
  <c r="S158" i="1"/>
  <c r="S159" i="1"/>
  <c r="S14" i="1"/>
  <c r="S15" i="1"/>
  <c r="S50" i="1"/>
  <c r="S51" i="1"/>
  <c r="S86" i="1"/>
  <c r="S87" i="1"/>
  <c r="S124" i="1"/>
  <c r="S125" i="1"/>
  <c r="S160" i="1"/>
  <c r="S17" i="1"/>
  <c r="S18" i="1"/>
  <c r="S19" i="1"/>
  <c r="S53" i="1"/>
  <c r="S54" i="1"/>
  <c r="S55" i="1"/>
  <c r="S89" i="1"/>
  <c r="S90" i="1"/>
  <c r="S91" i="1"/>
  <c r="S127" i="1"/>
  <c r="S128" i="1"/>
  <c r="S129" i="1"/>
  <c r="Z15" i="1" l="1"/>
  <c r="AB87" i="1"/>
  <c r="AB114" i="1"/>
  <c r="AB97" i="1"/>
  <c r="AB66" i="1"/>
  <c r="AB89" i="1"/>
  <c r="AB98" i="1"/>
  <c r="AB69" i="1"/>
  <c r="AB159" i="1"/>
  <c r="AB71" i="1"/>
  <c r="AB70" i="1"/>
  <c r="AB17" i="1"/>
  <c r="AB134" i="1"/>
  <c r="AB36" i="1"/>
  <c r="AB4" i="1"/>
  <c r="AB53" i="1"/>
  <c r="AB94" i="1"/>
  <c r="AB158" i="1"/>
  <c r="AB58" i="1"/>
  <c r="AB28" i="1"/>
  <c r="AB59" i="1"/>
  <c r="AB154" i="1"/>
  <c r="AB118" i="1"/>
  <c r="AB16" i="1"/>
  <c r="AB122" i="1"/>
  <c r="AB88" i="1"/>
  <c r="AB129" i="1"/>
  <c r="AB133" i="1"/>
  <c r="AB108" i="1"/>
  <c r="AB123" i="1"/>
  <c r="AB130" i="1"/>
  <c r="AB64" i="1"/>
  <c r="AB61" i="1"/>
  <c r="AB91" i="1"/>
  <c r="AB136" i="1"/>
  <c r="AB135" i="1"/>
  <c r="AB15" i="1"/>
  <c r="AB46" i="1"/>
  <c r="AB27" i="1"/>
  <c r="AB83" i="1"/>
  <c r="AB150" i="1"/>
  <c r="AB151" i="1"/>
  <c r="AB117" i="1"/>
  <c r="AB74" i="1"/>
  <c r="AB19" i="1"/>
  <c r="AB104" i="1"/>
  <c r="AB80" i="1"/>
  <c r="AB67" i="1"/>
  <c r="AB81" i="1"/>
  <c r="AB79" i="1"/>
  <c r="AB106" i="1"/>
  <c r="AB51" i="1"/>
  <c r="AB44" i="1"/>
  <c r="AB11" i="1"/>
  <c r="AB68" i="1"/>
  <c r="AB96" i="1"/>
  <c r="AB9" i="1"/>
  <c r="AB41" i="1"/>
  <c r="AB26" i="1"/>
  <c r="AB47" i="1"/>
  <c r="AB143" i="1"/>
  <c r="AB111" i="1"/>
  <c r="AB14" i="1"/>
  <c r="AB128" i="1"/>
  <c r="AB85" i="1"/>
  <c r="AB152" i="1"/>
  <c r="AB57" i="1"/>
  <c r="AB20" i="1"/>
  <c r="AB147" i="1"/>
  <c r="AB110" i="1"/>
  <c r="AB32" i="1"/>
  <c r="AB55" i="1"/>
  <c r="AB84" i="1"/>
  <c r="Z73" i="1"/>
  <c r="AB157" i="1"/>
  <c r="AB109" i="1"/>
  <c r="AB103" i="1"/>
  <c r="AB3" i="1"/>
  <c r="AB22" i="1"/>
  <c r="AB13" i="1"/>
  <c r="AB160" i="1"/>
  <c r="AB49" i="1"/>
  <c r="AB43" i="1"/>
  <c r="AB112" i="1"/>
  <c r="AB38" i="1"/>
  <c r="AB63" i="1"/>
  <c r="AB29" i="1"/>
  <c r="AB75" i="1"/>
  <c r="AB21" i="1"/>
  <c r="AB148" i="1"/>
  <c r="AB95" i="1"/>
  <c r="AB72" i="1"/>
  <c r="AB149" i="1"/>
  <c r="AB35" i="1"/>
  <c r="AB86" i="1"/>
  <c r="Z51" i="1"/>
  <c r="AB125" i="1"/>
  <c r="AB99" i="1"/>
  <c r="AB141" i="1"/>
  <c r="AB127" i="1"/>
  <c r="AB153" i="1"/>
  <c r="AB105" i="1"/>
  <c r="AB78" i="1"/>
  <c r="AB40" i="1"/>
  <c r="AB60" i="1"/>
  <c r="AB50" i="1"/>
  <c r="AB115" i="1"/>
  <c r="AB77" i="1"/>
  <c r="AB146" i="1"/>
  <c r="AB31" i="1"/>
  <c r="AB92" i="1"/>
  <c r="AB30" i="1"/>
  <c r="AB138" i="1"/>
  <c r="AB18" i="1"/>
  <c r="AB119" i="1"/>
  <c r="AB124" i="1"/>
  <c r="AB39" i="1"/>
  <c r="AB12" i="1"/>
  <c r="AB65" i="1"/>
  <c r="AB156" i="1"/>
  <c r="AB90" i="1"/>
  <c r="AB140" i="1"/>
  <c r="AB137" i="1"/>
  <c r="AB52" i="1"/>
  <c r="AB120" i="1"/>
  <c r="AB82" i="1"/>
  <c r="AB42" i="1"/>
  <c r="AB102" i="1"/>
  <c r="AB25" i="1"/>
  <c r="AB10" i="1"/>
  <c r="AB56" i="1"/>
  <c r="Z5" i="1"/>
  <c r="AB6" i="1"/>
  <c r="AB23" i="1"/>
  <c r="AB8" i="1"/>
  <c r="Z41" i="1"/>
  <c r="Z65" i="1"/>
  <c r="Z144" i="1"/>
  <c r="Z87" i="1"/>
  <c r="Z61" i="1"/>
  <c r="Z108" i="1"/>
  <c r="Z29" i="1"/>
  <c r="Z114" i="1"/>
  <c r="Z125" i="1"/>
  <c r="Z154" i="1"/>
  <c r="Z97" i="1"/>
  <c r="Z72" i="1"/>
  <c r="Z58" i="1"/>
  <c r="Z96" i="1"/>
  <c r="Z77" i="1"/>
  <c r="AA61" i="1"/>
  <c r="Z10" i="1"/>
  <c r="AA93" i="1"/>
  <c r="AA78" i="1"/>
  <c r="Z155" i="1"/>
  <c r="AB121" i="1"/>
  <c r="AB144" i="1"/>
  <c r="AB126" i="1"/>
  <c r="AB131" i="1"/>
  <c r="Z106" i="1"/>
  <c r="AB62" i="1"/>
  <c r="AB101" i="1"/>
  <c r="AB132" i="1"/>
  <c r="Z52" i="1"/>
  <c r="AB33" i="1"/>
  <c r="AB76" i="1"/>
  <c r="AB37" i="1"/>
  <c r="Z76" i="1"/>
  <c r="AB113" i="1"/>
  <c r="AB5" i="1"/>
  <c r="AB7" i="1"/>
  <c r="AB107" i="1"/>
  <c r="AB93" i="1"/>
  <c r="AB34" i="1"/>
  <c r="AB24" i="1"/>
  <c r="Z109" i="1"/>
  <c r="AB73" i="1"/>
  <c r="AB48" i="1"/>
  <c r="AB145" i="1"/>
  <c r="Z136" i="1"/>
  <c r="AB139" i="1"/>
  <c r="AB100" i="1"/>
  <c r="AB155" i="1"/>
  <c r="Z100" i="1"/>
  <c r="AB45" i="1"/>
  <c r="AB116" i="1"/>
  <c r="AB54" i="1"/>
  <c r="AA126" i="1"/>
  <c r="AA15" i="1"/>
  <c r="AA152" i="1"/>
  <c r="Z69" i="1"/>
  <c r="Z12" i="1"/>
  <c r="Z146" i="1"/>
  <c r="AA40" i="1"/>
  <c r="Z140" i="1"/>
  <c r="Z159" i="1"/>
  <c r="Z103" i="1"/>
  <c r="AA115" i="1"/>
  <c r="AA154" i="1"/>
  <c r="AA123" i="1"/>
  <c r="Z94" i="1"/>
  <c r="Z57" i="1"/>
  <c r="Z30" i="1"/>
  <c r="Z60" i="1"/>
  <c r="Z121" i="1"/>
  <c r="Z128" i="1"/>
  <c r="Z32" i="1"/>
  <c r="Z160" i="1"/>
  <c r="Z91" i="1"/>
  <c r="AA138" i="1"/>
  <c r="Z40" i="1"/>
  <c r="AA137" i="1"/>
  <c r="AA44" i="1"/>
  <c r="AA119" i="1"/>
  <c r="AA147" i="1"/>
  <c r="AA58" i="1"/>
  <c r="AA86" i="1"/>
  <c r="AA64" i="1"/>
  <c r="AA125" i="1"/>
  <c r="AA141" i="1"/>
  <c r="AA89" i="1"/>
  <c r="Z157" i="1"/>
  <c r="Z126" i="1"/>
  <c r="AA150" i="1"/>
  <c r="Z48" i="1"/>
  <c r="AA151" i="1"/>
  <c r="Z55" i="1"/>
  <c r="Z93" i="1"/>
  <c r="Z118" i="1"/>
  <c r="Z11" i="1"/>
  <c r="Z82" i="1"/>
  <c r="AA34" i="1"/>
  <c r="AA83" i="1"/>
  <c r="AA19" i="1"/>
  <c r="Z131" i="1"/>
  <c r="Z44" i="1"/>
  <c r="Z110" i="1"/>
  <c r="Z85" i="1"/>
  <c r="Z112" i="1"/>
  <c r="Z90" i="1"/>
  <c r="Z20" i="1"/>
  <c r="Z147" i="1"/>
  <c r="Z33" i="1"/>
  <c r="AA35" i="1"/>
  <c r="Z122" i="1"/>
  <c r="Z158" i="1"/>
  <c r="Z34" i="1"/>
  <c r="Z4" i="1"/>
  <c r="AA42" i="1"/>
  <c r="Z99" i="1"/>
  <c r="AA38" i="1"/>
  <c r="Z31" i="1"/>
  <c r="Z149" i="1"/>
  <c r="AA29" i="1"/>
  <c r="Z83" i="1"/>
  <c r="Z78" i="1"/>
  <c r="Z138" i="1"/>
  <c r="Z75" i="1"/>
  <c r="Z141" i="1"/>
  <c r="Z43" i="1"/>
  <c r="AA129" i="1"/>
  <c r="Z132" i="1"/>
  <c r="AA17" i="1"/>
  <c r="Z102" i="1"/>
  <c r="Z39" i="1"/>
  <c r="Z56" i="1"/>
  <c r="AA54" i="1"/>
  <c r="AA114" i="1"/>
  <c r="Z101" i="1"/>
  <c r="Z145" i="1"/>
  <c r="Z80" i="1"/>
  <c r="Z130" i="1"/>
  <c r="Z27" i="1"/>
  <c r="Z28" i="1"/>
  <c r="AA11" i="1"/>
  <c r="AA18" i="1"/>
  <c r="Z120" i="1"/>
  <c r="Z50" i="1"/>
  <c r="Z81" i="1"/>
  <c r="AA12" i="1"/>
  <c r="AA127" i="1"/>
  <c r="AA20" i="1"/>
  <c r="AA111" i="1"/>
  <c r="AA120" i="1"/>
  <c r="Z3" i="1"/>
  <c r="Z66" i="1"/>
  <c r="Z22" i="1"/>
  <c r="Z119" i="1"/>
  <c r="Z123" i="1"/>
  <c r="Z79" i="1"/>
  <c r="Z156" i="1"/>
  <c r="Z107" i="1"/>
  <c r="Z105" i="1"/>
  <c r="AA6" i="1"/>
  <c r="Z116" i="1"/>
  <c r="AA4" i="1"/>
  <c r="AA30" i="1"/>
  <c r="Z35" i="1"/>
  <c r="Z24" i="1"/>
  <c r="AA98" i="1"/>
  <c r="AA80" i="1"/>
  <c r="Z150" i="1"/>
  <c r="Z21" i="1"/>
  <c r="Z135" i="1"/>
  <c r="Z6" i="1"/>
  <c r="Z92" i="1"/>
  <c r="Z84" i="1"/>
  <c r="AA36" i="1"/>
  <c r="AA81" i="1"/>
  <c r="AA133" i="1"/>
  <c r="AA103" i="1"/>
  <c r="AA52" i="1"/>
  <c r="AA82" i="1"/>
  <c r="AA92" i="1"/>
  <c r="AA153" i="1"/>
  <c r="AA10" i="1"/>
  <c r="AA26" i="1"/>
  <c r="Z54" i="1"/>
  <c r="AA63" i="1"/>
  <c r="Z59" i="1"/>
  <c r="Z26" i="1"/>
  <c r="AA66" i="1"/>
  <c r="Z86" i="1"/>
  <c r="Z137" i="1"/>
  <c r="AA53" i="1"/>
  <c r="Z98" i="1"/>
  <c r="Z14" i="1"/>
  <c r="Z42" i="1"/>
  <c r="Z17" i="1"/>
  <c r="Z49" i="1"/>
  <c r="Z142" i="1"/>
  <c r="Z95" i="1"/>
  <c r="AA76" i="1"/>
  <c r="AA59" i="1"/>
  <c r="AA7" i="1"/>
  <c r="AA100" i="1"/>
  <c r="AA91" i="1"/>
  <c r="AA50" i="1"/>
  <c r="AA67" i="1"/>
  <c r="AA25" i="1"/>
  <c r="AA117" i="1"/>
  <c r="AA107" i="1"/>
  <c r="AA159" i="1"/>
  <c r="AA74" i="1"/>
  <c r="AA143" i="1"/>
  <c r="AA60" i="1"/>
  <c r="AA110" i="1"/>
  <c r="AA37" i="1"/>
  <c r="AA28" i="1"/>
  <c r="AA72" i="1"/>
  <c r="AA144" i="1"/>
  <c r="AA47" i="1"/>
  <c r="AA62" i="1"/>
  <c r="Z89" i="1"/>
  <c r="Z74" i="1"/>
  <c r="AA132" i="1"/>
  <c r="Z19" i="1"/>
  <c r="AA99" i="1"/>
  <c r="Z111" i="1"/>
  <c r="Z18" i="1"/>
  <c r="AA70" i="1"/>
  <c r="Z139" i="1"/>
  <c r="Z124" i="1"/>
  <c r="Z70" i="1"/>
  <c r="Z127" i="1"/>
  <c r="Z71" i="1"/>
  <c r="Z45" i="1"/>
  <c r="AA57" i="1"/>
  <c r="AA131" i="1"/>
  <c r="AA118" i="1"/>
  <c r="AA101" i="1"/>
  <c r="AA22" i="1"/>
  <c r="AA13" i="1"/>
  <c r="AA96" i="1"/>
  <c r="AA56" i="1"/>
  <c r="AA85" i="1"/>
  <c r="AA109" i="1"/>
  <c r="AA51" i="1"/>
  <c r="Z133" i="1"/>
  <c r="AA108" i="1"/>
  <c r="Z38" i="1"/>
  <c r="AA48" i="1"/>
  <c r="Z47" i="1"/>
  <c r="AA75" i="1"/>
  <c r="Z143" i="1"/>
  <c r="AA139" i="1"/>
  <c r="Z104" i="1"/>
  <c r="AA32" i="1"/>
  <c r="Z68" i="1"/>
  <c r="Z151" i="1"/>
  <c r="Z67" i="1"/>
  <c r="AA41" i="1"/>
  <c r="Z25" i="1"/>
  <c r="Z153" i="1"/>
  <c r="AA90" i="1"/>
  <c r="Z7" i="1"/>
  <c r="Z152" i="1"/>
  <c r="Z117" i="1"/>
  <c r="AA3" i="1"/>
  <c r="Z64" i="1"/>
  <c r="AA104" i="1"/>
  <c r="Z63" i="1"/>
  <c r="AA46" i="1"/>
  <c r="Z62" i="1"/>
  <c r="AA33" i="1"/>
  <c r="Z129" i="1"/>
  <c r="AA135" i="1"/>
  <c r="Z46" i="1"/>
  <c r="AA9" i="1"/>
  <c r="Z53" i="1"/>
  <c r="Z16" i="1"/>
  <c r="Z37" i="1"/>
  <c r="Z8" i="1"/>
  <c r="AA113" i="1"/>
  <c r="Z113" i="1"/>
  <c r="Z36" i="1"/>
  <c r="AA155" i="1"/>
  <c r="AA49" i="1"/>
  <c r="AA84" i="1"/>
  <c r="AA77" i="1"/>
  <c r="AA156" i="1"/>
  <c r="AA128" i="1"/>
  <c r="AA39" i="1"/>
  <c r="AA23" i="1"/>
  <c r="AA65" i="1"/>
  <c r="AA45" i="1"/>
  <c r="AA87" i="1"/>
  <c r="AA24" i="1"/>
  <c r="AA73" i="1"/>
  <c r="AA136" i="1"/>
  <c r="AA68" i="1"/>
  <c r="AA160" i="1"/>
  <c r="AA130" i="1"/>
  <c r="AA69" i="1"/>
  <c r="AA8" i="1"/>
  <c r="AA55" i="1"/>
  <c r="AA140" i="1"/>
  <c r="AA88" i="1"/>
  <c r="AA134" i="1"/>
  <c r="AA14" i="1"/>
  <c r="Z88" i="1"/>
  <c r="AA16" i="1"/>
  <c r="AA148" i="1"/>
  <c r="Z134" i="1"/>
  <c r="Z13" i="1"/>
  <c r="Z9" i="1"/>
  <c r="Z115" i="1"/>
  <c r="Z148" i="1"/>
  <c r="AA157" i="1"/>
  <c r="AA5" i="1"/>
  <c r="AA116" i="1"/>
  <c r="AA112" i="1"/>
  <c r="AA121" i="1"/>
  <c r="AA71" i="1"/>
  <c r="AA43" i="1"/>
  <c r="AA102" i="1"/>
  <c r="AA79" i="1"/>
  <c r="AA94" i="1"/>
  <c r="AA122" i="1"/>
  <c r="AA97" i="1"/>
  <c r="AA158" i="1"/>
  <c r="AA105" i="1"/>
  <c r="AA149" i="1"/>
  <c r="AA146" i="1"/>
  <c r="AA106" i="1"/>
  <c r="AA145" i="1"/>
  <c r="AA21" i="1"/>
  <c r="AA124" i="1"/>
  <c r="AA27" i="1"/>
  <c r="AA95" i="1"/>
  <c r="AA31" i="1"/>
</calcChain>
</file>

<file path=xl/sharedStrings.xml><?xml version="1.0" encoding="utf-8"?>
<sst xmlns="http://schemas.openxmlformats.org/spreadsheetml/2006/main" count="525" uniqueCount="204">
  <si>
    <t>Номер</t>
  </si>
  <si>
    <t>ФИО</t>
  </si>
  <si>
    <t>ПВК</t>
  </si>
  <si>
    <t>Время плавания</t>
  </si>
  <si>
    <t>Темп плавания</t>
  </si>
  <si>
    <t>Место плавания
АБС</t>
  </si>
  <si>
    <t>Место плавания
ПВК</t>
  </si>
  <si>
    <t>Время вело</t>
  </si>
  <si>
    <t>Средняя скорость</t>
  </si>
  <si>
    <t>Место вело
АБС</t>
  </si>
  <si>
    <t>Место вело
ПВК</t>
  </si>
  <si>
    <t>Время бега</t>
  </si>
  <si>
    <t>Темп бега</t>
  </si>
  <si>
    <t>Место бега
АБС</t>
  </si>
  <si>
    <t>Место бега 
ПВК</t>
  </si>
  <si>
    <t>Итоговое время</t>
  </si>
  <si>
    <t>Итоговое место</t>
  </si>
  <si>
    <t>Место
ПВК</t>
  </si>
  <si>
    <t>Мин</t>
  </si>
  <si>
    <t>мин/100м</t>
  </si>
  <si>
    <t>км/ч</t>
  </si>
  <si>
    <t>мин/км</t>
  </si>
  <si>
    <t>Степанычев Алексей</t>
  </si>
  <si>
    <t>М18-39</t>
  </si>
  <si>
    <t>Харитонов Никита</t>
  </si>
  <si>
    <t>Сериков Егор</t>
  </si>
  <si>
    <t>М40+</t>
  </si>
  <si>
    <t>Маркович Александр</t>
  </si>
  <si>
    <t>Ракович Андрей</t>
  </si>
  <si>
    <t>Шинкарев Алексей</t>
  </si>
  <si>
    <t>Гуштын Никита</t>
  </si>
  <si>
    <t>Krech Evgeniy</t>
  </si>
  <si>
    <t>Жлобо Виктор</t>
  </si>
  <si>
    <t>Ковалев Ярослав</t>
  </si>
  <si>
    <t>Мунтян Сергей</t>
  </si>
  <si>
    <t>Вашкевич Антон</t>
  </si>
  <si>
    <t>Гелохов Виктор</t>
  </si>
  <si>
    <t>Коротыш Федор</t>
  </si>
  <si>
    <t>Викентьев Алексей</t>
  </si>
  <si>
    <t>Шипуль Андрей</t>
  </si>
  <si>
    <t>Харитонов Виталий</t>
  </si>
  <si>
    <t>Новицкий Александр</t>
  </si>
  <si>
    <t>Головаченко Денис</t>
  </si>
  <si>
    <t>Marchuk Artyom</t>
  </si>
  <si>
    <t>Koltovich Andrei</t>
  </si>
  <si>
    <t>Доманников Дмитрий</t>
  </si>
  <si>
    <t>Жиделев Александр</t>
  </si>
  <si>
    <t>Ларионов Андрей</t>
  </si>
  <si>
    <t>Ворожбит Станислав</t>
  </si>
  <si>
    <t>Лисецкий Дмитрий</t>
  </si>
  <si>
    <t>Малышев Евгений</t>
  </si>
  <si>
    <t>Кожан Валерий</t>
  </si>
  <si>
    <t>Dyuba Evgeniy</t>
  </si>
  <si>
    <t>Щербенок Игорь</t>
  </si>
  <si>
    <t>Jasinski Sergey</t>
  </si>
  <si>
    <t>Астапкович Алексей</t>
  </si>
  <si>
    <t>Прокопович Сергей</t>
  </si>
  <si>
    <t>Картун Андрей</t>
  </si>
  <si>
    <t>Шпакович Максим</t>
  </si>
  <si>
    <t>Давыдов Александр</t>
  </si>
  <si>
    <t>Слободько Дмитрий</t>
  </si>
  <si>
    <t>Заяц Алексей</t>
  </si>
  <si>
    <t>Тарасенко Артем</t>
  </si>
  <si>
    <t>Сазонов Андрей</t>
  </si>
  <si>
    <t>Ковалев Глеб</t>
  </si>
  <si>
    <t>Жаркевич Георгий</t>
  </si>
  <si>
    <t>Пальчех Василий</t>
  </si>
  <si>
    <t>Vybarny Kiryl</t>
  </si>
  <si>
    <t>Нестерович Николай</t>
  </si>
  <si>
    <t>Лесюков Александр</t>
  </si>
  <si>
    <t>Бузо Александр</t>
  </si>
  <si>
    <t>Катуш Вадим</t>
  </si>
  <si>
    <t>Максименко Никита</t>
  </si>
  <si>
    <t>Добудько Иван</t>
  </si>
  <si>
    <t>Saroka Vitali</t>
  </si>
  <si>
    <t>Кравцов Евгений</t>
  </si>
  <si>
    <t>Горбатенко Михаил</t>
  </si>
  <si>
    <t>Сокол Александр</t>
  </si>
  <si>
    <t>Kanafin Artsiom</t>
  </si>
  <si>
    <t>Kupriyanov Nikita</t>
  </si>
  <si>
    <t>Горбунов Дмитрий</t>
  </si>
  <si>
    <t>Шпиленя Алексей</t>
  </si>
  <si>
    <t>Атрашкевич Сергей</t>
  </si>
  <si>
    <t>Леончик Владимир</t>
  </si>
  <si>
    <t>Автушко Михаил</t>
  </si>
  <si>
    <t>Ryzhenkov Yury</t>
  </si>
  <si>
    <t>Здор Павел</t>
  </si>
  <si>
    <t>Максим Кушель</t>
  </si>
  <si>
    <t>Акулич Антон</t>
  </si>
  <si>
    <t>Босяков Александр</t>
  </si>
  <si>
    <t>Киричев Максим</t>
  </si>
  <si>
    <t>Девятников Дмитрий</t>
  </si>
  <si>
    <t>Butrimenko Vladimir</t>
  </si>
  <si>
    <t>Зыгмантович Олег</t>
  </si>
  <si>
    <t>Бухтик Андрей</t>
  </si>
  <si>
    <t>Pozniak Ilya</t>
  </si>
  <si>
    <t>Жигалов Юрий</t>
  </si>
  <si>
    <t>Иванов Олег</t>
  </si>
  <si>
    <t>Kurata Kenneth</t>
  </si>
  <si>
    <t>Ивченко Павел</t>
  </si>
  <si>
    <t>Храмов Виталий</t>
  </si>
  <si>
    <t>Гуленин Юрий</t>
  </si>
  <si>
    <t>Буевич Павел</t>
  </si>
  <si>
    <t>Выдумчик Александр</t>
  </si>
  <si>
    <t>Коляго Антон</t>
  </si>
  <si>
    <t>Чикун Андрей</t>
  </si>
  <si>
    <t>Качаев Олег</t>
  </si>
  <si>
    <t>Костюк Алексей</t>
  </si>
  <si>
    <t>Иван Савицкий</t>
  </si>
  <si>
    <t>Наранович Евгений</t>
  </si>
  <si>
    <t>Никонюк Михаил</t>
  </si>
  <si>
    <t>Тычина Антон</t>
  </si>
  <si>
    <t>Мандрик Алексей</t>
  </si>
  <si>
    <t>Babakaev Max</t>
  </si>
  <si>
    <t>Жуков Сергей</t>
  </si>
  <si>
    <t>Стельмацкий Виталий</t>
  </si>
  <si>
    <t>Ковтунов Роман</t>
  </si>
  <si>
    <t>Симаков Александр</t>
  </si>
  <si>
    <t>Вильчинский Ромуальд</t>
  </si>
  <si>
    <t>Матус Игорь</t>
  </si>
  <si>
    <t>Shirobokov Dmitrii</t>
  </si>
  <si>
    <t>Бобко Александр</t>
  </si>
  <si>
    <t>Недосейкин Андрей</t>
  </si>
  <si>
    <t>Сухинин Максим</t>
  </si>
  <si>
    <t>Петрович Виталий</t>
  </si>
  <si>
    <t>Разорёнов Валерий</t>
  </si>
  <si>
    <t>Дмитрий Белянко</t>
  </si>
  <si>
    <t>Антоненко Сергей</t>
  </si>
  <si>
    <t>Войтик Михаил</t>
  </si>
  <si>
    <t>Афанасьев Владислав</t>
  </si>
  <si>
    <t>Бордан Георгий</t>
  </si>
  <si>
    <t>Самкович Виталий</t>
  </si>
  <si>
    <t>Сыманюк Дмитрий</t>
  </si>
  <si>
    <t>Судас Александр</t>
  </si>
  <si>
    <t>Лапицкий Александр</t>
  </si>
  <si>
    <t>Бондарев Иван</t>
  </si>
  <si>
    <t>Андрианов Константин</t>
  </si>
  <si>
    <t>Лашкевич Андрей</t>
  </si>
  <si>
    <t>Юрченко Владимир</t>
  </si>
  <si>
    <t>Сыроежкин Павел</t>
  </si>
  <si>
    <t>Olshevskaya Angelina</t>
  </si>
  <si>
    <t>Ж18-34</t>
  </si>
  <si>
    <t>Касперович Юлия</t>
  </si>
  <si>
    <t>Дахно Татьяна</t>
  </si>
  <si>
    <t>Urubleuskaya Yuliya</t>
  </si>
  <si>
    <t>Ж35+</t>
  </si>
  <si>
    <t>Kudzelko Katsiaryna</t>
  </si>
  <si>
    <t>Лютаревич Александра</t>
  </si>
  <si>
    <t>Клебанович Виктория</t>
  </si>
  <si>
    <t>Вечорко Елена</t>
  </si>
  <si>
    <t>Cheremisinova Anna</t>
  </si>
  <si>
    <t>Викентьева Елена</t>
  </si>
  <si>
    <t>Михайлова Татьяна</t>
  </si>
  <si>
    <t>Ковалева Диана</t>
  </si>
  <si>
    <t>Лапко Анастасия</t>
  </si>
  <si>
    <t>Зубович Евгения</t>
  </si>
  <si>
    <t>Корнейчук Александра</t>
  </si>
  <si>
    <t>Попко Ульяна</t>
  </si>
  <si>
    <t>Дарьина Анна</t>
  </si>
  <si>
    <t>Адамович Ирина</t>
  </si>
  <si>
    <t>Матвийко Надежда</t>
  </si>
  <si>
    <t>Ванчук Оксана</t>
  </si>
  <si>
    <t>Качан Екатерина</t>
  </si>
  <si>
    <t>Цумарева Ксения</t>
  </si>
  <si>
    <t>Цацарина Екатерина</t>
  </si>
  <si>
    <t>Gavrilova Alla</t>
  </si>
  <si>
    <t>Ющенко Полина</t>
  </si>
  <si>
    <t>Синицина Дарья</t>
  </si>
  <si>
    <t>Navumenka Hanna</t>
  </si>
  <si>
    <t>Таначева Александра</t>
  </si>
  <si>
    <t>Войтович Мария</t>
  </si>
  <si>
    <t>Astrouskaya Veronika</t>
  </si>
  <si>
    <t>Севрук Елизавета</t>
  </si>
  <si>
    <t>Мельникова Елизавета</t>
  </si>
  <si>
    <t>Савченко Ангелина</t>
  </si>
  <si>
    <t>Моисеева Вероника</t>
  </si>
  <si>
    <t>Григорьева Светлана</t>
  </si>
  <si>
    <t>Колесникова Марина</t>
  </si>
  <si>
    <t>Чадович Яна</t>
  </si>
  <si>
    <t>Шкавенцова Ксения</t>
  </si>
  <si>
    <t>Сидоревич Анастасия</t>
  </si>
  <si>
    <t>Кобеняк Арина</t>
  </si>
  <si>
    <t>Павлюченко Надежда</t>
  </si>
  <si>
    <t>Рычагова Александра</t>
  </si>
  <si>
    <t>После плавания</t>
  </si>
  <si>
    <t>После вело</t>
  </si>
  <si>
    <t>После бега</t>
  </si>
  <si>
    <t>Старт</t>
  </si>
  <si>
    <t>Плавание</t>
  </si>
  <si>
    <t>Вело</t>
  </si>
  <si>
    <t>Бег</t>
  </si>
  <si>
    <t>Пол</t>
  </si>
  <si>
    <t>М</t>
  </si>
  <si>
    <t>Ж</t>
  </si>
  <si>
    <t>Total</t>
  </si>
  <si>
    <t>Лучшее плавание у мужчин</t>
  </si>
  <si>
    <t>Лучшее вело у мужчин</t>
  </si>
  <si>
    <t>Лучший бег у мужчин</t>
  </si>
  <si>
    <t>Лучшее плавание у женщин</t>
  </si>
  <si>
    <t>Лучшее вело у женщин</t>
  </si>
  <si>
    <t>Лучший бег у женщин</t>
  </si>
  <si>
    <t>Транзитки</t>
  </si>
  <si>
    <t>Лучшие транзитки у мужчин</t>
  </si>
  <si>
    <t>Лучшие транзитки у 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</si>
</sst>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Inconsolata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45" fontId="3" fillId="4" borderId="8" xfId="0" applyNumberFormat="1" applyFont="1" applyFill="1" applyBorder="1" applyAlignment="1">
      <alignment horizontal="center"/>
    </xf>
    <xf numFmtId="45" fontId="5" fillId="5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" fontId="3" fillId="5" borderId="8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0" fontId="3" fillId="4" borderId="9" xfId="0" applyFont="1" applyFill="1" applyBorder="1"/>
    <xf numFmtId="45" fontId="3" fillId="5" borderId="9" xfId="0" applyNumberFormat="1" applyFont="1" applyFill="1" applyBorder="1" applyAlignment="1">
      <alignment horizontal="center"/>
    </xf>
    <xf numFmtId="45" fontId="3" fillId="6" borderId="9" xfId="0" applyNumberFormat="1" applyFont="1" applyFill="1" applyBorder="1"/>
    <xf numFmtId="0" fontId="3" fillId="6" borderId="9" xfId="0" applyFont="1" applyFill="1" applyBorder="1"/>
    <xf numFmtId="0" fontId="3" fillId="7" borderId="0" xfId="0" applyFont="1" applyFill="1"/>
    <xf numFmtId="0" fontId="3" fillId="0" borderId="11" xfId="0" applyFont="1" applyBorder="1" applyAlignment="1">
      <alignment horizontal="center"/>
    </xf>
    <xf numFmtId="49" fontId="4" fillId="4" borderId="12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45" fontId="3" fillId="4" borderId="14" xfId="0" applyNumberFormat="1" applyFont="1" applyFill="1" applyBorder="1" applyAlignment="1">
      <alignment horizontal="center"/>
    </xf>
    <xf numFmtId="45" fontId="5" fillId="5" borderId="15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4" fontId="3" fillId="5" borderId="14" xfId="0" applyNumberFormat="1" applyFont="1" applyFill="1" applyBorder="1" applyAlignment="1">
      <alignment horizontal="center"/>
    </xf>
    <xf numFmtId="2" fontId="3" fillId="5" borderId="15" xfId="0" applyNumberFormat="1" applyFont="1" applyFill="1" applyBorder="1" applyAlignment="1">
      <alignment horizontal="center"/>
    </xf>
    <xf numFmtId="0" fontId="3" fillId="4" borderId="15" xfId="0" applyFont="1" applyFill="1" applyBorder="1"/>
    <xf numFmtId="45" fontId="3" fillId="5" borderId="15" xfId="0" applyNumberFormat="1" applyFont="1" applyFill="1" applyBorder="1" applyAlignment="1">
      <alignment horizontal="center"/>
    </xf>
    <xf numFmtId="45" fontId="3" fillId="6" borderId="15" xfId="0" applyNumberFormat="1" applyFont="1" applyFill="1" applyBorder="1"/>
    <xf numFmtId="0" fontId="3" fillId="6" borderId="15" xfId="0" applyFont="1" applyFill="1" applyBorder="1"/>
    <xf numFmtId="0" fontId="3" fillId="7" borderId="14" xfId="0" applyFont="1" applyFill="1" applyBorder="1"/>
    <xf numFmtId="0" fontId="3" fillId="8" borderId="6" xfId="0" applyFont="1" applyFill="1" applyBorder="1" applyAlignment="1">
      <alignment horizontal="center"/>
    </xf>
    <xf numFmtId="49" fontId="4" fillId="8" borderId="7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5" fontId="3" fillId="8" borderId="8" xfId="0" applyNumberFormat="1" applyFont="1" applyFill="1" applyBorder="1" applyAlignment="1">
      <alignment horizontal="center"/>
    </xf>
    <xf numFmtId="0" fontId="6" fillId="0" borderId="0" xfId="0" applyFont="1"/>
    <xf numFmtId="49" fontId="0" fillId="0" borderId="0" xfId="0" applyNumberFormat="1"/>
    <xf numFmtId="164" fontId="7" fillId="9" borderId="16" xfId="0" applyNumberFormat="1" applyFont="1" applyFill="1" applyBorder="1"/>
    <xf numFmtId="45" fontId="0" fillId="0" borderId="0" xfId="0" applyNumberFormat="1"/>
    <xf numFmtId="0" fontId="7" fillId="9" borderId="0" xfId="0" applyFont="1" applyFill="1"/>
    <xf numFmtId="45" fontId="6" fillId="0" borderId="0" xfId="0" applyNumberFormat="1" applyFont="1"/>
    <xf numFmtId="0" fontId="6" fillId="0" borderId="0" xfId="0" applyFont="1" applyAlignment="1">
      <alignment horizontal="center" vertical="center"/>
    </xf>
    <xf numFmtId="45" fontId="6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2" borderId="1" xfId="0" applyFont="1" applyFill="1" applyBorder="1" applyAlignment="1">
      <alignment horizont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0" borderId="7" xfId="0" applyFont="1" applyBorder="1"/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28" formatCode="mm:ss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прохождения гонки. Отрыв от последнего на каждой отсчетке. Выше - лучше.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Протокол!$U$3</c:f>
              <c:strCache>
                <c:ptCount val="1"/>
                <c:pt idx="0">
                  <c:v>Степанычев Алексей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Протокол!$Y$3:$AB$3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6.2037037037037043E-3</c:v>
                </c:pt>
                <c:pt idx="2">
                  <c:v>9.8611111111111122E-3</c:v>
                </c:pt>
                <c:pt idx="3">
                  <c:v>1.488425925925926E-2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4-AB44-AE22-E8E5E3F17CC5}"/>
            </c:ext>
          </c:extLst>
        </c:ser>
        <c:ser>
          <c:idx val="1"/>
          <c:order val="1"/>
          <c:tx>
            <c:strRef>
              <c:f>Протокол!$U$4</c:f>
              <c:strCache>
                <c:ptCount val="1"/>
                <c:pt idx="0">
                  <c:v>Харитонов Никита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Протокол!$Y$4:$AB$4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6.1111111111111123E-3</c:v>
                </c:pt>
                <c:pt idx="2">
                  <c:v>9.479166666666667E-3</c:v>
                </c:pt>
                <c:pt idx="3">
                  <c:v>1.4317129629629631E-2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4-AB44-AE22-E8E5E3F17CC5}"/>
            </c:ext>
          </c:extLst>
        </c:ser>
        <c:ser>
          <c:idx val="2"/>
          <c:order val="2"/>
          <c:tx>
            <c:strRef>
              <c:f>Протокол!$U$5</c:f>
              <c:strCache>
                <c:ptCount val="1"/>
                <c:pt idx="0">
                  <c:v>Сериков Егор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Протокол!$Y$5:$AB$5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5.844907407407408E-3</c:v>
                </c:pt>
                <c:pt idx="2">
                  <c:v>9.7222222222222224E-3</c:v>
                </c:pt>
                <c:pt idx="3">
                  <c:v>1.4189814814814815E-2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4-AB44-AE22-E8E5E3F17CC5}"/>
            </c:ext>
          </c:extLst>
        </c:ser>
        <c:ser>
          <c:idx val="3"/>
          <c:order val="3"/>
          <c:tx>
            <c:strRef>
              <c:f>Протокол!$U$6</c:f>
              <c:strCache>
                <c:ptCount val="1"/>
                <c:pt idx="0">
                  <c:v>Маркович Александр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Протокол!$Y$6:$AB$6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6.0648148148148154E-3</c:v>
                </c:pt>
                <c:pt idx="2">
                  <c:v>9.3634259259259278E-3</c:v>
                </c:pt>
                <c:pt idx="3">
                  <c:v>1.4085648148148149E-2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4-AB44-AE22-E8E5E3F17CC5}"/>
            </c:ext>
          </c:extLst>
        </c:ser>
        <c:ser>
          <c:idx val="4"/>
          <c:order val="4"/>
          <c:tx>
            <c:strRef>
              <c:f>Протокол!$U$7</c:f>
              <c:strCache>
                <c:ptCount val="1"/>
                <c:pt idx="0">
                  <c:v>Ракович Андрей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Протокол!$Y$7:$AB$7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6.0648148148148154E-3</c:v>
                </c:pt>
                <c:pt idx="2">
                  <c:v>9.3518518518518508E-3</c:v>
                </c:pt>
                <c:pt idx="3">
                  <c:v>1.4016203703703704E-2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4-AB44-AE22-E8E5E3F17CC5}"/>
            </c:ext>
          </c:extLst>
        </c:ser>
        <c:ser>
          <c:idx val="5"/>
          <c:order val="5"/>
          <c:tx>
            <c:strRef>
              <c:f>Протокол!$U$8</c:f>
              <c:strCache>
                <c:ptCount val="1"/>
                <c:pt idx="0">
                  <c:v>Шинкарев Алексей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Протокол!$Y$8:$AB$8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5.5092592592592598E-3</c:v>
                </c:pt>
                <c:pt idx="2">
                  <c:v>9.2824074074074076E-3</c:v>
                </c:pt>
                <c:pt idx="3">
                  <c:v>1.4004629629629631E-2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4-AB44-AE22-E8E5E3F17CC5}"/>
            </c:ext>
          </c:extLst>
        </c:ser>
        <c:ser>
          <c:idx val="6"/>
          <c:order val="6"/>
          <c:tx>
            <c:strRef>
              <c:f>Протокол!$U$9</c:f>
              <c:strCache>
                <c:ptCount val="1"/>
                <c:pt idx="0">
                  <c:v>Гуштын Никита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Протокол!$Y$9:$AB$9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5.6018518518518527E-3</c:v>
                </c:pt>
                <c:pt idx="2">
                  <c:v>8.7847222222222233E-3</c:v>
                </c:pt>
                <c:pt idx="3">
                  <c:v>1.4004629629629631E-2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4-AB44-AE22-E8E5E3F17CC5}"/>
            </c:ext>
          </c:extLst>
        </c:ser>
        <c:ser>
          <c:idx val="7"/>
          <c:order val="7"/>
          <c:tx>
            <c:strRef>
              <c:f>Протокол!$U$10</c:f>
              <c:strCache>
                <c:ptCount val="1"/>
                <c:pt idx="0">
                  <c:v>Krech Evgeniy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Протокол!$Y$10:$AB$10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5.4745370370370382E-3</c:v>
                </c:pt>
                <c:pt idx="2">
                  <c:v>9.3171296296296301E-3</c:v>
                </c:pt>
                <c:pt idx="3">
                  <c:v>1.3981481481481484E-2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4-AB44-AE22-E8E5E3F17CC5}"/>
            </c:ext>
          </c:extLst>
        </c:ser>
        <c:ser>
          <c:idx val="8"/>
          <c:order val="8"/>
          <c:tx>
            <c:strRef>
              <c:f>Протокол!$U$11</c:f>
              <c:strCache>
                <c:ptCount val="1"/>
                <c:pt idx="0">
                  <c:v>Жлобо Виктор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Протокол!$Y$11:$AB$11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5.8912037037037041E-3</c:v>
                </c:pt>
                <c:pt idx="2">
                  <c:v>8.9583333333333338E-3</c:v>
                </c:pt>
                <c:pt idx="3">
                  <c:v>1.3854166666666667E-2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A4-AB44-AE22-E8E5E3F17CC5}"/>
            </c:ext>
          </c:extLst>
        </c:ser>
        <c:ser>
          <c:idx val="9"/>
          <c:order val="9"/>
          <c:tx>
            <c:strRef>
              <c:f>Протокол!$U$12</c:f>
              <c:strCache>
                <c:ptCount val="1"/>
                <c:pt idx="0">
                  <c:v>Ковалев Ярослав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Протокол!$Y$12:$AB$12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5.8101851851851856E-3</c:v>
                </c:pt>
                <c:pt idx="2">
                  <c:v>9.2013888888888892E-3</c:v>
                </c:pt>
                <c:pt idx="3">
                  <c:v>1.3796296296296296E-2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A4-AB44-AE22-E8E5E3F17CC5}"/>
            </c:ext>
          </c:extLst>
        </c:ser>
        <c:ser>
          <c:idx val="10"/>
          <c:order val="10"/>
          <c:tx>
            <c:strRef>
              <c:f>Протокол!$U$13</c:f>
              <c:strCache>
                <c:ptCount val="1"/>
                <c:pt idx="0">
                  <c:v>Мунтян Сергей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Протокол!$Y$13:$AB$13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5.4629629629629637E-3</c:v>
                </c:pt>
                <c:pt idx="2">
                  <c:v>9.0162037037037034E-3</c:v>
                </c:pt>
                <c:pt idx="3">
                  <c:v>1.3761574074074075E-2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A4-AB44-AE22-E8E5E3F17CC5}"/>
            </c:ext>
          </c:extLst>
        </c:ser>
        <c:ser>
          <c:idx val="11"/>
          <c:order val="11"/>
          <c:tx>
            <c:strRef>
              <c:f>Протокол!$U$14</c:f>
              <c:strCache>
                <c:ptCount val="1"/>
                <c:pt idx="0">
                  <c:v>Вашкевич Антон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Протокол!$Y$14:$AB$14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5.4282407407407413E-3</c:v>
                </c:pt>
                <c:pt idx="2">
                  <c:v>8.9004629629629642E-3</c:v>
                </c:pt>
                <c:pt idx="3">
                  <c:v>1.3611111111111112E-2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A4-AB44-AE22-E8E5E3F17CC5}"/>
            </c:ext>
          </c:extLst>
        </c:ser>
        <c:ser>
          <c:idx val="12"/>
          <c:order val="12"/>
          <c:tx>
            <c:strRef>
              <c:f>Протокол!$U$15</c:f>
              <c:strCache>
                <c:ptCount val="1"/>
                <c:pt idx="0">
                  <c:v>Гелохов Виктор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Протокол!$Y$15:$AB$15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4.9074074074074081E-3</c:v>
                </c:pt>
                <c:pt idx="2">
                  <c:v>8.2986111111111108E-3</c:v>
                </c:pt>
                <c:pt idx="3">
                  <c:v>1.3541666666666667E-2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A4-AB44-AE22-E8E5E3F17CC5}"/>
            </c:ext>
          </c:extLst>
        </c:ser>
        <c:ser>
          <c:idx val="13"/>
          <c:order val="13"/>
          <c:tx>
            <c:strRef>
              <c:f>Протокол!$U$16</c:f>
              <c:strCache>
                <c:ptCount val="1"/>
                <c:pt idx="0">
                  <c:v>Коротыш Федор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Протокол!$Y$16:$AB$16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5.7407407407407407E-3</c:v>
                </c:pt>
                <c:pt idx="2">
                  <c:v>8.8078703703703704E-3</c:v>
                </c:pt>
                <c:pt idx="3">
                  <c:v>1.3449074074074075E-2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A4-AB44-AE22-E8E5E3F17CC5}"/>
            </c:ext>
          </c:extLst>
        </c:ser>
        <c:ser>
          <c:idx val="14"/>
          <c:order val="14"/>
          <c:tx>
            <c:strRef>
              <c:f>Протокол!$U$17</c:f>
              <c:strCache>
                <c:ptCount val="1"/>
                <c:pt idx="0">
                  <c:v>Викентьев Алексей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Протокол!$Y$17:$AB$17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5.0347222222222234E-3</c:v>
                </c:pt>
                <c:pt idx="2">
                  <c:v>8.2986111111111125E-3</c:v>
                </c:pt>
                <c:pt idx="3">
                  <c:v>1.3437500000000002E-2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A4-AB44-AE22-E8E5E3F17CC5}"/>
            </c:ext>
          </c:extLst>
        </c:ser>
        <c:ser>
          <c:idx val="15"/>
          <c:order val="15"/>
          <c:tx>
            <c:strRef>
              <c:f>Протокол!$U$18</c:f>
              <c:strCache>
                <c:ptCount val="1"/>
                <c:pt idx="0">
                  <c:v>Шипуль Андрей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Протокол!$Y$18:$AB$18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5.4861111111111117E-3</c:v>
                </c:pt>
                <c:pt idx="2">
                  <c:v>8.8078703703703704E-3</c:v>
                </c:pt>
                <c:pt idx="3">
                  <c:v>1.3414351851851851E-2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A4-AB44-AE22-E8E5E3F17CC5}"/>
            </c:ext>
          </c:extLst>
        </c:ser>
        <c:ser>
          <c:idx val="16"/>
          <c:order val="16"/>
          <c:tx>
            <c:strRef>
              <c:f>Протокол!$U$19</c:f>
              <c:strCache>
                <c:ptCount val="1"/>
                <c:pt idx="0">
                  <c:v>Харитонов Виталий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Протокол!$Y$19:$AB$19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5.5208333333333342E-3</c:v>
                </c:pt>
                <c:pt idx="2">
                  <c:v>8.6921296296296295E-3</c:v>
                </c:pt>
                <c:pt idx="3">
                  <c:v>1.3414351851851851E-2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A4-AB44-AE22-E8E5E3F17CC5}"/>
            </c:ext>
          </c:extLst>
        </c:ser>
        <c:ser>
          <c:idx val="17"/>
          <c:order val="17"/>
          <c:tx>
            <c:strRef>
              <c:f>Протокол!$U$20</c:f>
              <c:strCache>
                <c:ptCount val="1"/>
                <c:pt idx="0">
                  <c:v>Новицкий Александр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Протокол!$Y$20:$AB$20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5.7638888888888896E-3</c:v>
                </c:pt>
                <c:pt idx="2">
                  <c:v>8.8078703703703704E-3</c:v>
                </c:pt>
                <c:pt idx="3">
                  <c:v>1.3402777777777777E-2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A4-AB44-AE22-E8E5E3F17CC5}"/>
            </c:ext>
          </c:extLst>
        </c:ser>
        <c:ser>
          <c:idx val="18"/>
          <c:order val="18"/>
          <c:tx>
            <c:strRef>
              <c:f>Протокол!$U$21</c:f>
              <c:strCache>
                <c:ptCount val="1"/>
                <c:pt idx="0">
                  <c:v>Головаченко Денис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Протокол!$Y$21:$AB$21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5.5787037037037038E-3</c:v>
                </c:pt>
                <c:pt idx="2">
                  <c:v>8.6805555555555559E-3</c:v>
                </c:pt>
                <c:pt idx="3">
                  <c:v>1.3356481481481483E-2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A4-AB44-AE22-E8E5E3F17CC5}"/>
            </c:ext>
          </c:extLst>
        </c:ser>
        <c:ser>
          <c:idx val="19"/>
          <c:order val="19"/>
          <c:tx>
            <c:strRef>
              <c:f>Протокол!$U$22</c:f>
              <c:strCache>
                <c:ptCount val="1"/>
                <c:pt idx="0">
                  <c:v>Marchuk Artyom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Протокол!$Y$22:$AB$22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5.4050925925925933E-3</c:v>
                </c:pt>
                <c:pt idx="2">
                  <c:v>8.4143518518518517E-3</c:v>
                </c:pt>
                <c:pt idx="3">
                  <c:v>1.3333333333333332E-2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A4-AB44-AE22-E8E5E3F17CC5}"/>
            </c:ext>
          </c:extLst>
        </c:ser>
        <c:ser>
          <c:idx val="20"/>
          <c:order val="20"/>
          <c:tx>
            <c:strRef>
              <c:f>Протокол!$U$23</c:f>
              <c:strCache>
                <c:ptCount val="1"/>
                <c:pt idx="0">
                  <c:v>Koltovich Andrei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Протокол!$Y$23:$AB$23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5.4513888888888893E-3</c:v>
                </c:pt>
                <c:pt idx="2">
                  <c:v>8.5879629629629622E-3</c:v>
                </c:pt>
                <c:pt idx="3">
                  <c:v>1.3252314814814814E-2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A4-AB44-AE22-E8E5E3F17CC5}"/>
            </c:ext>
          </c:extLst>
        </c:ser>
        <c:ser>
          <c:idx val="21"/>
          <c:order val="21"/>
          <c:tx>
            <c:strRef>
              <c:f>Протокол!$U$24</c:f>
              <c:strCache>
                <c:ptCount val="1"/>
                <c:pt idx="0">
                  <c:v>Доманников Дмитрий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Протокол!$Y$24:$AB$24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5.5671296296296302E-3</c:v>
                </c:pt>
                <c:pt idx="2">
                  <c:v>8.564814814814815E-3</c:v>
                </c:pt>
                <c:pt idx="3">
                  <c:v>1.3032407407407409E-2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A4-AB44-AE22-E8E5E3F17CC5}"/>
            </c:ext>
          </c:extLst>
        </c:ser>
        <c:ser>
          <c:idx val="22"/>
          <c:order val="22"/>
          <c:tx>
            <c:strRef>
              <c:f>Протокол!$U$25</c:f>
              <c:strCache>
                <c:ptCount val="1"/>
                <c:pt idx="0">
                  <c:v>Жиделев Александр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Протокол!$Y$25:$AB$25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5.1157407407407419E-3</c:v>
                </c:pt>
                <c:pt idx="2">
                  <c:v>8.4490740740740741E-3</c:v>
                </c:pt>
                <c:pt idx="3">
                  <c:v>1.3009259259259259E-2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A4-AB44-AE22-E8E5E3F17CC5}"/>
            </c:ext>
          </c:extLst>
        </c:ser>
        <c:ser>
          <c:idx val="23"/>
          <c:order val="23"/>
          <c:tx>
            <c:strRef>
              <c:f>Протокол!$U$26</c:f>
              <c:strCache>
                <c:ptCount val="1"/>
                <c:pt idx="0">
                  <c:v>Ларионов Андрей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Протокол!$Y$26:$AB$26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5.1157407407407419E-3</c:v>
                </c:pt>
                <c:pt idx="2">
                  <c:v>8.1944444444444452E-3</c:v>
                </c:pt>
                <c:pt idx="3">
                  <c:v>1.2835648148148148E-2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A4-AB44-AE22-E8E5E3F17CC5}"/>
            </c:ext>
          </c:extLst>
        </c:ser>
        <c:ser>
          <c:idx val="24"/>
          <c:order val="24"/>
          <c:tx>
            <c:strRef>
              <c:f>Протокол!$U$27</c:f>
              <c:strCache>
                <c:ptCount val="1"/>
                <c:pt idx="0">
                  <c:v>Ворожбит Станислав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Протокол!$Y$27:$AB$27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5.1736111111111115E-3</c:v>
                </c:pt>
                <c:pt idx="2">
                  <c:v>8.1134259259259267E-3</c:v>
                </c:pt>
                <c:pt idx="3">
                  <c:v>1.277777777777778E-2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A4-AB44-AE22-E8E5E3F17CC5}"/>
            </c:ext>
          </c:extLst>
        </c:ser>
        <c:ser>
          <c:idx val="25"/>
          <c:order val="25"/>
          <c:tx>
            <c:strRef>
              <c:f>Протокол!$U$28</c:f>
              <c:strCache>
                <c:ptCount val="1"/>
                <c:pt idx="0">
                  <c:v>Лисецкий Дмитрий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Протокол!$Y$28:$AB$28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5.752314814814816E-3</c:v>
                </c:pt>
                <c:pt idx="2">
                  <c:v>8.1134259259259267E-3</c:v>
                </c:pt>
                <c:pt idx="3">
                  <c:v>1.2673611111111111E-2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A4-AB44-AE22-E8E5E3F17CC5}"/>
            </c:ext>
          </c:extLst>
        </c:ser>
        <c:ser>
          <c:idx val="26"/>
          <c:order val="26"/>
          <c:tx>
            <c:strRef>
              <c:f>Протокол!$U$29</c:f>
              <c:strCache>
                <c:ptCount val="1"/>
                <c:pt idx="0">
                  <c:v>Малышев Евгений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Протокол!$Y$29:$AB$29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4.9652777777777785E-3</c:v>
                </c:pt>
                <c:pt idx="2">
                  <c:v>7.673611111111112E-3</c:v>
                </c:pt>
                <c:pt idx="3">
                  <c:v>1.2581018518518519E-2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4A4-AB44-AE22-E8E5E3F17CC5}"/>
            </c:ext>
          </c:extLst>
        </c:ser>
        <c:ser>
          <c:idx val="27"/>
          <c:order val="27"/>
          <c:tx>
            <c:strRef>
              <c:f>Протокол!$U$30</c:f>
              <c:strCache>
                <c:ptCount val="1"/>
                <c:pt idx="0">
                  <c:v>Кожан Валерий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Протокол!$Y$30:$AB$30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4.7800925925925936E-3</c:v>
                </c:pt>
                <c:pt idx="2">
                  <c:v>7.8009259259259264E-3</c:v>
                </c:pt>
                <c:pt idx="3">
                  <c:v>1.2546296296296298E-2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4A4-AB44-AE22-E8E5E3F17CC5}"/>
            </c:ext>
          </c:extLst>
        </c:ser>
        <c:ser>
          <c:idx val="28"/>
          <c:order val="28"/>
          <c:tx>
            <c:strRef>
              <c:f>Протокол!$U$31</c:f>
              <c:strCache>
                <c:ptCount val="1"/>
                <c:pt idx="0">
                  <c:v>Dyuba Evgeniy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Протокол!$Y$31:$AB$31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5.4745370370370382E-3</c:v>
                </c:pt>
                <c:pt idx="2">
                  <c:v>8.2060185185185187E-3</c:v>
                </c:pt>
                <c:pt idx="3">
                  <c:v>1.2430555555555556E-2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4A4-AB44-AE22-E8E5E3F17CC5}"/>
            </c:ext>
          </c:extLst>
        </c:ser>
        <c:ser>
          <c:idx val="29"/>
          <c:order val="29"/>
          <c:tx>
            <c:strRef>
              <c:f>Протокол!$U$32</c:f>
              <c:strCache>
                <c:ptCount val="1"/>
                <c:pt idx="0">
                  <c:v>Щербенок Игорь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Протокол!$Y$32:$AB$32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5.5092592592592598E-3</c:v>
                </c:pt>
                <c:pt idx="2">
                  <c:v>8.2175925925925923E-3</c:v>
                </c:pt>
                <c:pt idx="3">
                  <c:v>1.2407407407407409E-2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4A4-AB44-AE22-E8E5E3F17CC5}"/>
            </c:ext>
          </c:extLst>
        </c:ser>
        <c:ser>
          <c:idx val="30"/>
          <c:order val="30"/>
          <c:tx>
            <c:strRef>
              <c:f>Протокол!$U$33</c:f>
              <c:strCache>
                <c:ptCount val="1"/>
                <c:pt idx="0">
                  <c:v>Jasinski Sergey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Протокол!$Y$33:$AB$33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5.0578703703703706E-3</c:v>
                </c:pt>
                <c:pt idx="2">
                  <c:v>7.9861111111111105E-3</c:v>
                </c:pt>
                <c:pt idx="3">
                  <c:v>1.2349537037037037E-2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4A4-AB44-AE22-E8E5E3F17CC5}"/>
            </c:ext>
          </c:extLst>
        </c:ser>
        <c:ser>
          <c:idx val="31"/>
          <c:order val="31"/>
          <c:tx>
            <c:strRef>
              <c:f>Протокол!$U$34</c:f>
              <c:strCache>
                <c:ptCount val="1"/>
                <c:pt idx="0">
                  <c:v>Астапкович Алексей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Протокол!$Y$34:$AB$34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5.1736111111111115E-3</c:v>
                </c:pt>
                <c:pt idx="2">
                  <c:v>8.2754629629629636E-3</c:v>
                </c:pt>
                <c:pt idx="3">
                  <c:v>1.2337962962962964E-2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4A4-AB44-AE22-E8E5E3F17CC5}"/>
            </c:ext>
          </c:extLst>
        </c:ser>
        <c:ser>
          <c:idx val="32"/>
          <c:order val="32"/>
          <c:tx>
            <c:strRef>
              <c:f>Протокол!$U$35</c:f>
              <c:strCache>
                <c:ptCount val="1"/>
                <c:pt idx="0">
                  <c:v>Прокопович Сергей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Протокол!$Y$35:$AB$35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4.9189814814814825E-3</c:v>
                </c:pt>
                <c:pt idx="2">
                  <c:v>8.0324074074074082E-3</c:v>
                </c:pt>
                <c:pt idx="3">
                  <c:v>1.232638888888889E-2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4A4-AB44-AE22-E8E5E3F17CC5}"/>
            </c:ext>
          </c:extLst>
        </c:ser>
        <c:ser>
          <c:idx val="33"/>
          <c:order val="33"/>
          <c:tx>
            <c:strRef>
              <c:f>Протокол!$U$36</c:f>
              <c:strCache>
                <c:ptCount val="1"/>
                <c:pt idx="0">
                  <c:v>Картун Андрей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Протокол!$Y$36:$AB$36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5.4861111111111117E-3</c:v>
                </c:pt>
                <c:pt idx="2">
                  <c:v>8.1828703703703699E-3</c:v>
                </c:pt>
                <c:pt idx="3">
                  <c:v>1.2326388888888887E-2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4A4-AB44-AE22-E8E5E3F17CC5}"/>
            </c:ext>
          </c:extLst>
        </c:ser>
        <c:ser>
          <c:idx val="34"/>
          <c:order val="34"/>
          <c:tx>
            <c:strRef>
              <c:f>Протокол!$U$37</c:f>
              <c:strCache>
                <c:ptCount val="1"/>
                <c:pt idx="0">
                  <c:v>Шпакович Максим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Протокол!$Y$37:$AB$37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4.6643518518518527E-3</c:v>
                </c:pt>
                <c:pt idx="2">
                  <c:v>7.7430555555555551E-3</c:v>
                </c:pt>
                <c:pt idx="3">
                  <c:v>1.2280092592592592E-2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A4-AB44-AE22-E8E5E3F17CC5}"/>
            </c:ext>
          </c:extLst>
        </c:ser>
        <c:ser>
          <c:idx val="35"/>
          <c:order val="35"/>
          <c:tx>
            <c:strRef>
              <c:f>Протокол!$U$38</c:f>
              <c:strCache>
                <c:ptCount val="1"/>
                <c:pt idx="0">
                  <c:v>Давыдов Александр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Протокол!$Y$38:$AB$38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6.5277777777777782E-3</c:v>
                </c:pt>
                <c:pt idx="2">
                  <c:v>9.0046296296296298E-3</c:v>
                </c:pt>
                <c:pt idx="3">
                  <c:v>1.2280092592592592E-2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4A4-AB44-AE22-E8E5E3F17CC5}"/>
            </c:ext>
          </c:extLst>
        </c:ser>
        <c:ser>
          <c:idx val="36"/>
          <c:order val="36"/>
          <c:tx>
            <c:strRef>
              <c:f>Протокол!$U$39</c:f>
              <c:strCache>
                <c:ptCount val="1"/>
                <c:pt idx="0">
                  <c:v>Слободько Дмитрий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Протокол!$Y$39:$AB$39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4.7685185185185192E-3</c:v>
                </c:pt>
                <c:pt idx="2">
                  <c:v>7.8356481481481489E-3</c:v>
                </c:pt>
                <c:pt idx="3">
                  <c:v>1.2256944444444445E-2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4A4-AB44-AE22-E8E5E3F17CC5}"/>
            </c:ext>
          </c:extLst>
        </c:ser>
        <c:ser>
          <c:idx val="37"/>
          <c:order val="37"/>
          <c:tx>
            <c:strRef>
              <c:f>Протокол!$U$40</c:f>
              <c:strCache>
                <c:ptCount val="1"/>
                <c:pt idx="0">
                  <c:v>Заяц Алексей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Протокол!$Y$40:$AB$40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4.6064814814814822E-3</c:v>
                </c:pt>
                <c:pt idx="2">
                  <c:v>8.1712962962962963E-3</c:v>
                </c:pt>
                <c:pt idx="3">
                  <c:v>1.2210648148148148E-2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4A4-AB44-AE22-E8E5E3F17CC5}"/>
            </c:ext>
          </c:extLst>
        </c:ser>
        <c:ser>
          <c:idx val="38"/>
          <c:order val="38"/>
          <c:tx>
            <c:strRef>
              <c:f>Протокол!$U$41</c:f>
              <c:strCache>
                <c:ptCount val="1"/>
                <c:pt idx="0">
                  <c:v>Тарасенко Артем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Протокол!$Y$41:$AB$41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5.7175925925925936E-3</c:v>
                </c:pt>
                <c:pt idx="2">
                  <c:v>7.9398148148148162E-3</c:v>
                </c:pt>
                <c:pt idx="3">
                  <c:v>1.2199074074074077E-2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4A4-AB44-AE22-E8E5E3F17CC5}"/>
            </c:ext>
          </c:extLst>
        </c:ser>
        <c:ser>
          <c:idx val="39"/>
          <c:order val="39"/>
          <c:tx>
            <c:strRef>
              <c:f>Протокол!$U$42</c:f>
              <c:strCache>
                <c:ptCount val="1"/>
                <c:pt idx="0">
                  <c:v>Сазонов Андрей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Протокол!$Y$42:$AB$42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4.8726851851851856E-3</c:v>
                </c:pt>
                <c:pt idx="2">
                  <c:v>7.465277777777779E-3</c:v>
                </c:pt>
                <c:pt idx="3">
                  <c:v>1.2129629629629633E-2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4A4-AB44-AE22-E8E5E3F17CC5}"/>
            </c:ext>
          </c:extLst>
        </c:ser>
        <c:ser>
          <c:idx val="40"/>
          <c:order val="40"/>
          <c:tx>
            <c:strRef>
              <c:f>Протокол!$U$43</c:f>
              <c:strCache>
                <c:ptCount val="1"/>
                <c:pt idx="0">
                  <c:v>Ковалев Глеб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Протокол!$Y$43:$AB$43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6.1111111111111123E-3</c:v>
                </c:pt>
                <c:pt idx="2">
                  <c:v>8.6574074074074088E-3</c:v>
                </c:pt>
                <c:pt idx="3">
                  <c:v>1.2094907407407408E-2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4A4-AB44-AE22-E8E5E3F17CC5}"/>
            </c:ext>
          </c:extLst>
        </c:ser>
        <c:ser>
          <c:idx val="41"/>
          <c:order val="41"/>
          <c:tx>
            <c:strRef>
              <c:f>Протокол!$U$44</c:f>
              <c:strCache>
                <c:ptCount val="1"/>
                <c:pt idx="0">
                  <c:v>Жаркевич Георгий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Протокол!$Y$44:$AB$44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5.046296296296297E-3</c:v>
                </c:pt>
                <c:pt idx="2">
                  <c:v>7.5925925925925935E-3</c:v>
                </c:pt>
                <c:pt idx="3">
                  <c:v>1.2060185185185188E-2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4A4-AB44-AE22-E8E5E3F17CC5}"/>
            </c:ext>
          </c:extLst>
        </c:ser>
        <c:ser>
          <c:idx val="42"/>
          <c:order val="42"/>
          <c:tx>
            <c:strRef>
              <c:f>Протокол!$U$45</c:f>
              <c:strCache>
                <c:ptCount val="1"/>
                <c:pt idx="0">
                  <c:v>Пальчех Василий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Протокол!$Y$45:$AB$45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4.7106481481481487E-3</c:v>
                </c:pt>
                <c:pt idx="2">
                  <c:v>7.3611111111111099E-3</c:v>
                </c:pt>
                <c:pt idx="3">
                  <c:v>1.2025462962962963E-2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A4-AB44-AE22-E8E5E3F17CC5}"/>
            </c:ext>
          </c:extLst>
        </c:ser>
        <c:ser>
          <c:idx val="43"/>
          <c:order val="43"/>
          <c:tx>
            <c:strRef>
              <c:f>Протокол!$U$46</c:f>
              <c:strCache>
                <c:ptCount val="1"/>
                <c:pt idx="0">
                  <c:v>Vybarny Kiryl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Протокол!$Y$46:$AB$46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4.4675925925925933E-3</c:v>
                </c:pt>
                <c:pt idx="2">
                  <c:v>7.5231481481481469E-3</c:v>
                </c:pt>
                <c:pt idx="3">
                  <c:v>1.1979166666666666E-2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4A4-AB44-AE22-E8E5E3F17CC5}"/>
            </c:ext>
          </c:extLst>
        </c:ser>
        <c:ser>
          <c:idx val="44"/>
          <c:order val="44"/>
          <c:tx>
            <c:strRef>
              <c:f>Протокол!$U$47</c:f>
              <c:strCache>
                <c:ptCount val="1"/>
                <c:pt idx="0">
                  <c:v>Нестерович Николай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Протокол!$Y$47:$AB$47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5.1273148148148154E-3</c:v>
                </c:pt>
                <c:pt idx="2">
                  <c:v>8.1134259259259267E-3</c:v>
                </c:pt>
                <c:pt idx="3">
                  <c:v>1.1944444444444445E-2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4A4-AB44-AE22-E8E5E3F17CC5}"/>
            </c:ext>
          </c:extLst>
        </c:ser>
        <c:ser>
          <c:idx val="45"/>
          <c:order val="45"/>
          <c:tx>
            <c:strRef>
              <c:f>Протокол!$U$48</c:f>
              <c:strCache>
                <c:ptCount val="1"/>
                <c:pt idx="0">
                  <c:v>Лесюков Александр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Протокол!$Y$48:$AB$48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5.3472222222222228E-3</c:v>
                </c:pt>
                <c:pt idx="2">
                  <c:v>8.3449074074074085E-3</c:v>
                </c:pt>
                <c:pt idx="3">
                  <c:v>1.1921296296296298E-2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4A4-AB44-AE22-E8E5E3F17CC5}"/>
            </c:ext>
          </c:extLst>
        </c:ser>
        <c:ser>
          <c:idx val="46"/>
          <c:order val="46"/>
          <c:tx>
            <c:strRef>
              <c:f>Протокол!$U$49</c:f>
              <c:strCache>
                <c:ptCount val="1"/>
                <c:pt idx="0">
                  <c:v>Бузо Александр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Протокол!$Y$49:$AB$49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4.837962962962964E-3</c:v>
                </c:pt>
                <c:pt idx="2">
                  <c:v>7.0601851851851867E-3</c:v>
                </c:pt>
                <c:pt idx="3">
                  <c:v>1.1886574074074077E-2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4A4-AB44-AE22-E8E5E3F17CC5}"/>
            </c:ext>
          </c:extLst>
        </c:ser>
        <c:ser>
          <c:idx val="47"/>
          <c:order val="47"/>
          <c:tx>
            <c:strRef>
              <c:f>Протокол!$U$50</c:f>
              <c:strCache>
                <c:ptCount val="1"/>
                <c:pt idx="0">
                  <c:v>Катуш Вадим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Протокол!$Y$50:$AB$50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5.6018518518518527E-3</c:v>
                </c:pt>
                <c:pt idx="2">
                  <c:v>7.9282407407407409E-3</c:v>
                </c:pt>
                <c:pt idx="3">
                  <c:v>1.1875E-2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4A4-AB44-AE22-E8E5E3F17CC5}"/>
            </c:ext>
          </c:extLst>
        </c:ser>
        <c:ser>
          <c:idx val="48"/>
          <c:order val="48"/>
          <c:tx>
            <c:strRef>
              <c:f>Протокол!$U$51</c:f>
              <c:strCache>
                <c:ptCount val="1"/>
                <c:pt idx="0">
                  <c:v>Максименко Никита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Протокол!$Y$51:$AB$51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5.1504629629629635E-3</c:v>
                </c:pt>
                <c:pt idx="2">
                  <c:v>7.6157407407407424E-3</c:v>
                </c:pt>
                <c:pt idx="3">
                  <c:v>1.1840277777777779E-2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4A4-AB44-AE22-E8E5E3F17CC5}"/>
            </c:ext>
          </c:extLst>
        </c:ser>
        <c:ser>
          <c:idx val="49"/>
          <c:order val="49"/>
          <c:tx>
            <c:strRef>
              <c:f>Протокол!$U$52</c:f>
              <c:strCache>
                <c:ptCount val="1"/>
                <c:pt idx="0">
                  <c:v>Добудько Иван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Протокол!$Y$52:$AB$52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5.2199074074074075E-3</c:v>
                </c:pt>
                <c:pt idx="2">
                  <c:v>8.2523148148148148E-3</c:v>
                </c:pt>
                <c:pt idx="3">
                  <c:v>1.1828703703703702E-2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4A4-AB44-AE22-E8E5E3F17CC5}"/>
            </c:ext>
          </c:extLst>
        </c:ser>
        <c:ser>
          <c:idx val="50"/>
          <c:order val="50"/>
          <c:tx>
            <c:strRef>
              <c:f>Протокол!$U$53</c:f>
              <c:strCache>
                <c:ptCount val="1"/>
                <c:pt idx="0">
                  <c:v>Saroka Vitali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Протокол!$Y$53:$AB$53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4.7106481481481487E-3</c:v>
                </c:pt>
                <c:pt idx="2">
                  <c:v>7.7314814814814815E-3</c:v>
                </c:pt>
                <c:pt idx="3">
                  <c:v>1.1817129629629629E-2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4A4-AB44-AE22-E8E5E3F17CC5}"/>
            </c:ext>
          </c:extLst>
        </c:ser>
        <c:ser>
          <c:idx val="51"/>
          <c:order val="51"/>
          <c:tx>
            <c:strRef>
              <c:f>Протокол!$U$54</c:f>
              <c:strCache>
                <c:ptCount val="1"/>
                <c:pt idx="0">
                  <c:v>Кравцов Евгений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Протокол!$Y$54:$AB$54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4.2361111111111115E-3</c:v>
                </c:pt>
                <c:pt idx="2">
                  <c:v>7.2685185185185179E-3</c:v>
                </c:pt>
                <c:pt idx="3">
                  <c:v>1.173611111111111E-2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4A4-AB44-AE22-E8E5E3F17CC5}"/>
            </c:ext>
          </c:extLst>
        </c:ser>
        <c:ser>
          <c:idx val="52"/>
          <c:order val="52"/>
          <c:tx>
            <c:strRef>
              <c:f>Протокол!$U$55</c:f>
              <c:strCache>
                <c:ptCount val="1"/>
                <c:pt idx="0">
                  <c:v>Горбатенко Михаил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Протокол!$Y$55:$AB$55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5.000000000000001E-3</c:v>
                </c:pt>
                <c:pt idx="2">
                  <c:v>7.719907407407408E-3</c:v>
                </c:pt>
                <c:pt idx="3">
                  <c:v>1.1712962962962963E-2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4A4-AB44-AE22-E8E5E3F17CC5}"/>
            </c:ext>
          </c:extLst>
        </c:ser>
        <c:ser>
          <c:idx val="53"/>
          <c:order val="53"/>
          <c:tx>
            <c:strRef>
              <c:f>Протокол!$U$56</c:f>
              <c:strCache>
                <c:ptCount val="1"/>
                <c:pt idx="0">
                  <c:v>Сокол Александр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Протокол!$Y$56:$AB$56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5.6944444444444447E-3</c:v>
                </c:pt>
                <c:pt idx="2">
                  <c:v>7.7314814814814815E-3</c:v>
                </c:pt>
                <c:pt idx="3">
                  <c:v>1.1678240740740743E-2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4A4-AB44-AE22-E8E5E3F17CC5}"/>
            </c:ext>
          </c:extLst>
        </c:ser>
        <c:ser>
          <c:idx val="54"/>
          <c:order val="54"/>
          <c:tx>
            <c:strRef>
              <c:f>Протокол!$U$57</c:f>
              <c:strCache>
                <c:ptCount val="1"/>
                <c:pt idx="0">
                  <c:v>Kanafin Artsiom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Протокол!$Y$57:$AB$57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5.2893518518518524E-3</c:v>
                </c:pt>
                <c:pt idx="2">
                  <c:v>7.4999999999999997E-3</c:v>
                </c:pt>
                <c:pt idx="3">
                  <c:v>1.1678240740740739E-2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A4-AB44-AE22-E8E5E3F17CC5}"/>
            </c:ext>
          </c:extLst>
        </c:ser>
        <c:ser>
          <c:idx val="55"/>
          <c:order val="55"/>
          <c:tx>
            <c:strRef>
              <c:f>Протокол!$U$58</c:f>
              <c:strCache>
                <c:ptCount val="1"/>
                <c:pt idx="0">
                  <c:v>Kupriyanov Nikita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Протокол!$Y$58:$AB$58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4.8495370370370376E-3</c:v>
                </c:pt>
                <c:pt idx="2">
                  <c:v>7.5231481481481486E-3</c:v>
                </c:pt>
                <c:pt idx="3">
                  <c:v>1.1643518518518518E-2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A4-AB44-AE22-E8E5E3F17CC5}"/>
            </c:ext>
          </c:extLst>
        </c:ser>
        <c:ser>
          <c:idx val="56"/>
          <c:order val="56"/>
          <c:tx>
            <c:strRef>
              <c:f>Протокол!$U$59</c:f>
              <c:strCache>
                <c:ptCount val="1"/>
                <c:pt idx="0">
                  <c:v>Горбунов Дмитрий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Протокол!$Y$59:$AB$59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4.2129629629629635E-3</c:v>
                </c:pt>
                <c:pt idx="2">
                  <c:v>7.2916666666666668E-3</c:v>
                </c:pt>
                <c:pt idx="3">
                  <c:v>1.1643518518518518E-2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4A4-AB44-AE22-E8E5E3F17CC5}"/>
            </c:ext>
          </c:extLst>
        </c:ser>
        <c:ser>
          <c:idx val="57"/>
          <c:order val="57"/>
          <c:tx>
            <c:strRef>
              <c:f>Протокол!$U$60</c:f>
              <c:strCache>
                <c:ptCount val="1"/>
                <c:pt idx="0">
                  <c:v>Шпиленя Алексей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Протокол!$Y$60:$AB$60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5.2777777777777788E-3</c:v>
                </c:pt>
                <c:pt idx="2">
                  <c:v>7.6157407407407406E-3</c:v>
                </c:pt>
                <c:pt idx="3">
                  <c:v>1.1550925925925926E-2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4A4-AB44-AE22-E8E5E3F17CC5}"/>
            </c:ext>
          </c:extLst>
        </c:ser>
        <c:ser>
          <c:idx val="58"/>
          <c:order val="58"/>
          <c:tx>
            <c:strRef>
              <c:f>Протокол!$U$61</c:f>
              <c:strCache>
                <c:ptCount val="1"/>
                <c:pt idx="0">
                  <c:v>Атрашкевич Сергей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Протокол!$Y$61:$AB$61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4.8263888888888896E-3</c:v>
                </c:pt>
                <c:pt idx="2">
                  <c:v>7.1527777777777787E-3</c:v>
                </c:pt>
                <c:pt idx="3">
                  <c:v>1.1504629629629632E-2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4A4-AB44-AE22-E8E5E3F17CC5}"/>
            </c:ext>
          </c:extLst>
        </c:ser>
        <c:ser>
          <c:idx val="59"/>
          <c:order val="59"/>
          <c:tx>
            <c:strRef>
              <c:f>Протокол!$U$62</c:f>
              <c:strCache>
                <c:ptCount val="1"/>
                <c:pt idx="0">
                  <c:v>Леончик Владимир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Протокол!$Y$62:$AB$62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5.2314814814814819E-3</c:v>
                </c:pt>
                <c:pt idx="2">
                  <c:v>7.6620370370370366E-3</c:v>
                </c:pt>
                <c:pt idx="3">
                  <c:v>1.1469907407407408E-2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4A4-AB44-AE22-E8E5E3F17CC5}"/>
            </c:ext>
          </c:extLst>
        </c:ser>
        <c:ser>
          <c:idx val="60"/>
          <c:order val="60"/>
          <c:tx>
            <c:strRef>
              <c:f>Протокол!$U$63</c:f>
              <c:strCache>
                <c:ptCount val="1"/>
                <c:pt idx="0">
                  <c:v>Автушко Михаил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Протокол!$Y$63:$AB$63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5.1041666666666674E-3</c:v>
                </c:pt>
                <c:pt idx="2">
                  <c:v>7.9398148148148162E-3</c:v>
                </c:pt>
                <c:pt idx="3">
                  <c:v>1.1388888888888893E-2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4A4-AB44-AE22-E8E5E3F17CC5}"/>
            </c:ext>
          </c:extLst>
        </c:ser>
        <c:ser>
          <c:idx val="61"/>
          <c:order val="61"/>
          <c:tx>
            <c:strRef>
              <c:f>Протокол!$U$64</c:f>
              <c:strCache>
                <c:ptCount val="1"/>
                <c:pt idx="0">
                  <c:v>Ryzhenkov Yury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Протокол!$Y$64:$AB$64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4.7453703703703711E-3</c:v>
                </c:pt>
                <c:pt idx="2">
                  <c:v>7.4189814814814813E-3</c:v>
                </c:pt>
                <c:pt idx="3">
                  <c:v>1.1388888888888889E-2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4A4-AB44-AE22-E8E5E3F17CC5}"/>
            </c:ext>
          </c:extLst>
        </c:ser>
        <c:ser>
          <c:idx val="62"/>
          <c:order val="62"/>
          <c:tx>
            <c:strRef>
              <c:f>Протокол!$U$65</c:f>
              <c:strCache>
                <c:ptCount val="1"/>
                <c:pt idx="0">
                  <c:v>Здор Павел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Протокол!$Y$65:$AB$65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5.0115740740740745E-3</c:v>
                </c:pt>
                <c:pt idx="2">
                  <c:v>7.3495370370370364E-3</c:v>
                </c:pt>
                <c:pt idx="3">
                  <c:v>1.125E-2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4A4-AB44-AE22-E8E5E3F17CC5}"/>
            </c:ext>
          </c:extLst>
        </c:ser>
        <c:ser>
          <c:idx val="63"/>
          <c:order val="63"/>
          <c:tx>
            <c:strRef>
              <c:f>Протокол!$U$66</c:f>
              <c:strCache>
                <c:ptCount val="1"/>
                <c:pt idx="0">
                  <c:v>Максим Кушель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Протокол!$Y$66:$AB$66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5.2083333333333339E-3</c:v>
                </c:pt>
                <c:pt idx="2">
                  <c:v>7.1412037037037034E-3</c:v>
                </c:pt>
                <c:pt idx="3">
                  <c:v>1.1226851851851852E-2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4A4-AB44-AE22-E8E5E3F17CC5}"/>
            </c:ext>
          </c:extLst>
        </c:ser>
        <c:ser>
          <c:idx val="64"/>
          <c:order val="64"/>
          <c:tx>
            <c:strRef>
              <c:f>Протокол!$U$67</c:f>
              <c:strCache>
                <c:ptCount val="1"/>
                <c:pt idx="0">
                  <c:v>Акулич Антон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Протокол!$Y$67:$AB$67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4.6064814814814822E-3</c:v>
                </c:pt>
                <c:pt idx="2">
                  <c:v>7.2453703703703708E-3</c:v>
                </c:pt>
                <c:pt idx="3">
                  <c:v>1.1168981481481481E-2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4A4-AB44-AE22-E8E5E3F17CC5}"/>
            </c:ext>
          </c:extLst>
        </c:ser>
        <c:ser>
          <c:idx val="65"/>
          <c:order val="65"/>
          <c:tx>
            <c:strRef>
              <c:f>Протокол!$U$68</c:f>
              <c:strCache>
                <c:ptCount val="1"/>
                <c:pt idx="0">
                  <c:v>Босяков Александр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Протокол!$Y$68:$AB$68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4.7800925925925936E-3</c:v>
                </c:pt>
                <c:pt idx="2">
                  <c:v>7.0023148148148154E-3</c:v>
                </c:pt>
                <c:pt idx="3">
                  <c:v>1.1145833333333334E-2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4A4-AB44-AE22-E8E5E3F17CC5}"/>
            </c:ext>
          </c:extLst>
        </c:ser>
        <c:ser>
          <c:idx val="66"/>
          <c:order val="66"/>
          <c:tx>
            <c:strRef>
              <c:f>Протокол!$U$69</c:f>
              <c:strCache>
                <c:ptCount val="1"/>
                <c:pt idx="0">
                  <c:v>Киричев Максим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Протокол!$Y$69:$AB$69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5.6944444444444447E-3</c:v>
                </c:pt>
                <c:pt idx="2">
                  <c:v>7.7314814814814815E-3</c:v>
                </c:pt>
                <c:pt idx="3">
                  <c:v>1.1122685185185187E-2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4A4-AB44-AE22-E8E5E3F17CC5}"/>
            </c:ext>
          </c:extLst>
        </c:ser>
        <c:ser>
          <c:idx val="67"/>
          <c:order val="67"/>
          <c:tx>
            <c:strRef>
              <c:f>Протокол!$U$70</c:f>
              <c:strCache>
                <c:ptCount val="1"/>
                <c:pt idx="0">
                  <c:v>Девятников Дмитрий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Протокол!$Y$70:$AB$70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4.7453703703703711E-3</c:v>
                </c:pt>
                <c:pt idx="2">
                  <c:v>6.4814814814814804E-3</c:v>
                </c:pt>
                <c:pt idx="3">
                  <c:v>1.1122685185185183E-2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4A4-AB44-AE22-E8E5E3F17CC5}"/>
            </c:ext>
          </c:extLst>
        </c:ser>
        <c:ser>
          <c:idx val="68"/>
          <c:order val="68"/>
          <c:tx>
            <c:strRef>
              <c:f>Протокол!$U$71</c:f>
              <c:strCache>
                <c:ptCount val="1"/>
                <c:pt idx="0">
                  <c:v>Butrimenko Vladimir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Протокол!$Y$71:$AB$71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5.983796296296297E-3</c:v>
                </c:pt>
                <c:pt idx="2">
                  <c:v>8.2175925925925923E-3</c:v>
                </c:pt>
                <c:pt idx="3">
                  <c:v>1.1111111111111113E-2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4A4-AB44-AE22-E8E5E3F17CC5}"/>
            </c:ext>
          </c:extLst>
        </c:ser>
        <c:ser>
          <c:idx val="69"/>
          <c:order val="69"/>
          <c:tx>
            <c:strRef>
              <c:f>Протокол!$U$72</c:f>
              <c:strCache>
                <c:ptCount val="1"/>
                <c:pt idx="0">
                  <c:v>Зыгмантович Олег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Протокол!$Y$72:$AB$72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4.8958333333333336E-3</c:v>
                </c:pt>
                <c:pt idx="2">
                  <c:v>7.557870370370371E-3</c:v>
                </c:pt>
                <c:pt idx="3">
                  <c:v>1.1030092592592595E-2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4A4-AB44-AE22-E8E5E3F17CC5}"/>
            </c:ext>
          </c:extLst>
        </c:ser>
        <c:ser>
          <c:idx val="70"/>
          <c:order val="70"/>
          <c:tx>
            <c:strRef>
              <c:f>Протокол!$U$73</c:f>
              <c:strCache>
                <c:ptCount val="1"/>
                <c:pt idx="0">
                  <c:v>Бухтик Андрей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Протокол!$Y$73:$AB$73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4.9652777777777785E-3</c:v>
                </c:pt>
                <c:pt idx="2">
                  <c:v>7.1180555555555563E-3</c:v>
                </c:pt>
                <c:pt idx="3">
                  <c:v>1.096064814814815E-2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4A4-AB44-AE22-E8E5E3F17CC5}"/>
            </c:ext>
          </c:extLst>
        </c:ser>
        <c:ser>
          <c:idx val="71"/>
          <c:order val="71"/>
          <c:tx>
            <c:strRef>
              <c:f>Протокол!$U$74</c:f>
              <c:strCache>
                <c:ptCount val="1"/>
                <c:pt idx="0">
                  <c:v>Pozniak Ilya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Протокол!$Y$74:$AB$74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4.5833333333333342E-3</c:v>
                </c:pt>
                <c:pt idx="2">
                  <c:v>7.3495370370370364E-3</c:v>
                </c:pt>
                <c:pt idx="3">
                  <c:v>1.0902777777777779E-2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4A4-AB44-AE22-E8E5E3F17CC5}"/>
            </c:ext>
          </c:extLst>
        </c:ser>
        <c:ser>
          <c:idx val="72"/>
          <c:order val="72"/>
          <c:tx>
            <c:strRef>
              <c:f>Протокол!$U$75</c:f>
              <c:strCache>
                <c:ptCount val="1"/>
                <c:pt idx="0">
                  <c:v>Жигалов Юрий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Протокол!$Y$75:$AB$75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4.8263888888888896E-3</c:v>
                </c:pt>
                <c:pt idx="2">
                  <c:v>6.9791666666666682E-3</c:v>
                </c:pt>
                <c:pt idx="3">
                  <c:v>1.0902777777777779E-2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4A4-AB44-AE22-E8E5E3F17CC5}"/>
            </c:ext>
          </c:extLst>
        </c:ser>
        <c:ser>
          <c:idx val="73"/>
          <c:order val="73"/>
          <c:tx>
            <c:strRef>
              <c:f>Протокол!$U$76</c:f>
              <c:strCache>
                <c:ptCount val="1"/>
                <c:pt idx="0">
                  <c:v>Иванов Олег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Протокол!$Y$76:$AB$76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4.6064814814814822E-3</c:v>
                </c:pt>
                <c:pt idx="2">
                  <c:v>6.4814814814814822E-3</c:v>
                </c:pt>
                <c:pt idx="3">
                  <c:v>1.0879629629629631E-2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4A4-AB44-AE22-E8E5E3F17CC5}"/>
            </c:ext>
          </c:extLst>
        </c:ser>
        <c:ser>
          <c:idx val="74"/>
          <c:order val="74"/>
          <c:tx>
            <c:strRef>
              <c:f>Протокол!$U$77</c:f>
              <c:strCache>
                <c:ptCount val="1"/>
                <c:pt idx="0">
                  <c:v>Kurata Kenneth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Протокол!$Y$77:$AB$77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5.3819444444444444E-3</c:v>
                </c:pt>
                <c:pt idx="2">
                  <c:v>7.2453703703703708E-3</c:v>
                </c:pt>
                <c:pt idx="3">
                  <c:v>1.0775462962962966E-2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4A4-AB44-AE22-E8E5E3F17CC5}"/>
            </c:ext>
          </c:extLst>
        </c:ser>
        <c:ser>
          <c:idx val="75"/>
          <c:order val="75"/>
          <c:tx>
            <c:strRef>
              <c:f>Протокол!$U$78</c:f>
              <c:strCache>
                <c:ptCount val="1"/>
                <c:pt idx="0">
                  <c:v>Ивченко Павел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Протокол!$Y$78:$AB$78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4.3518518518518524E-3</c:v>
                </c:pt>
                <c:pt idx="2">
                  <c:v>6.5856481481481495E-3</c:v>
                </c:pt>
                <c:pt idx="3">
                  <c:v>1.0775462962962966E-2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4A4-AB44-AE22-E8E5E3F17CC5}"/>
            </c:ext>
          </c:extLst>
        </c:ser>
        <c:ser>
          <c:idx val="76"/>
          <c:order val="76"/>
          <c:tx>
            <c:strRef>
              <c:f>Протокол!$U$79</c:f>
              <c:strCache>
                <c:ptCount val="1"/>
                <c:pt idx="0">
                  <c:v>Храмов Виталий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Протокол!$Y$79:$AB$79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5.4629629629629637E-3</c:v>
                </c:pt>
                <c:pt idx="2">
                  <c:v>7.6620370370370366E-3</c:v>
                </c:pt>
                <c:pt idx="3">
                  <c:v>1.0659722222222223E-2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4A4-AB44-AE22-E8E5E3F17CC5}"/>
            </c:ext>
          </c:extLst>
        </c:ser>
        <c:ser>
          <c:idx val="77"/>
          <c:order val="77"/>
          <c:tx>
            <c:strRef>
              <c:f>Протокол!$U$80</c:f>
              <c:strCache>
                <c:ptCount val="1"/>
                <c:pt idx="0">
                  <c:v>Гуленин Юрий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Протокол!$Y$80:$AB$80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4.9074074074074081E-3</c:v>
                </c:pt>
                <c:pt idx="2">
                  <c:v>7.1527777777777787E-3</c:v>
                </c:pt>
                <c:pt idx="3">
                  <c:v>1.0625000000000002E-2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4A4-AB44-AE22-E8E5E3F17CC5}"/>
            </c:ext>
          </c:extLst>
        </c:ser>
        <c:ser>
          <c:idx val="78"/>
          <c:order val="78"/>
          <c:tx>
            <c:strRef>
              <c:f>Протокол!$U$81</c:f>
              <c:strCache>
                <c:ptCount val="1"/>
                <c:pt idx="0">
                  <c:v>Буевич Павел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Протокол!$Y$81:$AB$81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5.7638888888888896E-3</c:v>
                </c:pt>
                <c:pt idx="2">
                  <c:v>7.3032407407407404E-3</c:v>
                </c:pt>
                <c:pt idx="3">
                  <c:v>1.0578703703703705E-2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4A4-AB44-AE22-E8E5E3F17CC5}"/>
            </c:ext>
          </c:extLst>
        </c:ser>
        <c:ser>
          <c:idx val="79"/>
          <c:order val="79"/>
          <c:tx>
            <c:strRef>
              <c:f>Протокол!$U$82</c:f>
              <c:strCache>
                <c:ptCount val="1"/>
                <c:pt idx="0">
                  <c:v>Выдумчик Александр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Протокол!$Y$82:$AB$82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3.3680555555555564E-3</c:v>
                </c:pt>
                <c:pt idx="2">
                  <c:v>5.5439814814814813E-3</c:v>
                </c:pt>
                <c:pt idx="3">
                  <c:v>1.0567129629629631E-2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4A4-AB44-AE22-E8E5E3F17CC5}"/>
            </c:ext>
          </c:extLst>
        </c:ser>
        <c:ser>
          <c:idx val="80"/>
          <c:order val="80"/>
          <c:tx>
            <c:strRef>
              <c:f>Протокол!$U$83</c:f>
              <c:strCache>
                <c:ptCount val="1"/>
                <c:pt idx="0">
                  <c:v>Коляго Антон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Протокол!$Y$83:$AB$83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4.5138888888888893E-3</c:v>
                </c:pt>
                <c:pt idx="2">
                  <c:v>6.6087962962962966E-3</c:v>
                </c:pt>
                <c:pt idx="3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4A4-AB44-AE22-E8E5E3F17CC5}"/>
            </c:ext>
          </c:extLst>
        </c:ser>
        <c:ser>
          <c:idx val="81"/>
          <c:order val="81"/>
          <c:tx>
            <c:strRef>
              <c:f>Протокол!$U$84</c:f>
              <c:strCache>
                <c:ptCount val="1"/>
                <c:pt idx="0">
                  <c:v>Чикун Андрей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Протокол!$Y$84:$AB$84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4.8032407407407416E-3</c:v>
                </c:pt>
                <c:pt idx="2">
                  <c:v>6.6435185185185191E-3</c:v>
                </c:pt>
                <c:pt idx="3">
                  <c:v>1.0451388888888892E-2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4A4-AB44-AE22-E8E5E3F17CC5}"/>
            </c:ext>
          </c:extLst>
        </c:ser>
        <c:ser>
          <c:idx val="82"/>
          <c:order val="82"/>
          <c:tx>
            <c:strRef>
              <c:f>Протокол!$U$85</c:f>
              <c:strCache>
                <c:ptCount val="1"/>
                <c:pt idx="0">
                  <c:v>Качаев Олег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Протокол!$Y$85:$AB$85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4.6180555555555558E-3</c:v>
                </c:pt>
                <c:pt idx="2">
                  <c:v>6.8402777777777785E-3</c:v>
                </c:pt>
                <c:pt idx="3">
                  <c:v>1.0416666666666668E-2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4A4-AB44-AE22-E8E5E3F17CC5}"/>
            </c:ext>
          </c:extLst>
        </c:ser>
        <c:ser>
          <c:idx val="83"/>
          <c:order val="83"/>
          <c:tx>
            <c:strRef>
              <c:f>Протокол!$U$86</c:f>
              <c:strCache>
                <c:ptCount val="1"/>
                <c:pt idx="0">
                  <c:v>Костюк Алексей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Протокол!$Y$86:$AB$86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4.4328703703703709E-3</c:v>
                </c:pt>
                <c:pt idx="2">
                  <c:v>5.7754629629629614E-3</c:v>
                </c:pt>
                <c:pt idx="3">
                  <c:v>1.0405092592592591E-2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4A4-AB44-AE22-E8E5E3F17CC5}"/>
            </c:ext>
          </c:extLst>
        </c:ser>
        <c:ser>
          <c:idx val="84"/>
          <c:order val="84"/>
          <c:tx>
            <c:strRef>
              <c:f>Протокол!$U$87</c:f>
              <c:strCache>
                <c:ptCount val="1"/>
                <c:pt idx="0">
                  <c:v>Иван Савицкий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Протокол!$Y$87:$AB$87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4.3750000000000004E-3</c:v>
                </c:pt>
                <c:pt idx="2">
                  <c:v>5.9143518518518512E-3</c:v>
                </c:pt>
                <c:pt idx="3">
                  <c:v>1.0358796296296297E-2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4A4-AB44-AE22-E8E5E3F17CC5}"/>
            </c:ext>
          </c:extLst>
        </c:ser>
        <c:ser>
          <c:idx val="85"/>
          <c:order val="85"/>
          <c:tx>
            <c:strRef>
              <c:f>Протокол!$U$88</c:f>
              <c:strCache>
                <c:ptCount val="1"/>
                <c:pt idx="0">
                  <c:v>Наранович Евгений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Протокол!$Y$88:$AB$88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4.8958333333333336E-3</c:v>
                </c:pt>
                <c:pt idx="2">
                  <c:v>6.7939814814814807E-3</c:v>
                </c:pt>
                <c:pt idx="3">
                  <c:v>1.0312499999999999E-2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4A4-AB44-AE22-E8E5E3F17CC5}"/>
            </c:ext>
          </c:extLst>
        </c:ser>
        <c:ser>
          <c:idx val="86"/>
          <c:order val="86"/>
          <c:tx>
            <c:strRef>
              <c:f>Протокол!$U$89</c:f>
              <c:strCache>
                <c:ptCount val="1"/>
                <c:pt idx="0">
                  <c:v>Никонюк Михаил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Протокол!$Y$89:$AB$89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4.8032407407407416E-3</c:v>
                </c:pt>
                <c:pt idx="2">
                  <c:v>7.9976851851851858E-3</c:v>
                </c:pt>
                <c:pt idx="3">
                  <c:v>1.0219907407407407E-2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4A4-AB44-AE22-E8E5E3F17CC5}"/>
            </c:ext>
          </c:extLst>
        </c:ser>
        <c:ser>
          <c:idx val="87"/>
          <c:order val="87"/>
          <c:tx>
            <c:strRef>
              <c:f>Протокол!$U$90</c:f>
              <c:strCache>
                <c:ptCount val="1"/>
                <c:pt idx="0">
                  <c:v>Тычина Антон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Протокол!$Y$90:$AB$90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4.178240740740741E-3</c:v>
                </c:pt>
                <c:pt idx="2">
                  <c:v>6.7245370370370375E-3</c:v>
                </c:pt>
                <c:pt idx="3">
                  <c:v>1.0208333333333333E-2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4A4-AB44-AE22-E8E5E3F17CC5}"/>
            </c:ext>
          </c:extLst>
        </c:ser>
        <c:ser>
          <c:idx val="88"/>
          <c:order val="88"/>
          <c:tx>
            <c:strRef>
              <c:f>Протокол!$U$91</c:f>
              <c:strCache>
                <c:ptCount val="1"/>
                <c:pt idx="0">
                  <c:v>Мандрик Алексей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Протокол!$Y$91:$AB$91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4.4791666666666669E-3</c:v>
                </c:pt>
                <c:pt idx="2">
                  <c:v>6.9791666666666682E-3</c:v>
                </c:pt>
                <c:pt idx="3">
                  <c:v>1.0000000000000002E-2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4A4-AB44-AE22-E8E5E3F17CC5}"/>
            </c:ext>
          </c:extLst>
        </c:ser>
        <c:ser>
          <c:idx val="89"/>
          <c:order val="89"/>
          <c:tx>
            <c:strRef>
              <c:f>Протокол!$U$92</c:f>
              <c:strCache>
                <c:ptCount val="1"/>
                <c:pt idx="0">
                  <c:v>Babakaev Max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Протокол!$Y$92:$AB$92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4.8495370370370376E-3</c:v>
                </c:pt>
                <c:pt idx="2">
                  <c:v>6.6087962962962966E-3</c:v>
                </c:pt>
                <c:pt idx="3">
                  <c:v>9.8958333333333329E-3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4A4-AB44-AE22-E8E5E3F17CC5}"/>
            </c:ext>
          </c:extLst>
        </c:ser>
        <c:ser>
          <c:idx val="90"/>
          <c:order val="90"/>
          <c:tx>
            <c:strRef>
              <c:f>Протокол!$U$93</c:f>
              <c:strCache>
                <c:ptCount val="1"/>
                <c:pt idx="0">
                  <c:v>Жуков Сергей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Протокол!$Y$93:$AB$93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5.0810185185185194E-3</c:v>
                </c:pt>
                <c:pt idx="2">
                  <c:v>6.6550925925925927E-3</c:v>
                </c:pt>
                <c:pt idx="3">
                  <c:v>9.8842592592592593E-3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4A4-AB44-AE22-E8E5E3F17CC5}"/>
            </c:ext>
          </c:extLst>
        </c:ser>
        <c:ser>
          <c:idx val="91"/>
          <c:order val="91"/>
          <c:tx>
            <c:strRef>
              <c:f>Протокол!$U$94</c:f>
              <c:strCache>
                <c:ptCount val="1"/>
                <c:pt idx="0">
                  <c:v>Стельмацкий Виталий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Протокол!$Y$94:$AB$94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4.5138888888888893E-3</c:v>
                </c:pt>
                <c:pt idx="2">
                  <c:v>7.106481481481481E-3</c:v>
                </c:pt>
                <c:pt idx="3">
                  <c:v>9.8726851851851857E-3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4A4-AB44-AE22-E8E5E3F17CC5}"/>
            </c:ext>
          </c:extLst>
        </c:ser>
        <c:ser>
          <c:idx val="92"/>
          <c:order val="92"/>
          <c:tx>
            <c:strRef>
              <c:f>Протокол!$U$95</c:f>
              <c:strCache>
                <c:ptCount val="1"/>
                <c:pt idx="0">
                  <c:v>Ковтунов Роман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Протокол!$Y$95:$AB$95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3.9120370370370377E-3</c:v>
                </c:pt>
                <c:pt idx="2">
                  <c:v>5.9490740740740754E-3</c:v>
                </c:pt>
                <c:pt idx="3">
                  <c:v>9.8263888888888914E-3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4A4-AB44-AE22-E8E5E3F17CC5}"/>
            </c:ext>
          </c:extLst>
        </c:ser>
        <c:ser>
          <c:idx val="93"/>
          <c:order val="93"/>
          <c:tx>
            <c:strRef>
              <c:f>Протокол!$U$96</c:f>
              <c:strCache>
                <c:ptCount val="1"/>
                <c:pt idx="0">
                  <c:v>Симаков Александр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Протокол!$Y$96:$AB$96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4.6180555555555558E-3</c:v>
                </c:pt>
                <c:pt idx="2">
                  <c:v>6.1342592592592594E-3</c:v>
                </c:pt>
                <c:pt idx="3">
                  <c:v>9.7800925925925937E-3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4A4-AB44-AE22-E8E5E3F17CC5}"/>
            </c:ext>
          </c:extLst>
        </c:ser>
        <c:ser>
          <c:idx val="94"/>
          <c:order val="94"/>
          <c:tx>
            <c:strRef>
              <c:f>Протокол!$U$97</c:f>
              <c:strCache>
                <c:ptCount val="1"/>
                <c:pt idx="0">
                  <c:v>Вильчинский Ромуальд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Протокол!$Y$97:$AB$97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4.9305555555555561E-3</c:v>
                </c:pt>
                <c:pt idx="2">
                  <c:v>6.7824074074074071E-3</c:v>
                </c:pt>
                <c:pt idx="3">
                  <c:v>9.7685185185185167E-3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4A4-AB44-AE22-E8E5E3F17CC5}"/>
            </c:ext>
          </c:extLst>
        </c:ser>
        <c:ser>
          <c:idx val="95"/>
          <c:order val="95"/>
          <c:tx>
            <c:strRef>
              <c:f>Протокол!$U$98</c:f>
              <c:strCache>
                <c:ptCount val="1"/>
                <c:pt idx="0">
                  <c:v>Матус Игорь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Протокол!$Y$98:$AB$98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4.7106481481481487E-3</c:v>
                </c:pt>
                <c:pt idx="2">
                  <c:v>6.4351851851851861E-3</c:v>
                </c:pt>
                <c:pt idx="3">
                  <c:v>9.7569444444444466E-3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4A4-AB44-AE22-E8E5E3F17CC5}"/>
            </c:ext>
          </c:extLst>
        </c:ser>
        <c:ser>
          <c:idx val="96"/>
          <c:order val="96"/>
          <c:tx>
            <c:strRef>
              <c:f>Протокол!$U$99</c:f>
              <c:strCache>
                <c:ptCount val="1"/>
                <c:pt idx="0">
                  <c:v>Shirobokov Dmitrii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Протокол!$Y$99:$AB$99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4.4791666666666669E-3</c:v>
                </c:pt>
                <c:pt idx="2">
                  <c:v>7.2106481481481466E-3</c:v>
                </c:pt>
                <c:pt idx="3">
                  <c:v>9.7222222222222224E-3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4A4-AB44-AE22-E8E5E3F17CC5}"/>
            </c:ext>
          </c:extLst>
        </c:ser>
        <c:ser>
          <c:idx val="97"/>
          <c:order val="97"/>
          <c:tx>
            <c:strRef>
              <c:f>Протокол!$U$100</c:f>
              <c:strCache>
                <c:ptCount val="1"/>
                <c:pt idx="0">
                  <c:v>Бобко Александр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Протокол!$Y$100:$AB$100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4.4907407407407413E-3</c:v>
                </c:pt>
                <c:pt idx="2">
                  <c:v>5.9953703703703714E-3</c:v>
                </c:pt>
                <c:pt idx="3">
                  <c:v>9.7106481481481488E-3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4A4-AB44-AE22-E8E5E3F17CC5}"/>
            </c:ext>
          </c:extLst>
        </c:ser>
        <c:ser>
          <c:idx val="98"/>
          <c:order val="98"/>
          <c:tx>
            <c:strRef>
              <c:f>Протокол!$U$101</c:f>
              <c:strCache>
                <c:ptCount val="1"/>
                <c:pt idx="0">
                  <c:v>Недосейкин Андрей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Протокол!$Y$101:$AB$101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4.5138888888888893E-3</c:v>
                </c:pt>
                <c:pt idx="2">
                  <c:v>6.6087962962962966E-3</c:v>
                </c:pt>
                <c:pt idx="3">
                  <c:v>9.6875000000000017E-3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4A4-AB44-AE22-E8E5E3F17CC5}"/>
            </c:ext>
          </c:extLst>
        </c:ser>
        <c:ser>
          <c:idx val="99"/>
          <c:order val="99"/>
          <c:tx>
            <c:strRef>
              <c:f>Протокол!$U$102</c:f>
              <c:strCache>
                <c:ptCount val="1"/>
                <c:pt idx="0">
                  <c:v>Сухинин Максим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Протокол!$Y$102:$AB$102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5.3240740740740748E-3</c:v>
                </c:pt>
                <c:pt idx="2">
                  <c:v>6.6666666666666662E-3</c:v>
                </c:pt>
                <c:pt idx="3">
                  <c:v>9.6412037037037039E-3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4A4-AB44-AE22-E8E5E3F17CC5}"/>
            </c:ext>
          </c:extLst>
        </c:ser>
        <c:ser>
          <c:idx val="100"/>
          <c:order val="100"/>
          <c:tx>
            <c:strRef>
              <c:f>Протокол!$U$103</c:f>
              <c:strCache>
                <c:ptCount val="1"/>
                <c:pt idx="0">
                  <c:v>Петрович Виталий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Протокол!$Y$103:$AB$103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4.4328703703703709E-3</c:v>
                </c:pt>
                <c:pt idx="2">
                  <c:v>6.8287037037037049E-3</c:v>
                </c:pt>
                <c:pt idx="3">
                  <c:v>9.479166666666667E-3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4A4-AB44-AE22-E8E5E3F17CC5}"/>
            </c:ext>
          </c:extLst>
        </c:ser>
        <c:ser>
          <c:idx val="101"/>
          <c:order val="101"/>
          <c:tx>
            <c:strRef>
              <c:f>Протокол!$U$104</c:f>
              <c:strCache>
                <c:ptCount val="1"/>
                <c:pt idx="0">
                  <c:v>Разорёнов Валерий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Протокол!$Y$104:$AB$104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4.7106481481481487E-3</c:v>
                </c:pt>
                <c:pt idx="2">
                  <c:v>6.2268518518518515E-3</c:v>
                </c:pt>
                <c:pt idx="3">
                  <c:v>9.1435185185185196E-3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4A4-AB44-AE22-E8E5E3F17CC5}"/>
            </c:ext>
          </c:extLst>
        </c:ser>
        <c:ser>
          <c:idx val="102"/>
          <c:order val="102"/>
          <c:tx>
            <c:strRef>
              <c:f>Протокол!$U$105</c:f>
              <c:strCache>
                <c:ptCount val="1"/>
                <c:pt idx="0">
                  <c:v>Дмитрий Белянко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Протокол!$Y$105:$AB$105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4.7222222222222231E-3</c:v>
                </c:pt>
                <c:pt idx="2">
                  <c:v>6.4814814814814822E-3</c:v>
                </c:pt>
                <c:pt idx="3">
                  <c:v>8.7152777777777801E-3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4A4-AB44-AE22-E8E5E3F17CC5}"/>
            </c:ext>
          </c:extLst>
        </c:ser>
        <c:ser>
          <c:idx val="103"/>
          <c:order val="103"/>
          <c:tx>
            <c:strRef>
              <c:f>Протокол!$U$106</c:f>
              <c:strCache>
                <c:ptCount val="1"/>
                <c:pt idx="0">
                  <c:v>Антоненко Сергей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Протокол!$Y$106:$AB$106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3.4606481481481485E-3</c:v>
                </c:pt>
                <c:pt idx="2">
                  <c:v>5.3819444444444444E-3</c:v>
                </c:pt>
                <c:pt idx="3">
                  <c:v>8.6342592592592582E-3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4A4-AB44-AE22-E8E5E3F17CC5}"/>
            </c:ext>
          </c:extLst>
        </c:ser>
        <c:ser>
          <c:idx val="104"/>
          <c:order val="104"/>
          <c:tx>
            <c:strRef>
              <c:f>Протокол!$U$107</c:f>
              <c:strCache>
                <c:ptCount val="1"/>
                <c:pt idx="0">
                  <c:v>Войтик Михаил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Протокол!$Y$107:$AB$107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3.0439814814814817E-3</c:v>
                </c:pt>
                <c:pt idx="2">
                  <c:v>5.6712962962962958E-3</c:v>
                </c:pt>
                <c:pt idx="3">
                  <c:v>8.4953703703703684E-3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4A4-AB44-AE22-E8E5E3F17CC5}"/>
            </c:ext>
          </c:extLst>
        </c:ser>
        <c:ser>
          <c:idx val="105"/>
          <c:order val="105"/>
          <c:tx>
            <c:strRef>
              <c:f>Протокол!$U$108</c:f>
              <c:strCache>
                <c:ptCount val="1"/>
                <c:pt idx="0">
                  <c:v>Афанасьев Владислав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Протокол!$Y$108:$AB$108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4.2824074074074084E-3</c:v>
                </c:pt>
                <c:pt idx="2">
                  <c:v>6.2268518518518532E-3</c:v>
                </c:pt>
                <c:pt idx="3">
                  <c:v>8.4837962962962983E-3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4A4-AB44-AE22-E8E5E3F17CC5}"/>
            </c:ext>
          </c:extLst>
        </c:ser>
        <c:ser>
          <c:idx val="106"/>
          <c:order val="106"/>
          <c:tx>
            <c:strRef>
              <c:f>Протокол!$U$109</c:f>
              <c:strCache>
                <c:ptCount val="1"/>
                <c:pt idx="0">
                  <c:v>Бордан Георгий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Протокол!$Y$109:$AB$109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4.0740740740740746E-3</c:v>
                </c:pt>
                <c:pt idx="2">
                  <c:v>5.9837962962962961E-3</c:v>
                </c:pt>
                <c:pt idx="3">
                  <c:v>8.3333333333333315E-3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4A4-AB44-AE22-E8E5E3F17CC5}"/>
            </c:ext>
          </c:extLst>
        </c:ser>
        <c:ser>
          <c:idx val="107"/>
          <c:order val="107"/>
          <c:tx>
            <c:strRef>
              <c:f>Протокол!$U$110</c:f>
              <c:strCache>
                <c:ptCount val="1"/>
                <c:pt idx="0">
                  <c:v>Самкович Виталий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Протокол!$Y$110:$AB$110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4.178240740740741E-3</c:v>
                </c:pt>
                <c:pt idx="2">
                  <c:v>6.7129629629629622E-3</c:v>
                </c:pt>
                <c:pt idx="3">
                  <c:v>8.2523148148148165E-3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4A4-AB44-AE22-E8E5E3F17CC5}"/>
            </c:ext>
          </c:extLst>
        </c:ser>
        <c:ser>
          <c:idx val="108"/>
          <c:order val="108"/>
          <c:tx>
            <c:strRef>
              <c:f>Протокол!$U$111</c:f>
              <c:strCache>
                <c:ptCount val="1"/>
                <c:pt idx="0">
                  <c:v>Сыманюк Дмитрий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Протокол!$Y$111:$AB$111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4.2708333333333339E-3</c:v>
                </c:pt>
                <c:pt idx="2">
                  <c:v>4.8958333333333319E-3</c:v>
                </c:pt>
                <c:pt idx="3">
                  <c:v>8.0555555555555554E-3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4A4-AB44-AE22-E8E5E3F17CC5}"/>
            </c:ext>
          </c:extLst>
        </c:ser>
        <c:ser>
          <c:idx val="109"/>
          <c:order val="109"/>
          <c:tx>
            <c:strRef>
              <c:f>Протокол!$U$112</c:f>
              <c:strCache>
                <c:ptCount val="1"/>
                <c:pt idx="0">
                  <c:v>Судас Александр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Протокол!$Y$112:$AB$112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5.1620370370370379E-3</c:v>
                </c:pt>
                <c:pt idx="2">
                  <c:v>5.1157407407407419E-3</c:v>
                </c:pt>
                <c:pt idx="3">
                  <c:v>7.7893518518518529E-3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4A4-AB44-AE22-E8E5E3F17CC5}"/>
            </c:ext>
          </c:extLst>
        </c:ser>
        <c:ser>
          <c:idx val="110"/>
          <c:order val="110"/>
          <c:tx>
            <c:strRef>
              <c:f>Протокол!$U$113</c:f>
              <c:strCache>
                <c:ptCount val="1"/>
                <c:pt idx="0">
                  <c:v>Лапицкий Александр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Протокол!$Y$113:$AB$113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3.8773148148148152E-3</c:v>
                </c:pt>
                <c:pt idx="2">
                  <c:v>5.2777777777777771E-3</c:v>
                </c:pt>
                <c:pt idx="3">
                  <c:v>5.3935185185185197E-3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4A4-AB44-AE22-E8E5E3F17CC5}"/>
            </c:ext>
          </c:extLst>
        </c:ser>
        <c:ser>
          <c:idx val="111"/>
          <c:order val="111"/>
          <c:tx>
            <c:strRef>
              <c:f>Протокол!$U$114</c:f>
              <c:strCache>
                <c:ptCount val="1"/>
                <c:pt idx="0">
                  <c:v>Бондарев Иван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Протокол!$Y$114:$AB$114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3.8194444444444448E-3</c:v>
                </c:pt>
                <c:pt idx="2">
                  <c:v>4.2592592592592612E-3</c:v>
                </c:pt>
                <c:pt idx="3">
                  <c:v>5.3240740740740783E-3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4A4-AB44-AE22-E8E5E3F17CC5}"/>
            </c:ext>
          </c:extLst>
        </c:ser>
        <c:ser>
          <c:idx val="112"/>
          <c:order val="112"/>
          <c:tx>
            <c:strRef>
              <c:f>Протокол!$U$115</c:f>
              <c:strCache>
                <c:ptCount val="1"/>
                <c:pt idx="0">
                  <c:v>Андрианов Константин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Протокол!$Y$115:$AB$115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4.6527777777777782E-3</c:v>
                </c:pt>
                <c:pt idx="2">
                  <c:v>4.5486111111111109E-3</c:v>
                </c:pt>
                <c:pt idx="3">
                  <c:v>4.3171296296296291E-3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4A4-AB44-AE22-E8E5E3F17CC5}"/>
            </c:ext>
          </c:extLst>
        </c:ser>
        <c:ser>
          <c:idx val="113"/>
          <c:order val="113"/>
          <c:tx>
            <c:strRef>
              <c:f>Протокол!$U$116</c:f>
              <c:strCache>
                <c:ptCount val="1"/>
                <c:pt idx="0">
                  <c:v>Лашкевич Андрей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Протокол!$Y$116:$AB$116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8.1018518518518462E-5</c:v>
                </c:pt>
                <c:pt idx="2">
                  <c:v>1.145833333333332E-3</c:v>
                </c:pt>
                <c:pt idx="3">
                  <c:v>2.5925925925925908E-3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4A4-AB44-AE22-E8E5E3F17CC5}"/>
            </c:ext>
          </c:extLst>
        </c:ser>
        <c:ser>
          <c:idx val="114"/>
          <c:order val="114"/>
          <c:tx>
            <c:strRef>
              <c:f>Протокол!$U$117</c:f>
              <c:strCache>
                <c:ptCount val="1"/>
                <c:pt idx="0">
                  <c:v>Юрченко Владимир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Протокол!$Y$117:$AB$117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2.6851851851851854E-3</c:v>
                </c:pt>
                <c:pt idx="2">
                  <c:v>3.7152777777777792E-3</c:v>
                </c:pt>
                <c:pt idx="3">
                  <c:v>2.5578703703703701E-3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4A4-AB44-AE22-E8E5E3F17CC5}"/>
            </c:ext>
          </c:extLst>
        </c:ser>
        <c:ser>
          <c:idx val="115"/>
          <c:order val="115"/>
          <c:tx>
            <c:strRef>
              <c:f>Протокол!$U$118</c:f>
              <c:strCache>
                <c:ptCount val="1"/>
                <c:pt idx="0">
                  <c:v>Сыроежкин Павел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Протокол!$Y$118:$AB$118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5.5555555555555566E-4</c:v>
                </c:pt>
                <c:pt idx="2">
                  <c:v>1.666666666666667E-3</c:v>
                </c:pt>
                <c:pt idx="3">
                  <c:v>1.3541666666666667E-3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4A4-AB44-AE22-E8E5E3F17CC5}"/>
            </c:ext>
          </c:extLst>
        </c:ser>
        <c:ser>
          <c:idx val="116"/>
          <c:order val="116"/>
          <c:tx>
            <c:strRef>
              <c:f>Протокол!$U$119</c:f>
              <c:strCache>
                <c:ptCount val="1"/>
                <c:pt idx="0">
                  <c:v>Olshevskaya Angelina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Протокол!$Y$119:$AB$119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6.0300925925925938E-3</c:v>
                </c:pt>
                <c:pt idx="2">
                  <c:v>8.1828703703703716E-3</c:v>
                </c:pt>
                <c:pt idx="3">
                  <c:v>1.2071759259259261E-2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4A4-AB44-AE22-E8E5E3F17CC5}"/>
            </c:ext>
          </c:extLst>
        </c:ser>
        <c:ser>
          <c:idx val="117"/>
          <c:order val="117"/>
          <c:tx>
            <c:strRef>
              <c:f>Протокол!$U$120</c:f>
              <c:strCache>
                <c:ptCount val="1"/>
                <c:pt idx="0">
                  <c:v>Касперович Юлия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Протокол!$Y$120:$AB$120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5.798611111111112E-3</c:v>
                </c:pt>
                <c:pt idx="2">
                  <c:v>8.2175925925925923E-3</c:v>
                </c:pt>
                <c:pt idx="3">
                  <c:v>1.1909722222222224E-2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4A4-AB44-AE22-E8E5E3F17CC5}"/>
            </c:ext>
          </c:extLst>
        </c:ser>
        <c:ser>
          <c:idx val="118"/>
          <c:order val="118"/>
          <c:tx>
            <c:strRef>
              <c:f>Протокол!$U$121</c:f>
              <c:strCache>
                <c:ptCount val="1"/>
                <c:pt idx="0">
                  <c:v>Дахно Татьяна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Протокол!$Y$121:$AB$121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5.8101851851851856E-3</c:v>
                </c:pt>
                <c:pt idx="2">
                  <c:v>7.4305555555555548E-3</c:v>
                </c:pt>
                <c:pt idx="3">
                  <c:v>1.185185185185185E-2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4A4-AB44-AE22-E8E5E3F17CC5}"/>
            </c:ext>
          </c:extLst>
        </c:ser>
        <c:ser>
          <c:idx val="119"/>
          <c:order val="119"/>
          <c:tx>
            <c:strRef>
              <c:f>Протокол!$U$122</c:f>
              <c:strCache>
                <c:ptCount val="1"/>
                <c:pt idx="0">
                  <c:v>Urubleuskaya Yuliya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Протокол!$Y$122:$AB$122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5.046296296296297E-3</c:v>
                </c:pt>
                <c:pt idx="2">
                  <c:v>7.3148148148148157E-3</c:v>
                </c:pt>
                <c:pt idx="3">
                  <c:v>1.1770833333333335E-2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4A4-AB44-AE22-E8E5E3F17CC5}"/>
            </c:ext>
          </c:extLst>
        </c:ser>
        <c:ser>
          <c:idx val="120"/>
          <c:order val="120"/>
          <c:tx>
            <c:strRef>
              <c:f>Протокол!$U$123</c:f>
              <c:strCache>
                <c:ptCount val="1"/>
                <c:pt idx="0">
                  <c:v>Kudzelko Katsiaryna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Протокол!$Y$123:$AB$123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4.6759259259259263E-3</c:v>
                </c:pt>
                <c:pt idx="2">
                  <c:v>7.0717592592592603E-3</c:v>
                </c:pt>
                <c:pt idx="3">
                  <c:v>1.1736111111111114E-2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4A4-AB44-AE22-E8E5E3F17CC5}"/>
            </c:ext>
          </c:extLst>
        </c:ser>
        <c:ser>
          <c:idx val="121"/>
          <c:order val="121"/>
          <c:tx>
            <c:strRef>
              <c:f>Протокол!$U$124</c:f>
              <c:strCache>
                <c:ptCount val="1"/>
                <c:pt idx="0">
                  <c:v>Лютаревич Александра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Протокол!$Y$124:$AB$124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5.1620370370370379E-3</c:v>
                </c:pt>
                <c:pt idx="2">
                  <c:v>7.2106481481481483E-3</c:v>
                </c:pt>
                <c:pt idx="3">
                  <c:v>1.0324074074074076E-2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4A4-AB44-AE22-E8E5E3F17CC5}"/>
            </c:ext>
          </c:extLst>
        </c:ser>
        <c:ser>
          <c:idx val="122"/>
          <c:order val="122"/>
          <c:tx>
            <c:strRef>
              <c:f>Протокол!$U$125</c:f>
              <c:strCache>
                <c:ptCount val="1"/>
                <c:pt idx="0">
                  <c:v>Клебанович Виктория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Протокол!$Y$125:$AB$125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5.0347222222222234E-3</c:v>
                </c:pt>
                <c:pt idx="2">
                  <c:v>7.1759259259259276E-3</c:v>
                </c:pt>
                <c:pt idx="3">
                  <c:v>1.0069444444444447E-2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4A4-AB44-AE22-E8E5E3F17CC5}"/>
            </c:ext>
          </c:extLst>
        </c:ser>
        <c:ser>
          <c:idx val="123"/>
          <c:order val="123"/>
          <c:tx>
            <c:strRef>
              <c:f>Протокол!$U$126</c:f>
              <c:strCache>
                <c:ptCount val="1"/>
                <c:pt idx="0">
                  <c:v>Вечорко Елена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Протокол!$Y$126:$AB$126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4.2476851851851859E-3</c:v>
                </c:pt>
                <c:pt idx="2">
                  <c:v>6.6435185185185191E-3</c:v>
                </c:pt>
                <c:pt idx="3">
                  <c:v>1.0000000000000002E-2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4A4-AB44-AE22-E8E5E3F17CC5}"/>
            </c:ext>
          </c:extLst>
        </c:ser>
        <c:ser>
          <c:idx val="124"/>
          <c:order val="124"/>
          <c:tx>
            <c:strRef>
              <c:f>Протокол!$U$127</c:f>
              <c:strCache>
                <c:ptCount val="1"/>
                <c:pt idx="0">
                  <c:v>Cheremisinova Anna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Протокол!$Y$127:$AB$127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4.5023148148148158E-3</c:v>
                </c:pt>
                <c:pt idx="2">
                  <c:v>6.1805555555555572E-3</c:v>
                </c:pt>
                <c:pt idx="3">
                  <c:v>9.6875000000000017E-3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4A4-AB44-AE22-E8E5E3F17CC5}"/>
            </c:ext>
          </c:extLst>
        </c:ser>
        <c:ser>
          <c:idx val="125"/>
          <c:order val="125"/>
          <c:tx>
            <c:strRef>
              <c:f>Протокол!$U$128</c:f>
              <c:strCache>
                <c:ptCount val="1"/>
                <c:pt idx="0">
                  <c:v>Викентьева Елена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Протокол!$Y$128:$AB$128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4.5601851851851862E-3</c:v>
                </c:pt>
                <c:pt idx="2">
                  <c:v>6.3310185185185188E-3</c:v>
                </c:pt>
                <c:pt idx="3">
                  <c:v>9.5370370370370383E-3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4A4-AB44-AE22-E8E5E3F17CC5}"/>
            </c:ext>
          </c:extLst>
        </c:ser>
        <c:ser>
          <c:idx val="126"/>
          <c:order val="126"/>
          <c:tx>
            <c:strRef>
              <c:f>Протокол!$U$129</c:f>
              <c:strCache>
                <c:ptCount val="1"/>
                <c:pt idx="0">
                  <c:v>Михайлова Татьяна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Протокол!$Y$129:$AB$129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3.8888888888888896E-3</c:v>
                </c:pt>
                <c:pt idx="2">
                  <c:v>6.2268518518518515E-3</c:v>
                </c:pt>
                <c:pt idx="3">
                  <c:v>9.386574074074075E-3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4A4-AB44-AE22-E8E5E3F17CC5}"/>
            </c:ext>
          </c:extLst>
        </c:ser>
        <c:ser>
          <c:idx val="127"/>
          <c:order val="127"/>
          <c:tx>
            <c:strRef>
              <c:f>Протокол!$U$130</c:f>
              <c:strCache>
                <c:ptCount val="1"/>
                <c:pt idx="0">
                  <c:v>Ковалева Диана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Протокол!$Y$130:$AB$130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4.5949074074074078E-3</c:v>
                </c:pt>
                <c:pt idx="2">
                  <c:v>6.5972222222222231E-3</c:v>
                </c:pt>
                <c:pt idx="3">
                  <c:v>9.1898148148148173E-3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4A4-AB44-AE22-E8E5E3F17CC5}"/>
            </c:ext>
          </c:extLst>
        </c:ser>
        <c:ser>
          <c:idx val="128"/>
          <c:order val="128"/>
          <c:tx>
            <c:strRef>
              <c:f>Протокол!$U$131</c:f>
              <c:strCache>
                <c:ptCount val="1"/>
                <c:pt idx="0">
                  <c:v>Лапко Анастасия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Протокол!$Y$131:$AB$131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4.3750000000000004E-3</c:v>
                </c:pt>
                <c:pt idx="2">
                  <c:v>5.5555555555555549E-3</c:v>
                </c:pt>
                <c:pt idx="3">
                  <c:v>9.0972222222222218E-3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4A4-AB44-AE22-E8E5E3F17CC5}"/>
            </c:ext>
          </c:extLst>
        </c:ser>
        <c:ser>
          <c:idx val="129"/>
          <c:order val="129"/>
          <c:tx>
            <c:strRef>
              <c:f>Протокол!$U$132</c:f>
              <c:strCache>
                <c:ptCount val="1"/>
                <c:pt idx="0">
                  <c:v>Зубович Евгения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Протокол!$Y$132:$AB$132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4.3981481481481484E-3</c:v>
                </c:pt>
                <c:pt idx="2">
                  <c:v>4.6412037037037029E-3</c:v>
                </c:pt>
                <c:pt idx="3">
                  <c:v>8.9120370370370378E-3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4A4-AB44-AE22-E8E5E3F17CC5}"/>
            </c:ext>
          </c:extLst>
        </c:ser>
        <c:ser>
          <c:idx val="130"/>
          <c:order val="130"/>
          <c:tx>
            <c:strRef>
              <c:f>Протокол!$U$133</c:f>
              <c:strCache>
                <c:ptCount val="1"/>
                <c:pt idx="0">
                  <c:v>Корнейчук Александра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Протокол!$Y$133:$AB$133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5.7175925925925936E-3</c:v>
                </c:pt>
                <c:pt idx="2">
                  <c:v>6.0416666666666674E-3</c:v>
                </c:pt>
                <c:pt idx="3">
                  <c:v>8.9004629629629642E-3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4A4-AB44-AE22-E8E5E3F17CC5}"/>
            </c:ext>
          </c:extLst>
        </c:ser>
        <c:ser>
          <c:idx val="131"/>
          <c:order val="131"/>
          <c:tx>
            <c:strRef>
              <c:f>Протокол!$U$134</c:f>
              <c:strCache>
                <c:ptCount val="1"/>
                <c:pt idx="0">
                  <c:v>Попко Ульяна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Протокол!$Y$134:$AB$134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5.2199074074074075E-3</c:v>
                </c:pt>
                <c:pt idx="2">
                  <c:v>5.7175925925925918E-3</c:v>
                </c:pt>
                <c:pt idx="3">
                  <c:v>8.6458333333333318E-3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4A4-AB44-AE22-E8E5E3F17CC5}"/>
            </c:ext>
          </c:extLst>
        </c:ser>
        <c:ser>
          <c:idx val="132"/>
          <c:order val="132"/>
          <c:tx>
            <c:strRef>
              <c:f>Протокол!$U$135</c:f>
              <c:strCache>
                <c:ptCount val="1"/>
                <c:pt idx="0">
                  <c:v>Дарьина Анна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Протокол!$Y$135:$AB$135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4.8148148148148152E-3</c:v>
                </c:pt>
                <c:pt idx="2">
                  <c:v>6.3657407407407413E-3</c:v>
                </c:pt>
                <c:pt idx="3">
                  <c:v>8.3101851851851843E-3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4A4-AB44-AE22-E8E5E3F17CC5}"/>
            </c:ext>
          </c:extLst>
        </c:ser>
        <c:ser>
          <c:idx val="133"/>
          <c:order val="133"/>
          <c:tx>
            <c:strRef>
              <c:f>Протокол!$U$136</c:f>
              <c:strCache>
                <c:ptCount val="1"/>
                <c:pt idx="0">
                  <c:v>Адамович Ирина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Протокол!$Y$136:$AB$136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3.8773148148148152E-3</c:v>
                </c:pt>
                <c:pt idx="2">
                  <c:v>5.2199074074074057E-3</c:v>
                </c:pt>
                <c:pt idx="3">
                  <c:v>8.2638888888888866E-3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4A4-AB44-AE22-E8E5E3F17CC5}"/>
            </c:ext>
          </c:extLst>
        </c:ser>
        <c:ser>
          <c:idx val="134"/>
          <c:order val="134"/>
          <c:tx>
            <c:strRef>
              <c:f>Протокол!$U$137</c:f>
              <c:strCache>
                <c:ptCount val="1"/>
                <c:pt idx="0">
                  <c:v>Матвийко Надежда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Протокол!$Y$137:$AB$137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4.3287037037037044E-3</c:v>
                </c:pt>
                <c:pt idx="2">
                  <c:v>5.6365740740740751E-3</c:v>
                </c:pt>
                <c:pt idx="3">
                  <c:v>7.6736111111111102E-3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4A4-AB44-AE22-E8E5E3F17CC5}"/>
            </c:ext>
          </c:extLst>
        </c:ser>
        <c:ser>
          <c:idx val="135"/>
          <c:order val="135"/>
          <c:tx>
            <c:strRef>
              <c:f>Протокол!$U$138</c:f>
              <c:strCache>
                <c:ptCount val="1"/>
                <c:pt idx="0">
                  <c:v>Ванчук Оксана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Протокол!$Y$138:$AB$138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4.3287037037037044E-3</c:v>
                </c:pt>
                <c:pt idx="2">
                  <c:v>4.9305555555555561E-3</c:v>
                </c:pt>
                <c:pt idx="3">
                  <c:v>7.6273148148148159E-3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4A4-AB44-AE22-E8E5E3F17CC5}"/>
            </c:ext>
          </c:extLst>
        </c:ser>
        <c:ser>
          <c:idx val="136"/>
          <c:order val="136"/>
          <c:tx>
            <c:strRef>
              <c:f>Протокол!$U$139</c:f>
              <c:strCache>
                <c:ptCount val="1"/>
                <c:pt idx="0">
                  <c:v>Качан Екатерина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Протокол!$Y$139:$AB$139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4.8958333333333336E-3</c:v>
                </c:pt>
                <c:pt idx="2">
                  <c:v>6.3888888888888884E-3</c:v>
                </c:pt>
                <c:pt idx="3">
                  <c:v>7.5347222222222204E-3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4A4-AB44-AE22-E8E5E3F17CC5}"/>
            </c:ext>
          </c:extLst>
        </c:ser>
        <c:ser>
          <c:idx val="137"/>
          <c:order val="137"/>
          <c:tx>
            <c:strRef>
              <c:f>Протокол!$U$140</c:f>
              <c:strCache>
                <c:ptCount val="1"/>
                <c:pt idx="0">
                  <c:v>Цумарева Ксения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Протокол!$Y$140:$AB$140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4.1435185185185195E-3</c:v>
                </c:pt>
                <c:pt idx="2">
                  <c:v>4.6759259259259271E-3</c:v>
                </c:pt>
                <c:pt idx="3">
                  <c:v>7.3495370370370398E-3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4A4-AB44-AE22-E8E5E3F17CC5}"/>
            </c:ext>
          </c:extLst>
        </c:ser>
        <c:ser>
          <c:idx val="138"/>
          <c:order val="138"/>
          <c:tx>
            <c:strRef>
              <c:f>Протокол!$U$141</c:f>
              <c:strCache>
                <c:ptCount val="1"/>
                <c:pt idx="0">
                  <c:v>Цацарина Екатерина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Протокол!$Y$141:$AB$141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4.0277777777777786E-3</c:v>
                </c:pt>
                <c:pt idx="2">
                  <c:v>5.5439814814814831E-3</c:v>
                </c:pt>
                <c:pt idx="3">
                  <c:v>7.1874999999999994E-3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4A4-AB44-AE22-E8E5E3F17CC5}"/>
            </c:ext>
          </c:extLst>
        </c:ser>
        <c:ser>
          <c:idx val="139"/>
          <c:order val="139"/>
          <c:tx>
            <c:strRef>
              <c:f>Протокол!$U$142</c:f>
              <c:strCache>
                <c:ptCount val="1"/>
                <c:pt idx="0">
                  <c:v>Gavrilova Alla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Протокол!$Y$142:$AB$142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4.155092592592593E-3</c:v>
                </c:pt>
                <c:pt idx="2">
                  <c:v>4.8148148148148134E-3</c:v>
                </c:pt>
                <c:pt idx="3">
                  <c:v>6.851851851851852E-3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4A4-AB44-AE22-E8E5E3F17CC5}"/>
            </c:ext>
          </c:extLst>
        </c:ser>
        <c:ser>
          <c:idx val="140"/>
          <c:order val="140"/>
          <c:tx>
            <c:strRef>
              <c:f>Протокол!$U$143</c:f>
              <c:strCache>
                <c:ptCount val="1"/>
                <c:pt idx="0">
                  <c:v>Ющенко Полина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Протокол!$Y$143:$AB$143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3.6342592592592598E-3</c:v>
                </c:pt>
                <c:pt idx="2">
                  <c:v>4.2824074074074084E-3</c:v>
                </c:pt>
                <c:pt idx="3">
                  <c:v>6.5277777777777782E-3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4A4-AB44-AE22-E8E5E3F17CC5}"/>
            </c:ext>
          </c:extLst>
        </c:ser>
        <c:ser>
          <c:idx val="141"/>
          <c:order val="141"/>
          <c:tx>
            <c:strRef>
              <c:f>Протокол!$U$144</c:f>
              <c:strCache>
                <c:ptCount val="1"/>
                <c:pt idx="0">
                  <c:v>Синицина Дарья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Протокол!$Y$144:$AB$144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4.31712962962963E-3</c:v>
                </c:pt>
                <c:pt idx="2">
                  <c:v>3.4027777777777789E-3</c:v>
                </c:pt>
                <c:pt idx="3">
                  <c:v>6.4467592592592597E-3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4A4-AB44-AE22-E8E5E3F17CC5}"/>
            </c:ext>
          </c:extLst>
        </c:ser>
        <c:ser>
          <c:idx val="142"/>
          <c:order val="142"/>
          <c:tx>
            <c:strRef>
              <c:f>Протокол!$U$145</c:f>
              <c:strCache>
                <c:ptCount val="1"/>
                <c:pt idx="0">
                  <c:v>Navumenka Hanna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Протокол!$Y$145:$AB$145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4.178240740740741E-3</c:v>
                </c:pt>
                <c:pt idx="2">
                  <c:v>4.7569444444444439E-3</c:v>
                </c:pt>
                <c:pt idx="3">
                  <c:v>6.3541666666666677E-3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4A4-AB44-AE22-E8E5E3F17CC5}"/>
            </c:ext>
          </c:extLst>
        </c:ser>
        <c:ser>
          <c:idx val="143"/>
          <c:order val="143"/>
          <c:tx>
            <c:strRef>
              <c:f>Протокол!$U$146</c:f>
              <c:strCache>
                <c:ptCount val="1"/>
                <c:pt idx="0">
                  <c:v>Таначева Александра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Протокол!$Y$146:$AB$146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5.069444444444445E-3</c:v>
                </c:pt>
                <c:pt idx="2">
                  <c:v>4.9768518518518504E-3</c:v>
                </c:pt>
                <c:pt idx="3">
                  <c:v>6.0069444444444432E-3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4A4-AB44-AE22-E8E5E3F17CC5}"/>
            </c:ext>
          </c:extLst>
        </c:ser>
        <c:ser>
          <c:idx val="144"/>
          <c:order val="144"/>
          <c:tx>
            <c:strRef>
              <c:f>Протокол!$U$147</c:f>
              <c:strCache>
                <c:ptCount val="1"/>
                <c:pt idx="0">
                  <c:v>Войтович Мария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Протокол!$Y$147:$AB$147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4.085648148148149E-3</c:v>
                </c:pt>
                <c:pt idx="2">
                  <c:v>4.2245370370370371E-3</c:v>
                </c:pt>
                <c:pt idx="3">
                  <c:v>5.8796296296296305E-3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4A4-AB44-AE22-E8E5E3F17CC5}"/>
            </c:ext>
          </c:extLst>
        </c:ser>
        <c:ser>
          <c:idx val="145"/>
          <c:order val="145"/>
          <c:tx>
            <c:strRef>
              <c:f>Протокол!$U$148</c:f>
              <c:strCache>
                <c:ptCount val="1"/>
                <c:pt idx="0">
                  <c:v>Astrouskaya Veronika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Протокол!$Y$148:$AB$148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4.7453703703703711E-3</c:v>
                </c:pt>
                <c:pt idx="2">
                  <c:v>4.7800925925925927E-3</c:v>
                </c:pt>
                <c:pt idx="3">
                  <c:v>5.6944444444444464E-3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4A4-AB44-AE22-E8E5E3F17CC5}"/>
            </c:ext>
          </c:extLst>
        </c:ser>
        <c:ser>
          <c:idx val="146"/>
          <c:order val="146"/>
          <c:tx>
            <c:strRef>
              <c:f>Протокол!$U$149</c:f>
              <c:strCache>
                <c:ptCount val="1"/>
                <c:pt idx="0">
                  <c:v>Севрук Елизавета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Протокол!$Y$149:$AB$149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2.372685185185186E-3</c:v>
                </c:pt>
                <c:pt idx="2">
                  <c:v>2.7314814814814806E-3</c:v>
                </c:pt>
                <c:pt idx="3">
                  <c:v>5.4861111111111117E-3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4A4-AB44-AE22-E8E5E3F17CC5}"/>
            </c:ext>
          </c:extLst>
        </c:ser>
        <c:ser>
          <c:idx val="147"/>
          <c:order val="147"/>
          <c:tx>
            <c:strRef>
              <c:f>Протокол!$U$150</c:f>
              <c:strCache>
                <c:ptCount val="1"/>
                <c:pt idx="0">
                  <c:v>Мельникова Елизавета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Протокол!$Y$150:$AB$150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4.8726851851851856E-3</c:v>
                </c:pt>
                <c:pt idx="2">
                  <c:v>3.8773148148148161E-3</c:v>
                </c:pt>
                <c:pt idx="3">
                  <c:v>5.1388888888888908E-3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4A4-AB44-AE22-E8E5E3F17CC5}"/>
            </c:ext>
          </c:extLst>
        </c:ser>
        <c:ser>
          <c:idx val="148"/>
          <c:order val="148"/>
          <c:tx>
            <c:strRef>
              <c:f>Протокол!$U$151</c:f>
              <c:strCache>
                <c:ptCount val="1"/>
                <c:pt idx="0">
                  <c:v>Савченко Ангелина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Протокол!$Y$151:$AB$151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4.155092592592593E-3</c:v>
                </c:pt>
                <c:pt idx="2">
                  <c:v>4.0856481481481473E-3</c:v>
                </c:pt>
                <c:pt idx="3">
                  <c:v>4.8726851851851848E-3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4A4-AB44-AE22-E8E5E3F17CC5}"/>
            </c:ext>
          </c:extLst>
        </c:ser>
        <c:ser>
          <c:idx val="149"/>
          <c:order val="149"/>
          <c:tx>
            <c:strRef>
              <c:f>Протокол!$U$152</c:f>
              <c:strCache>
                <c:ptCount val="1"/>
                <c:pt idx="0">
                  <c:v>Моисеева Вероника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Протокол!$Y$152:$AB$152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2.9861111111111121E-3</c:v>
                </c:pt>
                <c:pt idx="2">
                  <c:v>2.719907407407407E-3</c:v>
                </c:pt>
                <c:pt idx="3">
                  <c:v>4.8148148148148134E-3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4A4-AB44-AE22-E8E5E3F17CC5}"/>
            </c:ext>
          </c:extLst>
        </c:ser>
        <c:ser>
          <c:idx val="150"/>
          <c:order val="150"/>
          <c:tx>
            <c:strRef>
              <c:f>Протокол!$U$153</c:f>
              <c:strCache>
                <c:ptCount val="1"/>
                <c:pt idx="0">
                  <c:v>Григорьева Светлана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Протокол!$Y$153:$AB$153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2.7314814814814823E-3</c:v>
                </c:pt>
                <c:pt idx="2">
                  <c:v>1.0763888888888906E-3</c:v>
                </c:pt>
                <c:pt idx="3">
                  <c:v>4.3518518518518533E-3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4A4-AB44-AE22-E8E5E3F17CC5}"/>
            </c:ext>
          </c:extLst>
        </c:ser>
        <c:ser>
          <c:idx val="151"/>
          <c:order val="151"/>
          <c:tx>
            <c:strRef>
              <c:f>Протокол!$U$154</c:f>
              <c:strCache>
                <c:ptCount val="1"/>
                <c:pt idx="0">
                  <c:v>Колесникова Марина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Протокол!$Y$154:$AB$154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3.125000000000001E-3</c:v>
                </c:pt>
                <c:pt idx="2">
                  <c:v>3.784722222222224E-3</c:v>
                </c:pt>
                <c:pt idx="3">
                  <c:v>3.9814814814814817E-3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4A4-AB44-AE22-E8E5E3F17CC5}"/>
            </c:ext>
          </c:extLst>
        </c:ser>
        <c:ser>
          <c:idx val="152"/>
          <c:order val="152"/>
          <c:tx>
            <c:strRef>
              <c:f>Протокол!$U$155</c:f>
              <c:strCache>
                <c:ptCount val="1"/>
                <c:pt idx="0">
                  <c:v>Чадович Яна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Протокол!$Y$155:$AB$155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2.2222222222222227E-3</c:v>
                </c:pt>
                <c:pt idx="2">
                  <c:v>1.6319444444444428E-3</c:v>
                </c:pt>
                <c:pt idx="3">
                  <c:v>3.518518518518518E-3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4A4-AB44-AE22-E8E5E3F17CC5}"/>
            </c:ext>
          </c:extLst>
        </c:ser>
        <c:ser>
          <c:idx val="153"/>
          <c:order val="153"/>
          <c:tx>
            <c:strRef>
              <c:f>Протокол!$U$156</c:f>
              <c:strCache>
                <c:ptCount val="1"/>
                <c:pt idx="0">
                  <c:v>Шкавенцова Ксения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Протокол!$Y$156:$AB$156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4.0740740740740746E-3</c:v>
                </c:pt>
                <c:pt idx="2">
                  <c:v>3.9120370370370368E-3</c:v>
                </c:pt>
                <c:pt idx="3">
                  <c:v>3.4953703703703709E-3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4A4-AB44-AE22-E8E5E3F17CC5}"/>
            </c:ext>
          </c:extLst>
        </c:ser>
        <c:ser>
          <c:idx val="154"/>
          <c:order val="154"/>
          <c:tx>
            <c:strRef>
              <c:f>Протокол!$U$157</c:f>
              <c:strCache>
                <c:ptCount val="1"/>
                <c:pt idx="0">
                  <c:v>Сидоревич Анастасия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Протокол!$Y$157:$AB$157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2.6620370370370391E-3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4A4-AB44-AE22-E8E5E3F17CC5}"/>
            </c:ext>
          </c:extLst>
        </c:ser>
        <c:ser>
          <c:idx val="155"/>
          <c:order val="155"/>
          <c:tx>
            <c:strRef>
              <c:f>Протокол!$U$158</c:f>
              <c:strCache>
                <c:ptCount val="1"/>
                <c:pt idx="0">
                  <c:v>Кобеняк Арина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Протокол!$Y$158:$AB$158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2.9166666666666672E-3</c:v>
                </c:pt>
                <c:pt idx="2">
                  <c:v>2.8009259259259255E-3</c:v>
                </c:pt>
                <c:pt idx="3">
                  <c:v>1.4814814814814795E-3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4A4-AB44-AE22-E8E5E3F17CC5}"/>
            </c:ext>
          </c:extLst>
        </c:ser>
        <c:ser>
          <c:idx val="156"/>
          <c:order val="156"/>
          <c:tx>
            <c:strRef>
              <c:f>Протокол!$U$159</c:f>
              <c:strCache>
                <c:ptCount val="1"/>
                <c:pt idx="0">
                  <c:v>Павлюченко Надежда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Протокол!$Y$159:$AB$159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3.8773148148148152E-3</c:v>
                </c:pt>
                <c:pt idx="2">
                  <c:v>1.3657407407407403E-3</c:v>
                </c:pt>
                <c:pt idx="3">
                  <c:v>1.2731481481481621E-4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4A4-AB44-AE22-E8E5E3F17CC5}"/>
            </c:ext>
          </c:extLst>
        </c:ser>
        <c:ser>
          <c:idx val="157"/>
          <c:order val="157"/>
          <c:tx>
            <c:strRef>
              <c:f>Протокол!$U$160</c:f>
              <c:strCache>
                <c:ptCount val="1"/>
                <c:pt idx="0">
                  <c:v>Рычагова Александра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Протокол!$Y$2:$AB$2</c:f>
              <c:strCache>
                <c:ptCount val="4"/>
                <c:pt idx="0">
                  <c:v>Старт</c:v>
                </c:pt>
                <c:pt idx="1">
                  <c:v>Плавание</c:v>
                </c:pt>
                <c:pt idx="2">
                  <c:v>Вело</c:v>
                </c:pt>
                <c:pt idx="3">
                  <c:v>Бег</c:v>
                </c:pt>
              </c:strCache>
            </c:strRef>
          </c:cat>
          <c:val>
            <c:numRef>
              <c:f>Протокол!$Y$160:$AB$160</c:f>
              <c:numCache>
                <c:formatCode>mm:ss</c:formatCode>
                <c:ptCount val="4"/>
                <c:pt idx="0" formatCode="[$-F400]h:mm:ss\ AM/PM">
                  <c:v>0</c:v>
                </c:pt>
                <c:pt idx="1">
                  <c:v>2.5231481481481485E-3</c:v>
                </c:pt>
                <c:pt idx="2">
                  <c:v>1.574074074074075E-3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4A4-AB44-AE22-E8E5E3F1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10896"/>
        <c:axId val="1043167680"/>
      </c:lineChart>
      <c:catAx>
        <c:axId val="10621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67680"/>
        <c:crosses val="autoZero"/>
        <c:auto val="1"/>
        <c:lblAlgn val="ctr"/>
        <c:lblOffset val="100"/>
        <c:noMultiLvlLbl val="0"/>
      </c:catAx>
      <c:valAx>
        <c:axId val="1043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654319046855157E-2"/>
          <c:y val="7.2664891891248001E-2"/>
          <c:w val="0.14606325801876757"/>
          <c:h val="0.3835013052234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715161</xdr:colOff>
      <xdr:row>173</xdr:row>
      <xdr:rowOff>172442</xdr:rowOff>
    </xdr:from>
    <xdr:to>
      <xdr:col>31</xdr:col>
      <xdr:colOff>603997</xdr:colOff>
      <xdr:row>264</xdr:row>
      <xdr:rowOff>146709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326F1-029E-3247-B566-AAD59DDB2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5A55F-AC42-E145-A8C3-DF9753CFBE4E}" name="Table1" displayName="Table1" ref="U2:AD161" totalsRowCount="1" headerRowDxfId="14">
  <autoFilter ref="U2:AD160" xr:uid="{BBA5A55F-AC42-E145-A8C3-DF9753CFBE4E}"/>
  <tableColumns count="10">
    <tableColumn id="1" xr3:uid="{32E3A817-8D9C-6B4A-8FAF-A39FFE9F739C}" name="ФИО" totalsRowLabel="Total" dataDxfId="13">
      <calculatedColumnFormula>B3</calculatedColumnFormula>
    </tableColumn>
    <tableColumn id="2" xr3:uid="{4041A9FD-654A-6645-B049-8FB3E01F50D1}" name="После плавания" totalsRowFunction="max" dataDxfId="12" totalsRowDxfId="11">
      <calculatedColumnFormula>D3</calculatedColumnFormula>
    </tableColumn>
    <tableColumn id="3" xr3:uid="{532A09C8-3DDF-4E4F-B528-D2D2AE674EDB}" name="После вело" totalsRowFunction="max" dataDxfId="10" totalsRowDxfId="9">
      <calculatedColumnFormula>SUM(V3,H3)</calculatedColumnFormula>
    </tableColumn>
    <tableColumn id="4" xr3:uid="{3D60E3A6-AF6E-2E49-B8AE-C76E46F56C7B}" name="После бега" totalsRowFunction="max" dataDxfId="8" totalsRowDxfId="7">
      <calculatedColumnFormula>SUM(W3,M3)</calculatedColumnFormula>
    </tableColumn>
    <tableColumn id="5" xr3:uid="{A601BDDD-C732-1A4C-A809-29AF7AB82E17}" name="Старт" dataDxfId="6" totalsRowDxfId="5">
      <calculatedColumnFormula>TIME(0,0,0)</calculatedColumnFormula>
    </tableColumn>
    <tableColumn id="6" xr3:uid="{C29AE966-4065-214C-9251-3FF974FA8D8C}" name="Плавание" dataDxfId="4">
      <calculatedColumnFormula>Table1[[#Totals],[После плавания]]-V3</calculatedColumnFormula>
    </tableColumn>
    <tableColumn id="7" xr3:uid="{1CE8759E-ECB4-F14D-A188-8660649835D3}" name="Вело">
      <calculatedColumnFormula>Table1[[#Totals],[После вело]]-W3</calculatedColumnFormula>
    </tableColumn>
    <tableColumn id="8" xr3:uid="{9B8A51A9-AFAA-6C46-8393-A2FB02E486CC}" name="Бег">
      <calculatedColumnFormula>Table1[[#Totals],[После бега]]-X3</calculatedColumnFormula>
    </tableColumn>
    <tableColumn id="9" xr3:uid="{61CFB59C-3121-4E48-8958-6D2BE54186FE}" name="Пол" totalsRowFunction="count" dataDxfId="3" totalsRowDxfId="2"/>
    <tableColumn id="11" xr3:uid="{3ADE3AB7-EB46-7847-8889-1DCFD972AA6F}" name="Транзитки" dataDxfId="1" totalsRowDxfId="0">
      <calculatedColumnFormula>TIME(0,40,0)-Table1[[#This Row],[После вело]]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71"/>
  <sheetViews>
    <sheetView tabSelected="1" zoomScale="57" zoomScaleNormal="7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U4" sqref="U4"/>
    </sheetView>
  </sheetViews>
  <sheetFormatPr baseColWidth="10" defaultColWidth="12.6640625" defaultRowHeight="15.75" customHeight="1" x14ac:dyDescent="0.15"/>
  <cols>
    <col min="1" max="1" width="7.83203125" customWidth="1"/>
    <col min="2" max="2" width="26.1640625" customWidth="1"/>
    <col min="3" max="3" width="10.83203125" customWidth="1"/>
    <col min="4" max="4" width="19.1640625" customWidth="1"/>
    <col min="5" max="5" width="13.6640625" customWidth="1"/>
    <col min="6" max="6" width="10.6640625" customWidth="1"/>
    <col min="7" max="7" width="10.83203125" customWidth="1"/>
    <col min="9" max="9" width="10.6640625" hidden="1" customWidth="1"/>
    <col min="10" max="10" width="16" customWidth="1"/>
    <col min="17" max="17" width="14.1640625" customWidth="1"/>
    <col min="18" max="18" width="12.6640625" hidden="1"/>
    <col min="21" max="21" width="18" customWidth="1"/>
    <col min="22" max="22" width="17.1640625" customWidth="1"/>
    <col min="23" max="23" width="13.1640625" customWidth="1"/>
    <col min="24" max="24" width="12.83203125" customWidth="1"/>
  </cols>
  <sheetData>
    <row r="1" spans="1:30" ht="20.25" customHeight="1" x14ac:dyDescent="0.15">
      <c r="A1" s="54" t="s">
        <v>0</v>
      </c>
      <c r="B1" s="56" t="s">
        <v>1</v>
      </c>
      <c r="C1" s="56" t="s">
        <v>2</v>
      </c>
      <c r="D1" s="1" t="s">
        <v>3</v>
      </c>
      <c r="E1" s="2" t="s">
        <v>4</v>
      </c>
      <c r="F1" s="58" t="s">
        <v>5</v>
      </c>
      <c r="G1" s="58" t="s">
        <v>6</v>
      </c>
      <c r="H1" s="1" t="s">
        <v>7</v>
      </c>
      <c r="I1" s="3"/>
      <c r="J1" s="4" t="s">
        <v>8</v>
      </c>
      <c r="K1" s="52" t="s">
        <v>9</v>
      </c>
      <c r="L1" s="52" t="s">
        <v>10</v>
      </c>
      <c r="M1" s="1" t="s">
        <v>11</v>
      </c>
      <c r="N1" s="2" t="s">
        <v>12</v>
      </c>
      <c r="O1" s="52" t="s">
        <v>13</v>
      </c>
      <c r="P1" s="52" t="s">
        <v>14</v>
      </c>
      <c r="Q1" s="59" t="s">
        <v>15</v>
      </c>
      <c r="R1" s="5"/>
      <c r="S1" s="58" t="s">
        <v>16</v>
      </c>
      <c r="T1" s="58" t="s">
        <v>17</v>
      </c>
    </row>
    <row r="2" spans="1:30" ht="19.5" customHeight="1" x14ac:dyDescent="0.15">
      <c r="A2" s="55"/>
      <c r="B2" s="57"/>
      <c r="C2" s="57"/>
      <c r="D2" s="6" t="s">
        <v>18</v>
      </c>
      <c r="E2" s="7" t="s">
        <v>19</v>
      </c>
      <c r="F2" s="53"/>
      <c r="G2" s="53"/>
      <c r="H2" s="6" t="s">
        <v>18</v>
      </c>
      <c r="I2" s="8"/>
      <c r="J2" s="9" t="s">
        <v>20</v>
      </c>
      <c r="K2" s="53"/>
      <c r="L2" s="53"/>
      <c r="M2" s="6" t="s">
        <v>18</v>
      </c>
      <c r="N2" s="7" t="s">
        <v>21</v>
      </c>
      <c r="O2" s="53"/>
      <c r="P2" s="53"/>
      <c r="Q2" s="53"/>
      <c r="R2" s="5"/>
      <c r="S2" s="53"/>
      <c r="T2" s="53"/>
      <c r="U2" s="40" t="s">
        <v>1</v>
      </c>
      <c r="V2" s="40" t="s">
        <v>184</v>
      </c>
      <c r="W2" s="40" t="s">
        <v>185</v>
      </c>
      <c r="X2" s="40" t="s">
        <v>186</v>
      </c>
      <c r="Y2" s="40" t="s">
        <v>187</v>
      </c>
      <c r="Z2" s="40" t="s">
        <v>188</v>
      </c>
      <c r="AA2" s="40" t="s">
        <v>189</v>
      </c>
      <c r="AB2" s="40" t="s">
        <v>190</v>
      </c>
      <c r="AC2" s="40" t="s">
        <v>191</v>
      </c>
      <c r="AD2" s="40" t="s">
        <v>201</v>
      </c>
    </row>
    <row r="3" spans="1:30" ht="13" x14ac:dyDescent="0.15">
      <c r="A3" s="10">
        <v>171</v>
      </c>
      <c r="B3" s="11" t="s">
        <v>22</v>
      </c>
      <c r="C3" s="12" t="s">
        <v>23</v>
      </c>
      <c r="D3" s="13">
        <v>2.5115740740740741E-3</v>
      </c>
      <c r="E3" s="14">
        <f t="shared" ref="E3:E160" si="0">IF(D3,D3/3,"")</f>
        <v>8.3719135802469132E-4</v>
      </c>
      <c r="F3" s="15">
        <f t="shared" ref="F3:F34" si="1">IF(D3, RANK(D3,$D$3:$D$118,1), "")</f>
        <v>2</v>
      </c>
      <c r="G3" s="15">
        <f ca="1">IFERROR(__xludf.DUMMYFUNCTION("IF( D3,RANK(D3, FILTER(D$3:D$128, C$3:C$128 = C3), 1),"""")"),2)</f>
        <v>2</v>
      </c>
      <c r="H3" s="13">
        <v>7.8703703703703696E-3</v>
      </c>
      <c r="I3" s="16">
        <f t="shared" ref="I3:I160" si="2">H3*24</f>
        <v>0.18888888888888888</v>
      </c>
      <c r="J3" s="17">
        <f t="shared" ref="J3:J160" si="3">IF(H3, 8/I3,"")</f>
        <v>42.352941176470587</v>
      </c>
      <c r="K3" s="18">
        <f t="shared" ref="K3:K34" si="4">IF(H3, RANK(H3,$H$3:$H$118,1), "")</f>
        <v>4</v>
      </c>
      <c r="L3" s="18">
        <f ca="1">IFERROR(__xludf.DUMMYFUNCTION("IF( H3,RANK(H3, FILTER(H$3:H$128, C$3:C$128 = C3), 1),"""")"),2)</f>
        <v>2</v>
      </c>
      <c r="M3" s="13">
        <v>5.0115740740740737E-3</v>
      </c>
      <c r="N3" s="19">
        <f t="shared" ref="N3:N160" si="5">IF(M3,M3/2,"")</f>
        <v>2.5057870370370368E-3</v>
      </c>
      <c r="O3" s="18">
        <f t="shared" ref="O3:O34" si="6">IF(M3, RANK(M3,$M$3:$M$118,1), "")</f>
        <v>4</v>
      </c>
      <c r="P3" s="18">
        <f ca="1">IFERROR(__xludf.DUMMYFUNCTION("IF( M3,RANK(M3, FILTER(M$3:M$128, C$3:C$128 = C3), 1),"""")"),3)</f>
        <v>3</v>
      </c>
      <c r="Q3" s="19">
        <f t="shared" ref="Q3:Q160" si="7">D3+H3+M3</f>
        <v>1.5393518518518518E-2</v>
      </c>
      <c r="R3" s="20">
        <f t="shared" ref="R3:R160" si="8">IF(M3,D3+H3+M3,"")</f>
        <v>1.5393518518518518E-2</v>
      </c>
      <c r="S3" s="21">
        <f t="shared" ref="S3:S34" si="9">IF(R3,RANK(R3,R$3:R$118,1),"")</f>
        <v>1</v>
      </c>
      <c r="T3" s="22" t="str">
        <f ca="1">IFERROR(__xludf.DUMMYFUNCTION("IF (S3 ,IF(S3 &gt; 3, RANK(Q3, FILTER(R$3:R$128, C$3:C$128 = C3,S$3:S$128 &gt; 3), 1),""""),"""")"),"")</f>
        <v/>
      </c>
      <c r="U3" s="41" t="str">
        <f t="shared" ref="U3:U34" si="10">B3</f>
        <v>Степанычев Алексей</v>
      </c>
      <c r="V3" s="43">
        <f t="shared" ref="V3:V34" si="11">D3</f>
        <v>2.5115740740740741E-3</v>
      </c>
      <c r="W3" s="43">
        <f t="shared" ref="W3:W34" si="12">SUM(V3,H3)</f>
        <v>1.0381944444444444E-2</v>
      </c>
      <c r="X3" s="43">
        <f t="shared" ref="X3:X34" si="13">SUM(W3,M3)</f>
        <v>1.5393518518518518E-2</v>
      </c>
      <c r="Y3" s="42">
        <f t="shared" ref="Y3:Y34" si="14">TIME(0,0,0)</f>
        <v>0</v>
      </c>
      <c r="Z3" s="43">
        <f>Table1[[#Totals],[После плавания]]-V3</f>
        <v>6.2037037037037043E-3</v>
      </c>
      <c r="AA3" s="43">
        <f>Table1[[#Totals],[После вело]]-W3</f>
        <v>9.8611111111111122E-3</v>
      </c>
      <c r="AB3" s="43">
        <f>Table1[[#Totals],[После бега]]-X3</f>
        <v>1.488425925925926E-2</v>
      </c>
      <c r="AC3" s="40" t="s">
        <v>192</v>
      </c>
      <c r="AD3" s="45">
        <f>TIME(0,40,0)-Table1[[#This Row],[После вело]]</f>
        <v>1.7395833333333333E-2</v>
      </c>
    </row>
    <row r="4" spans="1:30" ht="13" x14ac:dyDescent="0.15">
      <c r="A4" s="10">
        <v>164</v>
      </c>
      <c r="B4" s="11" t="s">
        <v>24</v>
      </c>
      <c r="C4" s="12" t="s">
        <v>23</v>
      </c>
      <c r="D4" s="13">
        <v>2.6041666666666665E-3</v>
      </c>
      <c r="E4" s="14">
        <f t="shared" si="0"/>
        <v>8.6805555555555551E-4</v>
      </c>
      <c r="F4" s="15">
        <f t="shared" si="1"/>
        <v>3</v>
      </c>
      <c r="G4" s="15">
        <f ca="1">IFERROR(__xludf.DUMMYFUNCTION("IF( D4,RANK(D4, FILTER(D$3:D$128, C$3:C$128 = C4), 1),"""")"),3)</f>
        <v>3</v>
      </c>
      <c r="H4" s="13">
        <v>8.1597222222222227E-3</v>
      </c>
      <c r="I4" s="16">
        <f t="shared" si="2"/>
        <v>0.19583333333333336</v>
      </c>
      <c r="J4" s="17">
        <f t="shared" si="3"/>
        <v>40.851063829787229</v>
      </c>
      <c r="K4" s="18">
        <f t="shared" si="4"/>
        <v>10</v>
      </c>
      <c r="L4" s="18">
        <f ca="1">IFERROR(__xludf.DUMMYFUNCTION("IF( H4,RANK(H4, FILTER(H$3:H$128, C$3:C$128 = C4), 1),"""")"),5)</f>
        <v>5</v>
      </c>
      <c r="M4" s="13">
        <v>5.1967592592592595E-3</v>
      </c>
      <c r="N4" s="19">
        <f t="shared" si="5"/>
        <v>2.5983796296296297E-3</v>
      </c>
      <c r="O4" s="18">
        <f t="shared" si="6"/>
        <v>9</v>
      </c>
      <c r="P4" s="18">
        <f ca="1">IFERROR(__xludf.DUMMYFUNCTION("IF( M4,RANK(M4, FILTER(M$3:M$128, C$3:C$128 = C4), 1),"""")"),7)</f>
        <v>7</v>
      </c>
      <c r="Q4" s="19">
        <f t="shared" si="7"/>
        <v>1.5960648148148147E-2</v>
      </c>
      <c r="R4" s="20">
        <f t="shared" si="8"/>
        <v>1.5960648148148147E-2</v>
      </c>
      <c r="S4" s="21">
        <f t="shared" si="9"/>
        <v>2</v>
      </c>
      <c r="T4" s="22" t="str">
        <f ca="1">IFERROR(__xludf.DUMMYFUNCTION("IF (S4 ,IF(S4 &gt; 3, RANK(Q4, FILTER(R$3:R$128, C$3:C$128 = C4,S$3:S$128 &gt; 3), 1),""""),"""")"),"")</f>
        <v/>
      </c>
      <c r="U4" s="41" t="str">
        <f t="shared" si="10"/>
        <v>Харитонов Никита</v>
      </c>
      <c r="V4" s="43">
        <f t="shared" si="11"/>
        <v>2.6041666666666665E-3</v>
      </c>
      <c r="W4" s="43">
        <f t="shared" si="12"/>
        <v>1.0763888888888889E-2</v>
      </c>
      <c r="X4" s="43">
        <f t="shared" si="13"/>
        <v>1.5960648148148147E-2</v>
      </c>
      <c r="Y4" s="42">
        <f t="shared" si="14"/>
        <v>0</v>
      </c>
      <c r="Z4" s="43">
        <f>Table1[[#Totals],[После плавания]]-V4</f>
        <v>6.1111111111111123E-3</v>
      </c>
      <c r="AA4" s="43">
        <f>Table1[[#Totals],[После вело]]-W4</f>
        <v>9.479166666666667E-3</v>
      </c>
      <c r="AB4" s="43">
        <f>Table1[[#Totals],[После бега]]-X4</f>
        <v>1.4317129629629631E-2</v>
      </c>
      <c r="AC4" s="40" t="s">
        <v>192</v>
      </c>
      <c r="AD4" s="45">
        <f>TIME(0,40,0)-Table1[[#This Row],[После вело]]</f>
        <v>1.7013888888888887E-2</v>
      </c>
    </row>
    <row r="5" spans="1:30" ht="13" x14ac:dyDescent="0.15">
      <c r="A5" s="10">
        <v>46</v>
      </c>
      <c r="B5" s="11" t="s">
        <v>25</v>
      </c>
      <c r="C5" s="12" t="s">
        <v>26</v>
      </c>
      <c r="D5" s="13">
        <v>2.8703703703703703E-3</v>
      </c>
      <c r="E5" s="14">
        <f t="shared" si="0"/>
        <v>9.5679012345679015E-4</v>
      </c>
      <c r="F5" s="15">
        <f t="shared" si="1"/>
        <v>9</v>
      </c>
      <c r="G5" s="15">
        <f ca="1">IFERROR(__xludf.DUMMYFUNCTION("IF( D5,RANK(D5, FILTER(D$3:D$128, C$3:C$128 = C5), 1),"""")"),4)</f>
        <v>4</v>
      </c>
      <c r="H5" s="13">
        <v>7.6504629629629631E-3</v>
      </c>
      <c r="I5" s="16">
        <f t="shared" si="2"/>
        <v>0.18361111111111111</v>
      </c>
      <c r="J5" s="17">
        <f t="shared" si="3"/>
        <v>43.570347957639939</v>
      </c>
      <c r="K5" s="18">
        <f t="shared" si="4"/>
        <v>1</v>
      </c>
      <c r="L5" s="18">
        <f ca="1">IFERROR(__xludf.DUMMYFUNCTION("IF( H5,RANK(H5, FILTER(H$3:H$128, C$3:C$128 = C5), 1),"""")"),1)</f>
        <v>1</v>
      </c>
      <c r="M5" s="13">
        <v>5.5671296296296293E-3</v>
      </c>
      <c r="N5" s="19">
        <f t="shared" si="5"/>
        <v>2.7835648148148147E-3</v>
      </c>
      <c r="O5" s="18">
        <f t="shared" si="6"/>
        <v>34</v>
      </c>
      <c r="P5" s="18">
        <f ca="1">IFERROR(__xludf.DUMMYFUNCTION("IF( M5,RANK(M5, FILTER(M$3:M$128, C$3:C$128 = C5), 1),"""")"),16)</f>
        <v>16</v>
      </c>
      <c r="Q5" s="19">
        <f t="shared" si="7"/>
        <v>1.6087962962962964E-2</v>
      </c>
      <c r="R5" s="20">
        <f t="shared" si="8"/>
        <v>1.6087962962962964E-2</v>
      </c>
      <c r="S5" s="21">
        <f t="shared" si="9"/>
        <v>3</v>
      </c>
      <c r="T5" s="22" t="str">
        <f ca="1">IFERROR(__xludf.DUMMYFUNCTION("IF (S5 ,IF(S5 &gt; 3, RANK(Q5, FILTER(R$3:R$128, C$3:C$128 = C5,S$3:S$128 &gt; 3), 1),""""),"""")"),"")</f>
        <v/>
      </c>
      <c r="U5" s="41" t="str">
        <f t="shared" si="10"/>
        <v>Сериков Егор</v>
      </c>
      <c r="V5" s="43">
        <f t="shared" si="11"/>
        <v>2.8703703703703703E-3</v>
      </c>
      <c r="W5" s="43">
        <f t="shared" si="12"/>
        <v>1.0520833333333333E-2</v>
      </c>
      <c r="X5" s="43">
        <f t="shared" si="13"/>
        <v>1.6087962962962964E-2</v>
      </c>
      <c r="Y5" s="42">
        <f t="shared" si="14"/>
        <v>0</v>
      </c>
      <c r="Z5" s="43">
        <f>Table1[[#Totals],[После плавания]]-V5</f>
        <v>5.844907407407408E-3</v>
      </c>
      <c r="AA5" s="43">
        <f>Table1[[#Totals],[После вело]]-W5</f>
        <v>9.7222222222222224E-3</v>
      </c>
      <c r="AB5" s="43">
        <f>Table1[[#Totals],[После бега]]-X5</f>
        <v>1.4189814814814815E-2</v>
      </c>
      <c r="AC5" s="40" t="s">
        <v>192</v>
      </c>
      <c r="AD5" s="45">
        <f>TIME(0,40,0)-Table1[[#This Row],[После вело]]</f>
        <v>1.7256944444444443E-2</v>
      </c>
    </row>
    <row r="6" spans="1:30" ht="13" x14ac:dyDescent="0.15">
      <c r="A6" s="10">
        <v>161</v>
      </c>
      <c r="B6" s="11" t="s">
        <v>27</v>
      </c>
      <c r="C6" s="12" t="s">
        <v>26</v>
      </c>
      <c r="D6" s="13">
        <v>2.650462962962963E-3</v>
      </c>
      <c r="E6" s="14">
        <f t="shared" si="0"/>
        <v>8.8348765432098766E-4</v>
      </c>
      <c r="F6" s="15">
        <f t="shared" si="1"/>
        <v>5</v>
      </c>
      <c r="G6" s="15">
        <f ca="1">IFERROR(__xludf.DUMMYFUNCTION("IF( D6,RANK(D6, FILTER(D$3:D$128, C$3:C$128 = C6), 1),"""")"),1)</f>
        <v>1</v>
      </c>
      <c r="H6" s="13">
        <v>8.2291666666666659E-3</v>
      </c>
      <c r="I6" s="16">
        <f t="shared" si="2"/>
        <v>0.19749999999999998</v>
      </c>
      <c r="J6" s="17">
        <f t="shared" si="3"/>
        <v>40.506329113924053</v>
      </c>
      <c r="K6" s="18">
        <f t="shared" si="4"/>
        <v>13</v>
      </c>
      <c r="L6" s="18">
        <f ca="1">IFERROR(__xludf.DUMMYFUNCTION("IF( H6,RANK(H6, FILTER(H$3:H$128, C$3:C$128 = C6), 1),"""")"),6)</f>
        <v>6</v>
      </c>
      <c r="M6" s="13">
        <v>5.3125000000000004E-3</v>
      </c>
      <c r="N6" s="19">
        <f t="shared" si="5"/>
        <v>2.6562500000000002E-3</v>
      </c>
      <c r="O6" s="18">
        <f t="shared" si="6"/>
        <v>13</v>
      </c>
      <c r="P6" s="18">
        <f ca="1">IFERROR(__xludf.DUMMYFUNCTION("IF( M6,RANK(M6, FILTER(M$3:M$128, C$3:C$128 = C6), 1),"""")"),6)</f>
        <v>6</v>
      </c>
      <c r="Q6" s="19">
        <f t="shared" si="7"/>
        <v>1.6192129629629629E-2</v>
      </c>
      <c r="R6" s="20">
        <f t="shared" si="8"/>
        <v>1.6192129629629629E-2</v>
      </c>
      <c r="S6" s="21">
        <f t="shared" si="9"/>
        <v>4</v>
      </c>
      <c r="T6" s="22">
        <f ca="1">IFERROR(__xludf.DUMMYFUNCTION("IF (S6 ,IF(S6 &gt; 3, RANK(Q6, FILTER(R$3:R$128, C$3:C$128 = C6,S$3:S$128 &gt; 3), 1),""""),"""")"),1)</f>
        <v>1</v>
      </c>
      <c r="U6" s="41" t="str">
        <f t="shared" si="10"/>
        <v>Маркович Александр</v>
      </c>
      <c r="V6" s="43">
        <f t="shared" si="11"/>
        <v>2.650462962962963E-3</v>
      </c>
      <c r="W6" s="43">
        <f t="shared" si="12"/>
        <v>1.0879629629629628E-2</v>
      </c>
      <c r="X6" s="43">
        <f t="shared" si="13"/>
        <v>1.6192129629629629E-2</v>
      </c>
      <c r="Y6" s="42">
        <f t="shared" si="14"/>
        <v>0</v>
      </c>
      <c r="Z6" s="43">
        <f>Table1[[#Totals],[После плавания]]-V6</f>
        <v>6.0648148148148154E-3</v>
      </c>
      <c r="AA6" s="43">
        <f>Table1[[#Totals],[После вело]]-W6</f>
        <v>9.3634259259259278E-3</v>
      </c>
      <c r="AB6" s="43">
        <f>Table1[[#Totals],[После бега]]-X6</f>
        <v>1.4085648148148149E-2</v>
      </c>
      <c r="AC6" s="40" t="s">
        <v>192</v>
      </c>
      <c r="AD6" s="45">
        <f>TIME(0,40,0)-Table1[[#This Row],[После вело]]</f>
        <v>1.6898148148148148E-2</v>
      </c>
    </row>
    <row r="7" spans="1:30" ht="13" x14ac:dyDescent="0.15">
      <c r="A7" s="10">
        <v>143</v>
      </c>
      <c r="B7" s="11" t="s">
        <v>28</v>
      </c>
      <c r="C7" s="12" t="s">
        <v>26</v>
      </c>
      <c r="D7" s="13">
        <v>2.650462962962963E-3</v>
      </c>
      <c r="E7" s="14">
        <f t="shared" si="0"/>
        <v>8.8348765432098766E-4</v>
      </c>
      <c r="F7" s="15">
        <f t="shared" si="1"/>
        <v>5</v>
      </c>
      <c r="G7" s="15">
        <f ca="1">IFERROR(__xludf.DUMMYFUNCTION("IF( D7,RANK(D7, FILTER(D$3:D$128, C$3:C$128 = C7), 1),"""")"),1)</f>
        <v>1</v>
      </c>
      <c r="H7" s="13">
        <v>8.2407407407407412E-3</v>
      </c>
      <c r="I7" s="16">
        <f t="shared" si="2"/>
        <v>0.19777777777777777</v>
      </c>
      <c r="J7" s="17">
        <f t="shared" si="3"/>
        <v>40.449438202247194</v>
      </c>
      <c r="K7" s="18">
        <f t="shared" si="4"/>
        <v>14</v>
      </c>
      <c r="L7" s="18">
        <f ca="1">IFERROR(__xludf.DUMMYFUNCTION("IF( H7,RANK(H7, FILTER(H$3:H$128, C$3:C$128 = C7), 1),"""")"),7)</f>
        <v>7</v>
      </c>
      <c r="M7" s="13">
        <v>5.37037037037037E-3</v>
      </c>
      <c r="N7" s="19">
        <f t="shared" si="5"/>
        <v>2.685185185185185E-3</v>
      </c>
      <c r="O7" s="18">
        <f t="shared" si="6"/>
        <v>18</v>
      </c>
      <c r="P7" s="18">
        <f ca="1">IFERROR(__xludf.DUMMYFUNCTION("IF( M7,RANK(M7, FILTER(M$3:M$128, C$3:C$128 = C7), 1),"""")"),11)</f>
        <v>11</v>
      </c>
      <c r="Q7" s="19">
        <f t="shared" si="7"/>
        <v>1.6261574074074074E-2</v>
      </c>
      <c r="R7" s="20">
        <f t="shared" si="8"/>
        <v>1.6261574074074074E-2</v>
      </c>
      <c r="S7" s="21">
        <f t="shared" si="9"/>
        <v>5</v>
      </c>
      <c r="T7" s="22">
        <f ca="1">IFERROR(__xludf.DUMMYFUNCTION("IF (S7 ,IF(S7 &gt; 3, RANK(Q7, FILTER(R$3:R$128, C$3:C$128 = C7,S$3:S$128 &gt; 3), 1),""""),"""")"),2)</f>
        <v>2</v>
      </c>
      <c r="U7" s="41" t="str">
        <f t="shared" si="10"/>
        <v>Ракович Андрей</v>
      </c>
      <c r="V7" s="43">
        <f t="shared" si="11"/>
        <v>2.650462962962963E-3</v>
      </c>
      <c r="W7" s="43">
        <f t="shared" si="12"/>
        <v>1.0891203703703705E-2</v>
      </c>
      <c r="X7" s="43">
        <f t="shared" si="13"/>
        <v>1.6261574074074074E-2</v>
      </c>
      <c r="Y7" s="42">
        <f t="shared" si="14"/>
        <v>0</v>
      </c>
      <c r="Z7" s="43">
        <f>Table1[[#Totals],[После плавания]]-V7</f>
        <v>6.0648148148148154E-3</v>
      </c>
      <c r="AA7" s="43">
        <f>Table1[[#Totals],[После вело]]-W7</f>
        <v>9.3518518518518508E-3</v>
      </c>
      <c r="AB7" s="43">
        <f>Table1[[#Totals],[После бега]]-X7</f>
        <v>1.4016203703703704E-2</v>
      </c>
      <c r="AC7" s="40" t="s">
        <v>192</v>
      </c>
      <c r="AD7" s="45">
        <f>TIME(0,40,0)-Table1[[#This Row],[После вело]]</f>
        <v>1.6886574074074071E-2</v>
      </c>
    </row>
    <row r="8" spans="1:30" ht="13" x14ac:dyDescent="0.15">
      <c r="A8" s="10">
        <v>166</v>
      </c>
      <c r="B8" s="11" t="s">
        <v>29</v>
      </c>
      <c r="C8" s="12" t="s">
        <v>26</v>
      </c>
      <c r="D8" s="13">
        <v>3.2060185185185186E-3</v>
      </c>
      <c r="E8" s="14">
        <f t="shared" si="0"/>
        <v>1.0686728395061728E-3</v>
      </c>
      <c r="F8" s="15">
        <f t="shared" si="1"/>
        <v>23</v>
      </c>
      <c r="G8" s="15">
        <f ca="1">IFERROR(__xludf.DUMMYFUNCTION("IF( D8,RANK(D8, FILTER(D$3:D$128, C$3:C$128 = C8), 1),"""")"),9)</f>
        <v>9</v>
      </c>
      <c r="H8" s="13">
        <v>7.7546296296296295E-3</v>
      </c>
      <c r="I8" s="16">
        <f t="shared" si="2"/>
        <v>0.18611111111111112</v>
      </c>
      <c r="J8" s="17">
        <f t="shared" si="3"/>
        <v>42.985074626865668</v>
      </c>
      <c r="K8" s="18">
        <f t="shared" si="4"/>
        <v>3</v>
      </c>
      <c r="L8" s="18">
        <f ca="1">IFERROR(__xludf.DUMMYFUNCTION("IF( H8,RANK(H8, FILTER(H$3:H$128, C$3:C$128 = C8), 1),"""")"),2)</f>
        <v>2</v>
      </c>
      <c r="M8" s="13">
        <v>5.3125000000000004E-3</v>
      </c>
      <c r="N8" s="19">
        <f t="shared" si="5"/>
        <v>2.6562500000000002E-3</v>
      </c>
      <c r="O8" s="18">
        <f t="shared" si="6"/>
        <v>13</v>
      </c>
      <c r="P8" s="18">
        <f ca="1">IFERROR(__xludf.DUMMYFUNCTION("IF( M8,RANK(M8, FILTER(M$3:M$128, C$3:C$128 = C8), 1),"""")"),6)</f>
        <v>6</v>
      </c>
      <c r="Q8" s="19">
        <f t="shared" si="7"/>
        <v>1.6273148148148148E-2</v>
      </c>
      <c r="R8" s="20">
        <f t="shared" si="8"/>
        <v>1.6273148148148148E-2</v>
      </c>
      <c r="S8" s="21">
        <f t="shared" si="9"/>
        <v>6</v>
      </c>
      <c r="T8" s="22">
        <f ca="1">IFERROR(__xludf.DUMMYFUNCTION("IF (S8 ,IF(S8 &gt; 3, RANK(Q8, FILTER(R$3:R$128, C$3:C$128 = C8,S$3:S$128 &gt; 3), 1),""""),"""")"),3)</f>
        <v>3</v>
      </c>
      <c r="U8" s="41" t="str">
        <f t="shared" si="10"/>
        <v>Шинкарев Алексей</v>
      </c>
      <c r="V8" s="43">
        <f t="shared" si="11"/>
        <v>3.2060185185185186E-3</v>
      </c>
      <c r="W8" s="43">
        <f t="shared" si="12"/>
        <v>1.0960648148148148E-2</v>
      </c>
      <c r="X8" s="43">
        <f t="shared" si="13"/>
        <v>1.6273148148148148E-2</v>
      </c>
      <c r="Y8" s="42">
        <f t="shared" si="14"/>
        <v>0</v>
      </c>
      <c r="Z8" s="43">
        <f>Table1[[#Totals],[После плавания]]-V8</f>
        <v>5.5092592592592598E-3</v>
      </c>
      <c r="AA8" s="43">
        <f>Table1[[#Totals],[После вело]]-W8</f>
        <v>9.2824074074074076E-3</v>
      </c>
      <c r="AB8" s="43">
        <f>Table1[[#Totals],[После бега]]-X8</f>
        <v>1.4004629629629631E-2</v>
      </c>
      <c r="AC8" s="40" t="s">
        <v>192</v>
      </c>
      <c r="AD8" s="45">
        <f>TIME(0,40,0)-Table1[[#This Row],[После вело]]</f>
        <v>1.6817129629629626E-2</v>
      </c>
    </row>
    <row r="9" spans="1:30" ht="13" x14ac:dyDescent="0.15">
      <c r="A9" s="10">
        <v>169</v>
      </c>
      <c r="B9" s="11" t="s">
        <v>30</v>
      </c>
      <c r="C9" s="12" t="s">
        <v>23</v>
      </c>
      <c r="D9" s="13">
        <v>3.1134259259259257E-3</v>
      </c>
      <c r="E9" s="14">
        <f t="shared" si="0"/>
        <v>1.0378086419753085E-3</v>
      </c>
      <c r="F9" s="15">
        <f t="shared" si="1"/>
        <v>18</v>
      </c>
      <c r="G9" s="15">
        <f ca="1">IFERROR(__xludf.DUMMYFUNCTION("IF( D9,RANK(D9, FILTER(D$3:D$128, C$3:C$128 = C9), 1),"""")"),14)</f>
        <v>14</v>
      </c>
      <c r="H9" s="13">
        <v>8.3449074074074068E-3</v>
      </c>
      <c r="I9" s="16">
        <f t="shared" si="2"/>
        <v>0.20027777777777778</v>
      </c>
      <c r="J9" s="17">
        <f t="shared" si="3"/>
        <v>39.94452149791956</v>
      </c>
      <c r="K9" s="18">
        <f t="shared" si="4"/>
        <v>17</v>
      </c>
      <c r="L9" s="18">
        <f ca="1">IFERROR(__xludf.DUMMYFUNCTION("IF( H9,RANK(H9, FILTER(H$3:H$128, C$3:C$128 = C9), 1),"""")"),9)</f>
        <v>9</v>
      </c>
      <c r="M9" s="13">
        <v>4.8148148148148152E-3</v>
      </c>
      <c r="N9" s="19">
        <f t="shared" si="5"/>
        <v>2.4074074074074076E-3</v>
      </c>
      <c r="O9" s="18">
        <f t="shared" si="6"/>
        <v>2</v>
      </c>
      <c r="P9" s="18">
        <f ca="1">IFERROR(__xludf.DUMMYFUNCTION("IF( M9,RANK(M9, FILTER(M$3:M$128, C$3:C$128 = C9), 1),"""")"),2)</f>
        <v>2</v>
      </c>
      <c r="Q9" s="19">
        <f t="shared" si="7"/>
        <v>1.6273148148148148E-2</v>
      </c>
      <c r="R9" s="20">
        <f t="shared" si="8"/>
        <v>1.6273148148148148E-2</v>
      </c>
      <c r="S9" s="21">
        <f t="shared" si="9"/>
        <v>6</v>
      </c>
      <c r="T9" s="22">
        <f ca="1">IFERROR(__xludf.DUMMYFUNCTION("IF (S9 ,IF(S9 &gt; 3, RANK(Q9, FILTER(R$3:R$128, C$3:C$128 = C9,S$3:S$128 &gt; 3), 1),""""),"""")"),1)</f>
        <v>1</v>
      </c>
      <c r="U9" s="41" t="str">
        <f t="shared" si="10"/>
        <v>Гуштын Никита</v>
      </c>
      <c r="V9" s="43">
        <f t="shared" si="11"/>
        <v>3.1134259259259257E-3</v>
      </c>
      <c r="W9" s="43">
        <f t="shared" si="12"/>
        <v>1.1458333333333333E-2</v>
      </c>
      <c r="X9" s="43">
        <f t="shared" si="13"/>
        <v>1.6273148148148148E-2</v>
      </c>
      <c r="Y9" s="42">
        <f t="shared" si="14"/>
        <v>0</v>
      </c>
      <c r="Z9" s="43">
        <f>Table1[[#Totals],[После плавания]]-V9</f>
        <v>5.6018518518518527E-3</v>
      </c>
      <c r="AA9" s="43">
        <f>Table1[[#Totals],[После вело]]-W9</f>
        <v>8.7847222222222233E-3</v>
      </c>
      <c r="AB9" s="43">
        <f>Table1[[#Totals],[После бега]]-X9</f>
        <v>1.4004629629629631E-2</v>
      </c>
      <c r="AC9" s="40" t="s">
        <v>192</v>
      </c>
      <c r="AD9" s="45">
        <f>TIME(0,40,0)-Table1[[#This Row],[После вело]]</f>
        <v>1.6319444444444442E-2</v>
      </c>
    </row>
    <row r="10" spans="1:30" ht="13" x14ac:dyDescent="0.15">
      <c r="A10" s="10">
        <v>163</v>
      </c>
      <c r="B10" s="11" t="s">
        <v>31</v>
      </c>
      <c r="C10" s="12" t="s">
        <v>23</v>
      </c>
      <c r="D10" s="13">
        <v>3.2407407407407406E-3</v>
      </c>
      <c r="E10" s="14">
        <f t="shared" si="0"/>
        <v>1.0802469135802468E-3</v>
      </c>
      <c r="F10" s="15">
        <f t="shared" si="1"/>
        <v>27</v>
      </c>
      <c r="G10" s="15">
        <f ca="1">IFERROR(__xludf.DUMMYFUNCTION("IF( D10,RANK(D10, FILTER(D$3:D$128, C$3:C$128 = C10), 1),"""")"),17)</f>
        <v>17</v>
      </c>
      <c r="H10" s="13">
        <v>7.6851851851851855E-3</v>
      </c>
      <c r="I10" s="16">
        <f t="shared" si="2"/>
        <v>0.18444444444444447</v>
      </c>
      <c r="J10" s="17">
        <f t="shared" si="3"/>
        <v>43.373493975903607</v>
      </c>
      <c r="K10" s="18">
        <f t="shared" si="4"/>
        <v>2</v>
      </c>
      <c r="L10" s="18">
        <f ca="1">IFERROR(__xludf.DUMMYFUNCTION("IF( H10,RANK(H10, FILTER(H$3:H$128, C$3:C$128 = C10), 1),"""")"),1)</f>
        <v>1</v>
      </c>
      <c r="M10" s="13">
        <v>5.37037037037037E-3</v>
      </c>
      <c r="N10" s="19">
        <f t="shared" si="5"/>
        <v>2.685185185185185E-3</v>
      </c>
      <c r="O10" s="18">
        <f t="shared" si="6"/>
        <v>18</v>
      </c>
      <c r="P10" s="18">
        <f ca="1">IFERROR(__xludf.DUMMYFUNCTION("IF( M10,RANK(M10, FILTER(M$3:M$128, C$3:C$128 = C10), 1),"""")"),8)</f>
        <v>8</v>
      </c>
      <c r="Q10" s="19">
        <f t="shared" si="7"/>
        <v>1.6296296296296295E-2</v>
      </c>
      <c r="R10" s="20">
        <f t="shared" si="8"/>
        <v>1.6296296296296295E-2</v>
      </c>
      <c r="S10" s="21">
        <f t="shared" si="9"/>
        <v>8</v>
      </c>
      <c r="T10" s="22">
        <f ca="1">IFERROR(__xludf.DUMMYFUNCTION("IF (S10 ,IF(S10 &gt; 3, RANK(Q10, FILTER(R$3:R$128, C$3:C$128 = C10,S$3:S$128 &gt; 3), 1),""""),"""")"),2)</f>
        <v>2</v>
      </c>
      <c r="U10" s="41" t="str">
        <f t="shared" si="10"/>
        <v>Krech Evgeniy</v>
      </c>
      <c r="V10" s="43">
        <f t="shared" si="11"/>
        <v>3.2407407407407406E-3</v>
      </c>
      <c r="W10" s="43">
        <f t="shared" si="12"/>
        <v>1.0925925925925926E-2</v>
      </c>
      <c r="X10" s="43">
        <f t="shared" si="13"/>
        <v>1.6296296296296295E-2</v>
      </c>
      <c r="Y10" s="42">
        <f t="shared" si="14"/>
        <v>0</v>
      </c>
      <c r="Z10" s="43">
        <f>Table1[[#Totals],[После плавания]]-V10</f>
        <v>5.4745370370370382E-3</v>
      </c>
      <c r="AA10" s="43">
        <f>Table1[[#Totals],[После вело]]-W10</f>
        <v>9.3171296296296301E-3</v>
      </c>
      <c r="AB10" s="43">
        <f>Table1[[#Totals],[После бега]]-X10</f>
        <v>1.3981481481481484E-2</v>
      </c>
      <c r="AC10" s="40" t="s">
        <v>192</v>
      </c>
      <c r="AD10" s="45">
        <f>TIME(0,40,0)-Table1[[#This Row],[После вело]]</f>
        <v>1.6851851851851851E-2</v>
      </c>
    </row>
    <row r="11" spans="1:30" ht="13" x14ac:dyDescent="0.15">
      <c r="A11" s="10">
        <v>157</v>
      </c>
      <c r="B11" s="11" t="s">
        <v>32</v>
      </c>
      <c r="C11" s="12" t="s">
        <v>26</v>
      </c>
      <c r="D11" s="13">
        <v>2.8240740740740739E-3</v>
      </c>
      <c r="E11" s="14">
        <f t="shared" si="0"/>
        <v>9.41358024691358E-4</v>
      </c>
      <c r="F11" s="15">
        <f t="shared" si="1"/>
        <v>8</v>
      </c>
      <c r="G11" s="15">
        <f ca="1">IFERROR(__xludf.DUMMYFUNCTION("IF( D11,RANK(D11, FILTER(D$3:D$128, C$3:C$128 = C11), 1),"""")"),3)</f>
        <v>3</v>
      </c>
      <c r="H11" s="13">
        <v>8.4606481481481477E-3</v>
      </c>
      <c r="I11" s="16">
        <f t="shared" si="2"/>
        <v>0.20305555555555554</v>
      </c>
      <c r="J11" s="17">
        <f t="shared" si="3"/>
        <v>39.398084815321482</v>
      </c>
      <c r="K11" s="18">
        <f t="shared" si="4"/>
        <v>26</v>
      </c>
      <c r="L11" s="18">
        <f ca="1">IFERROR(__xludf.DUMMYFUNCTION("IF( H11,RANK(H11, FILTER(H$3:H$128, C$3:C$128 = C11), 1),"""")"),14)</f>
        <v>14</v>
      </c>
      <c r="M11" s="13">
        <v>5.138888888888889E-3</v>
      </c>
      <c r="N11" s="19">
        <f t="shared" si="5"/>
        <v>2.5694444444444445E-3</v>
      </c>
      <c r="O11" s="18">
        <f t="shared" si="6"/>
        <v>8</v>
      </c>
      <c r="P11" s="18">
        <f ca="1">IFERROR(__xludf.DUMMYFUNCTION("IF( M11,RANK(M11, FILTER(M$3:M$128, C$3:C$128 = C11), 1),"""")"),2)</f>
        <v>2</v>
      </c>
      <c r="Q11" s="19">
        <f t="shared" si="7"/>
        <v>1.6423611111111111E-2</v>
      </c>
      <c r="R11" s="20">
        <f t="shared" si="8"/>
        <v>1.6423611111111111E-2</v>
      </c>
      <c r="S11" s="21">
        <f t="shared" si="9"/>
        <v>9</v>
      </c>
      <c r="T11" s="22">
        <f ca="1">IFERROR(__xludf.DUMMYFUNCTION("IF (S11 ,IF(S11 &gt; 3, RANK(Q11, FILTER(R$3:R$128, C$3:C$128 = C11,S$3:S$128 &gt; 3), 1),""""),"""")"),4)</f>
        <v>4</v>
      </c>
      <c r="U11" s="41" t="str">
        <f t="shared" si="10"/>
        <v>Жлобо Виктор</v>
      </c>
      <c r="V11" s="43">
        <f t="shared" si="11"/>
        <v>2.8240740740740739E-3</v>
      </c>
      <c r="W11" s="43">
        <f t="shared" si="12"/>
        <v>1.1284722222222222E-2</v>
      </c>
      <c r="X11" s="43">
        <f t="shared" si="13"/>
        <v>1.6423611111111111E-2</v>
      </c>
      <c r="Y11" s="42">
        <f t="shared" si="14"/>
        <v>0</v>
      </c>
      <c r="Z11" s="43">
        <f>Table1[[#Totals],[После плавания]]-V11</f>
        <v>5.8912037037037041E-3</v>
      </c>
      <c r="AA11" s="43">
        <f>Table1[[#Totals],[После вело]]-W11</f>
        <v>8.9583333333333338E-3</v>
      </c>
      <c r="AB11" s="43">
        <f>Table1[[#Totals],[После бега]]-X11</f>
        <v>1.3854166666666667E-2</v>
      </c>
      <c r="AC11" s="40" t="s">
        <v>192</v>
      </c>
      <c r="AD11" s="45">
        <f>TIME(0,40,0)-Table1[[#This Row],[После вело]]</f>
        <v>1.6493055555555552E-2</v>
      </c>
    </row>
    <row r="12" spans="1:30" ht="13" x14ac:dyDescent="0.15">
      <c r="A12" s="10">
        <v>139</v>
      </c>
      <c r="B12" s="11" t="s">
        <v>33</v>
      </c>
      <c r="C12" s="12" t="s">
        <v>23</v>
      </c>
      <c r="D12" s="13">
        <v>2.9050925925925928E-3</v>
      </c>
      <c r="E12" s="14">
        <f t="shared" si="0"/>
        <v>9.6836419753086427E-4</v>
      </c>
      <c r="F12" s="15">
        <f t="shared" si="1"/>
        <v>10</v>
      </c>
      <c r="G12" s="15">
        <f ca="1">IFERROR(__xludf.DUMMYFUNCTION("IF( D12,RANK(D12, FILTER(D$3:D$128, C$3:C$128 = C12), 1),"""")"),6)</f>
        <v>6</v>
      </c>
      <c r="H12" s="13">
        <v>8.1365740740740738E-3</v>
      </c>
      <c r="I12" s="16">
        <f t="shared" si="2"/>
        <v>0.19527777777777777</v>
      </c>
      <c r="J12" s="17">
        <f t="shared" si="3"/>
        <v>40.96728307254623</v>
      </c>
      <c r="K12" s="18">
        <f t="shared" si="4"/>
        <v>8</v>
      </c>
      <c r="L12" s="18">
        <f ca="1">IFERROR(__xludf.DUMMYFUNCTION("IF( H12,RANK(H12, FILTER(H$3:H$128, C$3:C$128 = C12), 1),"""")"),3)</f>
        <v>3</v>
      </c>
      <c r="M12" s="13">
        <v>5.4398148148148149E-3</v>
      </c>
      <c r="N12" s="19">
        <f t="shared" si="5"/>
        <v>2.7199074074074074E-3</v>
      </c>
      <c r="O12" s="18">
        <f t="shared" si="6"/>
        <v>29</v>
      </c>
      <c r="P12" s="18">
        <f ca="1">IFERROR(__xludf.DUMMYFUNCTION("IF( M12,RANK(M12, FILTER(M$3:M$128, C$3:C$128 = C12), 1),"""")"),14)</f>
        <v>14</v>
      </c>
      <c r="Q12" s="19">
        <f t="shared" si="7"/>
        <v>1.6481481481481482E-2</v>
      </c>
      <c r="R12" s="20">
        <f t="shared" si="8"/>
        <v>1.6481481481481482E-2</v>
      </c>
      <c r="S12" s="21">
        <f t="shared" si="9"/>
        <v>10</v>
      </c>
      <c r="T12" s="22">
        <f ca="1">IFERROR(__xludf.DUMMYFUNCTION("IF (S12 ,IF(S12 &gt; 3, RANK(Q12, FILTER(R$3:R$128, C$3:C$128 = C12,S$3:S$128 &gt; 3), 1),""""),"""")"),3)</f>
        <v>3</v>
      </c>
      <c r="U12" s="41" t="str">
        <f t="shared" si="10"/>
        <v>Ковалев Ярослав</v>
      </c>
      <c r="V12" s="43">
        <f t="shared" si="11"/>
        <v>2.9050925925925928E-3</v>
      </c>
      <c r="W12" s="43">
        <f t="shared" si="12"/>
        <v>1.1041666666666667E-2</v>
      </c>
      <c r="X12" s="43">
        <f t="shared" si="13"/>
        <v>1.6481481481481482E-2</v>
      </c>
      <c r="Y12" s="42">
        <f t="shared" si="14"/>
        <v>0</v>
      </c>
      <c r="Z12" s="43">
        <f>Table1[[#Totals],[После плавания]]-V12</f>
        <v>5.8101851851851856E-3</v>
      </c>
      <c r="AA12" s="43">
        <f>Table1[[#Totals],[После вело]]-W12</f>
        <v>9.2013888888888892E-3</v>
      </c>
      <c r="AB12" s="43">
        <f>Table1[[#Totals],[После бега]]-X12</f>
        <v>1.3796296296296296E-2</v>
      </c>
      <c r="AC12" s="40" t="s">
        <v>192</v>
      </c>
      <c r="AD12" s="45">
        <f>TIME(0,40,0)-Table1[[#This Row],[После вело]]</f>
        <v>1.6736111111111111E-2</v>
      </c>
    </row>
    <row r="13" spans="1:30" ht="13" x14ac:dyDescent="0.15">
      <c r="A13" s="10">
        <v>49</v>
      </c>
      <c r="B13" s="11" t="s">
        <v>34</v>
      </c>
      <c r="C13" s="12" t="s">
        <v>26</v>
      </c>
      <c r="D13" s="13">
        <v>3.2523148148148147E-3</v>
      </c>
      <c r="E13" s="14">
        <f t="shared" si="0"/>
        <v>1.084104938271605E-3</v>
      </c>
      <c r="F13" s="15">
        <f t="shared" si="1"/>
        <v>29</v>
      </c>
      <c r="G13" s="15">
        <f ca="1">IFERROR(__xludf.DUMMYFUNCTION("IF( D13,RANK(D13, FILTER(D$3:D$128, C$3:C$128 = C13), 1),"""")"),12)</f>
        <v>12</v>
      </c>
      <c r="H13" s="13">
        <v>7.9745370370370369E-3</v>
      </c>
      <c r="I13" s="16">
        <f t="shared" si="2"/>
        <v>0.19138888888888889</v>
      </c>
      <c r="J13" s="17">
        <f t="shared" si="3"/>
        <v>41.799709724238028</v>
      </c>
      <c r="K13" s="18">
        <f t="shared" si="4"/>
        <v>6</v>
      </c>
      <c r="L13" s="18">
        <f ca="1">IFERROR(__xludf.DUMMYFUNCTION("IF( H13,RANK(H13, FILTER(H$3:H$128, C$3:C$128 = C13), 1),"""")"),4)</f>
        <v>4</v>
      </c>
      <c r="M13" s="13">
        <v>5.2893518518518515E-3</v>
      </c>
      <c r="N13" s="19">
        <f t="shared" si="5"/>
        <v>2.6446759259259258E-3</v>
      </c>
      <c r="O13" s="18">
        <f t="shared" si="6"/>
        <v>11</v>
      </c>
      <c r="P13" s="18">
        <f ca="1">IFERROR(__xludf.DUMMYFUNCTION("IF( M13,RANK(M13, FILTER(M$3:M$128, C$3:C$128 = C13), 1),"""")"),4)</f>
        <v>4</v>
      </c>
      <c r="Q13" s="19">
        <f t="shared" si="7"/>
        <v>1.6516203703703703E-2</v>
      </c>
      <c r="R13" s="20">
        <f t="shared" si="8"/>
        <v>1.6516203703703703E-2</v>
      </c>
      <c r="S13" s="21">
        <f t="shared" si="9"/>
        <v>11</v>
      </c>
      <c r="T13" s="22">
        <f ca="1">IFERROR(__xludf.DUMMYFUNCTION("IF (S13 ,IF(S13 &gt; 3, RANK(Q13, FILTER(R$3:R$128, C$3:C$128 = C13,S$3:S$128 &gt; 3), 1),""""),"""")"),5)</f>
        <v>5</v>
      </c>
      <c r="U13" s="41" t="str">
        <f t="shared" si="10"/>
        <v>Мунтян Сергей</v>
      </c>
      <c r="V13" s="43">
        <f t="shared" si="11"/>
        <v>3.2523148148148147E-3</v>
      </c>
      <c r="W13" s="43">
        <f t="shared" si="12"/>
        <v>1.1226851851851852E-2</v>
      </c>
      <c r="X13" s="43">
        <f t="shared" si="13"/>
        <v>1.6516203703703703E-2</v>
      </c>
      <c r="Y13" s="42">
        <f t="shared" si="14"/>
        <v>0</v>
      </c>
      <c r="Z13" s="43">
        <f>Table1[[#Totals],[После плавания]]-V13</f>
        <v>5.4629629629629637E-3</v>
      </c>
      <c r="AA13" s="43">
        <f>Table1[[#Totals],[После вело]]-W13</f>
        <v>9.0162037037037034E-3</v>
      </c>
      <c r="AB13" s="43">
        <f>Table1[[#Totals],[После бега]]-X13</f>
        <v>1.3761574074074075E-2</v>
      </c>
      <c r="AC13" s="40" t="s">
        <v>192</v>
      </c>
      <c r="AD13" s="45">
        <f>TIME(0,40,0)-Table1[[#This Row],[После вело]]</f>
        <v>1.6550925925925924E-2</v>
      </c>
    </row>
    <row r="14" spans="1:30" ht="13" x14ac:dyDescent="0.15">
      <c r="A14" s="10">
        <v>129</v>
      </c>
      <c r="B14" s="11" t="s">
        <v>35</v>
      </c>
      <c r="C14" s="12" t="s">
        <v>26</v>
      </c>
      <c r="D14" s="13">
        <v>3.2870370370370371E-3</v>
      </c>
      <c r="E14" s="14">
        <f t="shared" si="0"/>
        <v>1.095679012345679E-3</v>
      </c>
      <c r="F14" s="15">
        <f t="shared" si="1"/>
        <v>32</v>
      </c>
      <c r="G14" s="15">
        <f ca="1">IFERROR(__xludf.DUMMYFUNCTION("IF( D14,RANK(D14, FILTER(D$3:D$128, C$3:C$128 = C14), 1),"""")"),15)</f>
        <v>15</v>
      </c>
      <c r="H14" s="13">
        <v>8.0555555555555554E-3</v>
      </c>
      <c r="I14" s="16">
        <f t="shared" si="2"/>
        <v>0.19333333333333333</v>
      </c>
      <c r="J14" s="17">
        <f t="shared" si="3"/>
        <v>41.379310344827587</v>
      </c>
      <c r="K14" s="18">
        <f t="shared" si="4"/>
        <v>7</v>
      </c>
      <c r="L14" s="18">
        <f ca="1">IFERROR(__xludf.DUMMYFUNCTION("IF( H14,RANK(H14, FILTER(H$3:H$128, C$3:C$128 = C14), 1),"""")"),5)</f>
        <v>5</v>
      </c>
      <c r="M14" s="13">
        <v>5.324074074074074E-3</v>
      </c>
      <c r="N14" s="19">
        <f t="shared" si="5"/>
        <v>2.662037037037037E-3</v>
      </c>
      <c r="O14" s="18">
        <f t="shared" si="6"/>
        <v>16</v>
      </c>
      <c r="P14" s="18">
        <f ca="1">IFERROR(__xludf.DUMMYFUNCTION("IF( M14,RANK(M14, FILTER(M$3:M$128, C$3:C$128 = C14), 1),"""")"),9)</f>
        <v>9</v>
      </c>
      <c r="Q14" s="19">
        <f t="shared" si="7"/>
        <v>1.6666666666666666E-2</v>
      </c>
      <c r="R14" s="20">
        <f t="shared" si="8"/>
        <v>1.6666666666666666E-2</v>
      </c>
      <c r="S14" s="21">
        <f t="shared" si="9"/>
        <v>12</v>
      </c>
      <c r="T14" s="22">
        <f ca="1">IFERROR(__xludf.DUMMYFUNCTION("IF (S14 ,IF(S14 &gt; 3, RANK(Q14, FILTER(R$3:R$128, C$3:C$128 = C14,S$3:S$128 &gt; 3), 1),""""),"""")"),6)</f>
        <v>6</v>
      </c>
      <c r="U14" s="41" t="str">
        <f t="shared" si="10"/>
        <v>Вашкевич Антон</v>
      </c>
      <c r="V14" s="43">
        <f t="shared" si="11"/>
        <v>3.2870370370370371E-3</v>
      </c>
      <c r="W14" s="43">
        <f t="shared" si="12"/>
        <v>1.1342592592592592E-2</v>
      </c>
      <c r="X14" s="43">
        <f t="shared" si="13"/>
        <v>1.6666666666666666E-2</v>
      </c>
      <c r="Y14" s="42">
        <f t="shared" si="14"/>
        <v>0</v>
      </c>
      <c r="Z14" s="43">
        <f>Table1[[#Totals],[После плавания]]-V14</f>
        <v>5.4282407407407413E-3</v>
      </c>
      <c r="AA14" s="43">
        <f>Table1[[#Totals],[После вело]]-W14</f>
        <v>8.9004629629629642E-3</v>
      </c>
      <c r="AB14" s="43">
        <f>Table1[[#Totals],[После бега]]-X14</f>
        <v>1.3611111111111112E-2</v>
      </c>
      <c r="AC14" s="40" t="s">
        <v>192</v>
      </c>
      <c r="AD14" s="45">
        <f>TIME(0,40,0)-Table1[[#This Row],[После вело]]</f>
        <v>1.6435185185185185E-2</v>
      </c>
    </row>
    <row r="15" spans="1:30" ht="13" x14ac:dyDescent="0.15">
      <c r="A15" s="10">
        <v>160</v>
      </c>
      <c r="B15" s="11" t="s">
        <v>36</v>
      </c>
      <c r="C15" s="12" t="s">
        <v>23</v>
      </c>
      <c r="D15" s="13">
        <v>3.8078703703703703E-3</v>
      </c>
      <c r="E15" s="14">
        <f t="shared" si="0"/>
        <v>1.2692901234567901E-3</v>
      </c>
      <c r="F15" s="15">
        <f t="shared" si="1"/>
        <v>60</v>
      </c>
      <c r="G15" s="15">
        <f ca="1">IFERROR(__xludf.DUMMYFUNCTION("IF( D15,RANK(D15, FILTER(D$3:D$128, C$3:C$128 = C15), 1),"""")"),33)</f>
        <v>33</v>
      </c>
      <c r="H15" s="13">
        <v>8.1365740740740738E-3</v>
      </c>
      <c r="I15" s="16">
        <f t="shared" si="2"/>
        <v>0.19527777777777777</v>
      </c>
      <c r="J15" s="17">
        <f t="shared" si="3"/>
        <v>40.96728307254623</v>
      </c>
      <c r="K15" s="18">
        <f t="shared" si="4"/>
        <v>8</v>
      </c>
      <c r="L15" s="18">
        <f ca="1">IFERROR(__xludf.DUMMYFUNCTION("IF( H15,RANK(H15, FILTER(H$3:H$128, C$3:C$128 = C15), 1),"""")"),3)</f>
        <v>3</v>
      </c>
      <c r="M15" s="13">
        <v>4.7916666666666663E-3</v>
      </c>
      <c r="N15" s="19">
        <f t="shared" si="5"/>
        <v>2.3958333333333331E-3</v>
      </c>
      <c r="O15" s="18">
        <f t="shared" si="6"/>
        <v>1</v>
      </c>
      <c r="P15" s="18">
        <f ca="1">IFERROR(__xludf.DUMMYFUNCTION("IF( M15,RANK(M15, FILTER(M$3:M$128, C$3:C$128 = C15), 1),"""")"),1)</f>
        <v>1</v>
      </c>
      <c r="Q15" s="19">
        <f t="shared" si="7"/>
        <v>1.6736111111111111E-2</v>
      </c>
      <c r="R15" s="20">
        <f t="shared" si="8"/>
        <v>1.6736111111111111E-2</v>
      </c>
      <c r="S15" s="21">
        <f t="shared" si="9"/>
        <v>13</v>
      </c>
      <c r="T15" s="22">
        <f ca="1">IFERROR(__xludf.DUMMYFUNCTION("IF (S15 ,IF(S15 &gt; 3, RANK(Q15, FILTER(R$3:R$128, C$3:C$128 = C15,S$3:S$128 &gt; 3), 1),""""),"""")"),4)</f>
        <v>4</v>
      </c>
      <c r="U15" s="41" t="str">
        <f t="shared" si="10"/>
        <v>Гелохов Виктор</v>
      </c>
      <c r="V15" s="43">
        <f t="shared" si="11"/>
        <v>3.8078703703703703E-3</v>
      </c>
      <c r="W15" s="43">
        <f t="shared" si="12"/>
        <v>1.1944444444444445E-2</v>
      </c>
      <c r="X15" s="43">
        <f t="shared" si="13"/>
        <v>1.6736111111111111E-2</v>
      </c>
      <c r="Y15" s="42">
        <f t="shared" si="14"/>
        <v>0</v>
      </c>
      <c r="Z15" s="43">
        <f>Table1[[#Totals],[После плавания]]-V15</f>
        <v>4.9074074074074081E-3</v>
      </c>
      <c r="AA15" s="43">
        <f>Table1[[#Totals],[После вело]]-W15</f>
        <v>8.2986111111111108E-3</v>
      </c>
      <c r="AB15" s="43">
        <f>Table1[[#Totals],[После бега]]-X15</f>
        <v>1.3541666666666667E-2</v>
      </c>
      <c r="AC15" s="40" t="s">
        <v>192</v>
      </c>
      <c r="AD15" s="45">
        <f>TIME(0,40,0)-Table1[[#This Row],[После вело]]</f>
        <v>1.5833333333333331E-2</v>
      </c>
    </row>
    <row r="16" spans="1:30" ht="13" x14ac:dyDescent="0.15">
      <c r="A16" s="10">
        <v>153</v>
      </c>
      <c r="B16" s="11" t="s">
        <v>37</v>
      </c>
      <c r="C16" s="12" t="s">
        <v>23</v>
      </c>
      <c r="D16" s="13">
        <v>2.9745370370370373E-3</v>
      </c>
      <c r="E16" s="14">
        <f t="shared" si="0"/>
        <v>9.9151234567901249E-4</v>
      </c>
      <c r="F16" s="15">
        <f t="shared" si="1"/>
        <v>14</v>
      </c>
      <c r="G16" s="15">
        <f ca="1">IFERROR(__xludf.DUMMYFUNCTION("IF( D16,RANK(D16, FILTER(D$3:D$128, C$3:C$128 = C16), 1),"""")"),10)</f>
        <v>10</v>
      </c>
      <c r="H16" s="13">
        <v>8.4606481481481477E-3</v>
      </c>
      <c r="I16" s="16">
        <f t="shared" si="2"/>
        <v>0.20305555555555554</v>
      </c>
      <c r="J16" s="17">
        <f t="shared" si="3"/>
        <v>39.398084815321482</v>
      </c>
      <c r="K16" s="18">
        <f t="shared" si="4"/>
        <v>26</v>
      </c>
      <c r="L16" s="18">
        <f ca="1">IFERROR(__xludf.DUMMYFUNCTION("IF( H16,RANK(H16, FILTER(H$3:H$128, C$3:C$128 = C16), 1),"""")"),13)</f>
        <v>13</v>
      </c>
      <c r="M16" s="13">
        <v>5.3935185185185188E-3</v>
      </c>
      <c r="N16" s="19">
        <f t="shared" si="5"/>
        <v>2.6967592592592594E-3</v>
      </c>
      <c r="O16" s="18">
        <f t="shared" si="6"/>
        <v>24</v>
      </c>
      <c r="P16" s="18">
        <f ca="1">IFERROR(__xludf.DUMMYFUNCTION("IF( M16,RANK(M16, FILTER(M$3:M$128, C$3:C$128 = C16), 1),"""")"),11)</f>
        <v>11</v>
      </c>
      <c r="Q16" s="19">
        <f t="shared" si="7"/>
        <v>1.6828703703703703E-2</v>
      </c>
      <c r="R16" s="20">
        <f t="shared" si="8"/>
        <v>1.6828703703703703E-2</v>
      </c>
      <c r="S16" s="21">
        <f t="shared" si="9"/>
        <v>14</v>
      </c>
      <c r="T16" s="22">
        <f ca="1">IFERROR(__xludf.DUMMYFUNCTION("IF (S16 ,IF(S16 &gt; 3, RANK(Q16, FILTER(R$3:R$128, C$3:C$128 = C16,S$3:S$128 &gt; 3), 1),""""),"""")"),5)</f>
        <v>5</v>
      </c>
      <c r="U16" s="41" t="str">
        <f t="shared" si="10"/>
        <v>Коротыш Федор</v>
      </c>
      <c r="V16" s="43">
        <f t="shared" si="11"/>
        <v>2.9745370370370373E-3</v>
      </c>
      <c r="W16" s="43">
        <f t="shared" si="12"/>
        <v>1.1435185185185185E-2</v>
      </c>
      <c r="X16" s="43">
        <f t="shared" si="13"/>
        <v>1.6828703703703703E-2</v>
      </c>
      <c r="Y16" s="42">
        <f t="shared" si="14"/>
        <v>0</v>
      </c>
      <c r="Z16" s="43">
        <f>Table1[[#Totals],[После плавания]]-V16</f>
        <v>5.7407407407407407E-3</v>
      </c>
      <c r="AA16" s="43">
        <f>Table1[[#Totals],[После вело]]-W16</f>
        <v>8.8078703703703704E-3</v>
      </c>
      <c r="AB16" s="43">
        <f>Table1[[#Totals],[После бега]]-X16</f>
        <v>1.3449074074074075E-2</v>
      </c>
      <c r="AC16" s="40" t="s">
        <v>192</v>
      </c>
      <c r="AD16" s="45">
        <f>TIME(0,40,0)-Table1[[#This Row],[После вело]]</f>
        <v>1.6342592592592589E-2</v>
      </c>
    </row>
    <row r="17" spans="1:30" ht="13" x14ac:dyDescent="0.15">
      <c r="A17" s="10">
        <v>167</v>
      </c>
      <c r="B17" s="11" t="s">
        <v>38</v>
      </c>
      <c r="C17" s="12" t="s">
        <v>26</v>
      </c>
      <c r="D17" s="13">
        <v>3.6805555555555554E-3</v>
      </c>
      <c r="E17" s="14">
        <f t="shared" si="0"/>
        <v>1.2268518518518518E-3</v>
      </c>
      <c r="F17" s="15">
        <f t="shared" si="1"/>
        <v>53</v>
      </c>
      <c r="G17" s="15">
        <f ca="1">IFERROR(__xludf.DUMMYFUNCTION("IF( D17,RANK(D17, FILTER(D$3:D$128, C$3:C$128 = C17), 1),"""")"),25)</f>
        <v>25</v>
      </c>
      <c r="H17" s="13">
        <v>8.2638888888888883E-3</v>
      </c>
      <c r="I17" s="16">
        <f t="shared" si="2"/>
        <v>0.19833333333333331</v>
      </c>
      <c r="J17" s="17">
        <f t="shared" si="3"/>
        <v>40.336134453781519</v>
      </c>
      <c r="K17" s="18">
        <f t="shared" si="4"/>
        <v>15</v>
      </c>
      <c r="L17" s="18">
        <f ca="1">IFERROR(__xludf.DUMMYFUNCTION("IF( H17,RANK(H17, FILTER(H$3:H$128, C$3:C$128 = C17), 1),"""")"),8)</f>
        <v>8</v>
      </c>
      <c r="M17" s="13">
        <v>4.8958333333333336E-3</v>
      </c>
      <c r="N17" s="19">
        <f t="shared" si="5"/>
        <v>2.4479166666666668E-3</v>
      </c>
      <c r="O17" s="18">
        <f t="shared" si="6"/>
        <v>3</v>
      </c>
      <c r="P17" s="18">
        <f ca="1">IFERROR(__xludf.DUMMYFUNCTION("IF( M17,RANK(M17, FILTER(M$3:M$128, C$3:C$128 = C17), 1),"""")"),1)</f>
        <v>1</v>
      </c>
      <c r="Q17" s="19">
        <f t="shared" si="7"/>
        <v>1.6840277777777777E-2</v>
      </c>
      <c r="R17" s="20">
        <f t="shared" si="8"/>
        <v>1.6840277777777777E-2</v>
      </c>
      <c r="S17" s="21">
        <f t="shared" si="9"/>
        <v>15</v>
      </c>
      <c r="T17" s="22">
        <f ca="1">IFERROR(__xludf.DUMMYFUNCTION("IF (S17 ,IF(S17 &gt; 3, RANK(Q17, FILTER(R$3:R$128, C$3:C$128 = C17,S$3:S$128 &gt; 3), 1),""""),"""")"),7)</f>
        <v>7</v>
      </c>
      <c r="U17" s="41" t="str">
        <f t="shared" si="10"/>
        <v>Викентьев Алексей</v>
      </c>
      <c r="V17" s="43">
        <f t="shared" si="11"/>
        <v>3.6805555555555554E-3</v>
      </c>
      <c r="W17" s="43">
        <f t="shared" si="12"/>
        <v>1.1944444444444443E-2</v>
      </c>
      <c r="X17" s="43">
        <f t="shared" si="13"/>
        <v>1.6840277777777777E-2</v>
      </c>
      <c r="Y17" s="42">
        <f t="shared" si="14"/>
        <v>0</v>
      </c>
      <c r="Z17" s="43">
        <f>Table1[[#Totals],[После плавания]]-V17</f>
        <v>5.0347222222222234E-3</v>
      </c>
      <c r="AA17" s="43">
        <f>Table1[[#Totals],[После вело]]-W17</f>
        <v>8.2986111111111125E-3</v>
      </c>
      <c r="AB17" s="43">
        <f>Table1[[#Totals],[После бега]]-X17</f>
        <v>1.3437500000000002E-2</v>
      </c>
      <c r="AC17" s="40" t="s">
        <v>192</v>
      </c>
      <c r="AD17" s="45">
        <f>TIME(0,40,0)-Table1[[#This Row],[После вело]]</f>
        <v>1.5833333333333331E-2</v>
      </c>
    </row>
    <row r="18" spans="1:30" ht="13" x14ac:dyDescent="0.15">
      <c r="A18" s="10">
        <v>99</v>
      </c>
      <c r="B18" s="11" t="s">
        <v>39</v>
      </c>
      <c r="C18" s="12" t="s">
        <v>23</v>
      </c>
      <c r="D18" s="13">
        <v>3.2291666666666666E-3</v>
      </c>
      <c r="E18" s="14">
        <f t="shared" si="0"/>
        <v>1.0763888888888889E-3</v>
      </c>
      <c r="F18" s="15">
        <f t="shared" si="1"/>
        <v>25</v>
      </c>
      <c r="G18" s="15">
        <f ca="1">IFERROR(__xludf.DUMMYFUNCTION("IF( D18,RANK(D18, FILTER(D$3:D$128, C$3:C$128 = C18), 1),"""")"),16)</f>
        <v>16</v>
      </c>
      <c r="H18" s="13">
        <v>8.2060185185185187E-3</v>
      </c>
      <c r="I18" s="16">
        <f t="shared" si="2"/>
        <v>0.19694444444444445</v>
      </c>
      <c r="J18" s="17">
        <f t="shared" si="3"/>
        <v>40.620592383638929</v>
      </c>
      <c r="K18" s="18">
        <f t="shared" si="4"/>
        <v>12</v>
      </c>
      <c r="L18" s="18">
        <f ca="1">IFERROR(__xludf.DUMMYFUNCTION("IF( H18,RANK(H18, FILTER(H$3:H$128, C$3:C$128 = C18), 1),"""")"),7)</f>
        <v>7</v>
      </c>
      <c r="M18" s="13">
        <v>5.4282407407407404E-3</v>
      </c>
      <c r="N18" s="19">
        <f t="shared" si="5"/>
        <v>2.7141203703703702E-3</v>
      </c>
      <c r="O18" s="18">
        <f t="shared" si="6"/>
        <v>28</v>
      </c>
      <c r="P18" s="18">
        <f ca="1">IFERROR(__xludf.DUMMYFUNCTION("IF( M18,RANK(M18, FILTER(M$3:M$128, C$3:C$128 = C18), 1),"""")"),13)</f>
        <v>13</v>
      </c>
      <c r="Q18" s="19">
        <f t="shared" si="7"/>
        <v>1.6863425925925928E-2</v>
      </c>
      <c r="R18" s="20">
        <f t="shared" si="8"/>
        <v>1.6863425925925928E-2</v>
      </c>
      <c r="S18" s="21">
        <f t="shared" si="9"/>
        <v>16</v>
      </c>
      <c r="T18" s="22">
        <f ca="1">IFERROR(__xludf.DUMMYFUNCTION("IF (S18 ,IF(S18 &gt; 3, RANK(Q18, FILTER(R$3:R$128, C$3:C$128 = C18,S$3:S$128 &gt; 3), 1),""""),"""")"),6)</f>
        <v>6</v>
      </c>
      <c r="U18" s="41" t="str">
        <f t="shared" si="10"/>
        <v>Шипуль Андрей</v>
      </c>
      <c r="V18" s="43">
        <f t="shared" si="11"/>
        <v>3.2291666666666666E-3</v>
      </c>
      <c r="W18" s="43">
        <f t="shared" si="12"/>
        <v>1.1435185185185185E-2</v>
      </c>
      <c r="X18" s="43">
        <f t="shared" si="13"/>
        <v>1.6863425925925928E-2</v>
      </c>
      <c r="Y18" s="42">
        <f t="shared" si="14"/>
        <v>0</v>
      </c>
      <c r="Z18" s="43">
        <f>Table1[[#Totals],[После плавания]]-V18</f>
        <v>5.4861111111111117E-3</v>
      </c>
      <c r="AA18" s="43">
        <f>Table1[[#Totals],[После вело]]-W18</f>
        <v>8.8078703703703704E-3</v>
      </c>
      <c r="AB18" s="43">
        <f>Table1[[#Totals],[После бега]]-X18</f>
        <v>1.3414351851851851E-2</v>
      </c>
      <c r="AC18" s="40" t="s">
        <v>192</v>
      </c>
      <c r="AD18" s="45">
        <f>TIME(0,40,0)-Table1[[#This Row],[После вело]]</f>
        <v>1.6342592592592589E-2</v>
      </c>
    </row>
    <row r="19" spans="1:30" ht="13" x14ac:dyDescent="0.15">
      <c r="A19" s="10">
        <v>155</v>
      </c>
      <c r="B19" s="11" t="s">
        <v>40</v>
      </c>
      <c r="C19" s="12" t="s">
        <v>26</v>
      </c>
      <c r="D19" s="13">
        <v>3.1944444444444446E-3</v>
      </c>
      <c r="E19" s="14">
        <f t="shared" si="0"/>
        <v>1.0648148148148149E-3</v>
      </c>
      <c r="F19" s="15">
        <f t="shared" si="1"/>
        <v>22</v>
      </c>
      <c r="G19" s="15">
        <f ca="1">IFERROR(__xludf.DUMMYFUNCTION("IF( D19,RANK(D19, FILTER(D$3:D$128, C$3:C$128 = C19), 1),"""")"),8)</f>
        <v>8</v>
      </c>
      <c r="H19" s="13">
        <v>8.3564814814814821E-3</v>
      </c>
      <c r="I19" s="16">
        <f t="shared" si="2"/>
        <v>0.20055555555555557</v>
      </c>
      <c r="J19" s="17">
        <f t="shared" si="3"/>
        <v>39.889196675900273</v>
      </c>
      <c r="K19" s="18">
        <f t="shared" si="4"/>
        <v>18</v>
      </c>
      <c r="L19" s="18">
        <f ca="1">IFERROR(__xludf.DUMMYFUNCTION("IF( H19,RANK(H19, FILTER(H$3:H$128, C$3:C$128 = C19), 1),"""")"),9)</f>
        <v>9</v>
      </c>
      <c r="M19" s="13">
        <v>5.3125000000000004E-3</v>
      </c>
      <c r="N19" s="19">
        <f t="shared" si="5"/>
        <v>2.6562500000000002E-3</v>
      </c>
      <c r="O19" s="18">
        <f t="shared" si="6"/>
        <v>13</v>
      </c>
      <c r="P19" s="18">
        <f ca="1">IFERROR(__xludf.DUMMYFUNCTION("IF( M19,RANK(M19, FILTER(M$3:M$128, C$3:C$128 = C19), 1),"""")"),6)</f>
        <v>6</v>
      </c>
      <c r="Q19" s="19">
        <f t="shared" si="7"/>
        <v>1.6863425925925928E-2</v>
      </c>
      <c r="R19" s="20">
        <f t="shared" si="8"/>
        <v>1.6863425925925928E-2</v>
      </c>
      <c r="S19" s="21">
        <f t="shared" si="9"/>
        <v>16</v>
      </c>
      <c r="T19" s="22">
        <f ca="1">IFERROR(__xludf.DUMMYFUNCTION("IF (S19 ,IF(S19 &gt; 3, RANK(Q19, FILTER(R$3:R$128, C$3:C$128 = C19,S$3:S$128 &gt; 3), 1),""""),"""")"),8)</f>
        <v>8</v>
      </c>
      <c r="U19" s="41" t="str">
        <f t="shared" si="10"/>
        <v>Харитонов Виталий</v>
      </c>
      <c r="V19" s="43">
        <f t="shared" si="11"/>
        <v>3.1944444444444446E-3</v>
      </c>
      <c r="W19" s="43">
        <f t="shared" si="12"/>
        <v>1.1550925925925926E-2</v>
      </c>
      <c r="X19" s="43">
        <f t="shared" si="13"/>
        <v>1.6863425925925928E-2</v>
      </c>
      <c r="Y19" s="42">
        <f t="shared" si="14"/>
        <v>0</v>
      </c>
      <c r="Z19" s="43">
        <f>Table1[[#Totals],[После плавания]]-V19</f>
        <v>5.5208333333333342E-3</v>
      </c>
      <c r="AA19" s="43">
        <f>Table1[[#Totals],[После вело]]-W19</f>
        <v>8.6921296296296295E-3</v>
      </c>
      <c r="AB19" s="43">
        <f>Table1[[#Totals],[После бега]]-X19</f>
        <v>1.3414351851851851E-2</v>
      </c>
      <c r="AC19" s="40" t="s">
        <v>192</v>
      </c>
      <c r="AD19" s="45">
        <f>TIME(0,40,0)-Table1[[#This Row],[После вело]]</f>
        <v>1.622685185185185E-2</v>
      </c>
    </row>
    <row r="20" spans="1:30" ht="13" x14ac:dyDescent="0.15">
      <c r="A20" s="10">
        <v>162</v>
      </c>
      <c r="B20" s="11" t="s">
        <v>41</v>
      </c>
      <c r="C20" s="12" t="s">
        <v>23</v>
      </c>
      <c r="D20" s="13">
        <v>2.9513888888888888E-3</v>
      </c>
      <c r="E20" s="14">
        <f t="shared" si="0"/>
        <v>9.837962962962962E-4</v>
      </c>
      <c r="F20" s="15">
        <f t="shared" si="1"/>
        <v>11</v>
      </c>
      <c r="G20" s="15">
        <f ca="1">IFERROR(__xludf.DUMMYFUNCTION("IF( D20,RANK(D20, FILTER(D$3:D$128, C$3:C$128 = C20), 1),"""")"),7)</f>
        <v>7</v>
      </c>
      <c r="H20" s="13">
        <v>8.4837962962962966E-3</v>
      </c>
      <c r="I20" s="16">
        <f t="shared" si="2"/>
        <v>0.20361111111111113</v>
      </c>
      <c r="J20" s="17">
        <f t="shared" si="3"/>
        <v>39.290586630286491</v>
      </c>
      <c r="K20" s="18">
        <f t="shared" si="4"/>
        <v>30</v>
      </c>
      <c r="L20" s="18">
        <f ca="1">IFERROR(__xludf.DUMMYFUNCTION("IF( H20,RANK(H20, FILTER(H$3:H$128, C$3:C$128 = C20), 1),"""")"),14)</f>
        <v>14</v>
      </c>
      <c r="M20" s="13">
        <v>5.4398148148148149E-3</v>
      </c>
      <c r="N20" s="19">
        <f t="shared" si="5"/>
        <v>2.7199074074074074E-3</v>
      </c>
      <c r="O20" s="18">
        <f t="shared" si="6"/>
        <v>29</v>
      </c>
      <c r="P20" s="18">
        <f ca="1">IFERROR(__xludf.DUMMYFUNCTION("IF( M20,RANK(M20, FILTER(M$3:M$128, C$3:C$128 = C20), 1),"""")"),14)</f>
        <v>14</v>
      </c>
      <c r="Q20" s="19">
        <f t="shared" si="7"/>
        <v>1.6875000000000001E-2</v>
      </c>
      <c r="R20" s="20">
        <f t="shared" si="8"/>
        <v>1.6875000000000001E-2</v>
      </c>
      <c r="S20" s="21">
        <f t="shared" si="9"/>
        <v>18</v>
      </c>
      <c r="T20" s="22">
        <f ca="1">IFERROR(__xludf.DUMMYFUNCTION("IF (S20 ,IF(S20 &gt; 3, RANK(Q20, FILTER(R$3:R$128, C$3:C$128 = C20,S$3:S$128 &gt; 3), 1),""""),"""")"),7)</f>
        <v>7</v>
      </c>
      <c r="U20" s="41" t="str">
        <f t="shared" si="10"/>
        <v>Новицкий Александр</v>
      </c>
      <c r="V20" s="43">
        <f t="shared" si="11"/>
        <v>2.9513888888888888E-3</v>
      </c>
      <c r="W20" s="43">
        <f t="shared" si="12"/>
        <v>1.1435185185185185E-2</v>
      </c>
      <c r="X20" s="43">
        <f t="shared" si="13"/>
        <v>1.6875000000000001E-2</v>
      </c>
      <c r="Y20" s="42">
        <f t="shared" si="14"/>
        <v>0</v>
      </c>
      <c r="Z20" s="43">
        <f>Table1[[#Totals],[После плавания]]-V20</f>
        <v>5.7638888888888896E-3</v>
      </c>
      <c r="AA20" s="43">
        <f>Table1[[#Totals],[После вело]]-W20</f>
        <v>8.8078703703703704E-3</v>
      </c>
      <c r="AB20" s="43">
        <f>Table1[[#Totals],[После бега]]-X20</f>
        <v>1.3402777777777777E-2</v>
      </c>
      <c r="AC20" s="40" t="s">
        <v>192</v>
      </c>
      <c r="AD20" s="45">
        <f>TIME(0,40,0)-Table1[[#This Row],[После вело]]</f>
        <v>1.6342592592592589E-2</v>
      </c>
    </row>
    <row r="21" spans="1:30" ht="13" x14ac:dyDescent="0.15">
      <c r="A21" s="10">
        <v>134</v>
      </c>
      <c r="B21" s="11" t="s">
        <v>42</v>
      </c>
      <c r="C21" s="12" t="s">
        <v>26</v>
      </c>
      <c r="D21" s="13">
        <v>3.1365740740740742E-3</v>
      </c>
      <c r="E21" s="14">
        <f t="shared" si="0"/>
        <v>1.0455246913580248E-3</v>
      </c>
      <c r="F21" s="15">
        <f t="shared" si="1"/>
        <v>20</v>
      </c>
      <c r="G21" s="15">
        <f ca="1">IFERROR(__xludf.DUMMYFUNCTION("IF( D21,RANK(D21, FILTER(D$3:D$128, C$3:C$128 = C21), 1),"""")"),6)</f>
        <v>6</v>
      </c>
      <c r="H21" s="13">
        <v>8.4259259259259253E-3</v>
      </c>
      <c r="I21" s="16">
        <f t="shared" si="2"/>
        <v>0.20222222222222219</v>
      </c>
      <c r="J21" s="17">
        <f t="shared" si="3"/>
        <v>39.560439560439569</v>
      </c>
      <c r="K21" s="18">
        <f t="shared" si="4"/>
        <v>21</v>
      </c>
      <c r="L21" s="18">
        <f ca="1">IFERROR(__xludf.DUMMYFUNCTION("IF( H21,RANK(H21, FILTER(H$3:H$128, C$3:C$128 = C21), 1),"""")"),11)</f>
        <v>11</v>
      </c>
      <c r="M21" s="13">
        <v>5.3587962962962964E-3</v>
      </c>
      <c r="N21" s="19">
        <f t="shared" si="5"/>
        <v>2.6793981481481482E-3</v>
      </c>
      <c r="O21" s="18">
        <f t="shared" si="6"/>
        <v>17</v>
      </c>
      <c r="P21" s="18">
        <f ca="1">IFERROR(__xludf.DUMMYFUNCTION("IF( M21,RANK(M21, FILTER(M$3:M$128, C$3:C$128 = C21), 1),"""")"),10)</f>
        <v>10</v>
      </c>
      <c r="Q21" s="19">
        <f t="shared" si="7"/>
        <v>1.6921296296296295E-2</v>
      </c>
      <c r="R21" s="20">
        <f t="shared" si="8"/>
        <v>1.6921296296296295E-2</v>
      </c>
      <c r="S21" s="21">
        <f t="shared" si="9"/>
        <v>19</v>
      </c>
      <c r="T21" s="22">
        <f ca="1">IFERROR(__xludf.DUMMYFUNCTION("IF (S21 ,IF(S21 &gt; 3, RANK(Q21, FILTER(R$3:R$128, C$3:C$128 = C21,S$3:S$128 &gt; 3), 1),""""),"""")"),9)</f>
        <v>9</v>
      </c>
      <c r="U21" s="41" t="str">
        <f t="shared" si="10"/>
        <v>Головаченко Денис</v>
      </c>
      <c r="V21" s="43">
        <f t="shared" si="11"/>
        <v>3.1365740740740742E-3</v>
      </c>
      <c r="W21" s="43">
        <f t="shared" si="12"/>
        <v>1.15625E-2</v>
      </c>
      <c r="X21" s="43">
        <f t="shared" si="13"/>
        <v>1.6921296296296295E-2</v>
      </c>
      <c r="Y21" s="42">
        <f t="shared" si="14"/>
        <v>0</v>
      </c>
      <c r="Z21" s="43">
        <f>Table1[[#Totals],[После плавания]]-V21</f>
        <v>5.5787037037037038E-3</v>
      </c>
      <c r="AA21" s="43">
        <f>Table1[[#Totals],[После вело]]-W21</f>
        <v>8.6805555555555559E-3</v>
      </c>
      <c r="AB21" s="43">
        <f>Table1[[#Totals],[После бега]]-X21</f>
        <v>1.3356481481481483E-2</v>
      </c>
      <c r="AC21" s="40" t="s">
        <v>192</v>
      </c>
      <c r="AD21" s="45">
        <f>TIME(0,40,0)-Table1[[#This Row],[После вело]]</f>
        <v>1.6215277777777776E-2</v>
      </c>
    </row>
    <row r="22" spans="1:30" ht="13" x14ac:dyDescent="0.15">
      <c r="A22" s="10">
        <v>6</v>
      </c>
      <c r="B22" s="11" t="s">
        <v>43</v>
      </c>
      <c r="C22" s="12" t="s">
        <v>23</v>
      </c>
      <c r="D22" s="13">
        <v>3.3101851851851851E-3</v>
      </c>
      <c r="E22" s="14">
        <f t="shared" si="0"/>
        <v>1.103395061728395E-3</v>
      </c>
      <c r="F22" s="15">
        <f t="shared" si="1"/>
        <v>33</v>
      </c>
      <c r="G22" s="15">
        <f ca="1">IFERROR(__xludf.DUMMYFUNCTION("IF( D22,RANK(D22, FILTER(D$3:D$128, C$3:C$128 = C22), 1),"""")"),18)</f>
        <v>18</v>
      </c>
      <c r="H22" s="13">
        <v>8.518518518518519E-3</v>
      </c>
      <c r="I22" s="16">
        <f t="shared" si="2"/>
        <v>0.20444444444444446</v>
      </c>
      <c r="J22" s="17">
        <f t="shared" si="3"/>
        <v>39.130434782608695</v>
      </c>
      <c r="K22" s="18">
        <f t="shared" si="4"/>
        <v>35</v>
      </c>
      <c r="L22" s="18">
        <f ca="1">IFERROR(__xludf.DUMMYFUNCTION("IF( H22,RANK(H22, FILTER(H$3:H$128, C$3:C$128 = C22), 1),"""")"),17)</f>
        <v>17</v>
      </c>
      <c r="M22" s="13">
        <v>5.115740740740741E-3</v>
      </c>
      <c r="N22" s="19">
        <f t="shared" si="5"/>
        <v>2.5578703703703705E-3</v>
      </c>
      <c r="O22" s="18">
        <f t="shared" si="6"/>
        <v>6</v>
      </c>
      <c r="P22" s="18">
        <f ca="1">IFERROR(__xludf.DUMMYFUNCTION("IF( M22,RANK(M22, FILTER(M$3:M$128, C$3:C$128 = C22), 1),"""")"),5)</f>
        <v>5</v>
      </c>
      <c r="Q22" s="19">
        <f t="shared" si="7"/>
        <v>1.6944444444444446E-2</v>
      </c>
      <c r="R22" s="20">
        <f t="shared" si="8"/>
        <v>1.6944444444444446E-2</v>
      </c>
      <c r="S22" s="21">
        <f t="shared" si="9"/>
        <v>20</v>
      </c>
      <c r="T22" s="22">
        <f ca="1">IFERROR(__xludf.DUMMYFUNCTION("IF (S22 ,IF(S22 &gt; 3, RANK(Q22, FILTER(R$3:R$128, C$3:C$128 = C22,S$3:S$128 &gt; 3), 1),""""),"""")"),8)</f>
        <v>8</v>
      </c>
      <c r="U22" s="41" t="str">
        <f t="shared" si="10"/>
        <v>Marchuk Artyom</v>
      </c>
      <c r="V22" s="43">
        <f t="shared" si="11"/>
        <v>3.3101851851851851E-3</v>
      </c>
      <c r="W22" s="43">
        <f t="shared" si="12"/>
        <v>1.1828703703703704E-2</v>
      </c>
      <c r="X22" s="43">
        <f t="shared" si="13"/>
        <v>1.6944444444444446E-2</v>
      </c>
      <c r="Y22" s="42">
        <f t="shared" si="14"/>
        <v>0</v>
      </c>
      <c r="Z22" s="43">
        <f>Table1[[#Totals],[После плавания]]-V22</f>
        <v>5.4050925925925933E-3</v>
      </c>
      <c r="AA22" s="43">
        <f>Table1[[#Totals],[После вело]]-W22</f>
        <v>8.4143518518518517E-3</v>
      </c>
      <c r="AB22" s="43">
        <f>Table1[[#Totals],[После бега]]-X22</f>
        <v>1.3333333333333332E-2</v>
      </c>
      <c r="AC22" s="40" t="s">
        <v>192</v>
      </c>
      <c r="AD22" s="45">
        <f>TIME(0,40,0)-Table1[[#This Row],[После вело]]</f>
        <v>1.5949074074074074E-2</v>
      </c>
    </row>
    <row r="23" spans="1:30" ht="13" x14ac:dyDescent="0.15">
      <c r="A23" s="10">
        <v>158</v>
      </c>
      <c r="B23" s="11" t="s">
        <v>44</v>
      </c>
      <c r="C23" s="12" t="s">
        <v>26</v>
      </c>
      <c r="D23" s="13">
        <v>3.2638888888888891E-3</v>
      </c>
      <c r="E23" s="14">
        <f t="shared" si="0"/>
        <v>1.0879629629629631E-3</v>
      </c>
      <c r="F23" s="15">
        <f t="shared" si="1"/>
        <v>31</v>
      </c>
      <c r="G23" s="15">
        <f ca="1">IFERROR(__xludf.DUMMYFUNCTION("IF( D23,RANK(D23, FILTER(D$3:D$128, C$3:C$128 = C23), 1),"""")"),14)</f>
        <v>14</v>
      </c>
      <c r="H23" s="13">
        <v>8.3912037037037045E-3</v>
      </c>
      <c r="I23" s="16">
        <f t="shared" si="2"/>
        <v>0.2013888888888889</v>
      </c>
      <c r="J23" s="17">
        <f t="shared" si="3"/>
        <v>39.724137931034484</v>
      </c>
      <c r="K23" s="18">
        <f t="shared" si="4"/>
        <v>19</v>
      </c>
      <c r="L23" s="18">
        <f ca="1">IFERROR(__xludf.DUMMYFUNCTION("IF( H23,RANK(H23, FILTER(H$3:H$128, C$3:C$128 = C23), 1),"""")"),10)</f>
        <v>10</v>
      </c>
      <c r="M23" s="13">
        <v>5.37037037037037E-3</v>
      </c>
      <c r="N23" s="19">
        <f t="shared" si="5"/>
        <v>2.685185185185185E-3</v>
      </c>
      <c r="O23" s="18">
        <f t="shared" si="6"/>
        <v>18</v>
      </c>
      <c r="P23" s="18">
        <f ca="1">IFERROR(__xludf.DUMMYFUNCTION("IF( M23,RANK(M23, FILTER(M$3:M$128, C$3:C$128 = C23), 1),"""")"),11)</f>
        <v>11</v>
      </c>
      <c r="Q23" s="19">
        <f t="shared" si="7"/>
        <v>1.7025462962962964E-2</v>
      </c>
      <c r="R23" s="20">
        <f t="shared" si="8"/>
        <v>1.7025462962962964E-2</v>
      </c>
      <c r="S23" s="21">
        <f t="shared" si="9"/>
        <v>21</v>
      </c>
      <c r="T23" s="22">
        <f ca="1">IFERROR(__xludf.DUMMYFUNCTION("IF (S23 ,IF(S23 &gt; 3, RANK(Q23, FILTER(R$3:R$128, C$3:C$128 = C23,S$3:S$128 &gt; 3), 1),""""),"""")"),10)</f>
        <v>10</v>
      </c>
      <c r="U23" s="41" t="str">
        <f t="shared" si="10"/>
        <v>Koltovich Andrei</v>
      </c>
      <c r="V23" s="43">
        <f t="shared" si="11"/>
        <v>3.2638888888888891E-3</v>
      </c>
      <c r="W23" s="43">
        <f t="shared" si="12"/>
        <v>1.1655092592592594E-2</v>
      </c>
      <c r="X23" s="43">
        <f t="shared" si="13"/>
        <v>1.7025462962962964E-2</v>
      </c>
      <c r="Y23" s="42">
        <f t="shared" si="14"/>
        <v>0</v>
      </c>
      <c r="Z23" s="43">
        <f>Table1[[#Totals],[После плавания]]-V23</f>
        <v>5.4513888888888893E-3</v>
      </c>
      <c r="AA23" s="43">
        <f>Table1[[#Totals],[После вело]]-W23</f>
        <v>8.5879629629629622E-3</v>
      </c>
      <c r="AB23" s="43">
        <f>Table1[[#Totals],[После бега]]-X23</f>
        <v>1.3252314814814814E-2</v>
      </c>
      <c r="AC23" s="40" t="s">
        <v>192</v>
      </c>
      <c r="AD23" s="45">
        <f>TIME(0,40,0)-Table1[[#This Row],[После вело]]</f>
        <v>1.6122685185185184E-2</v>
      </c>
    </row>
    <row r="24" spans="1:30" ht="13" x14ac:dyDescent="0.15">
      <c r="A24" s="10">
        <v>120</v>
      </c>
      <c r="B24" s="11" t="s">
        <v>45</v>
      </c>
      <c r="C24" s="12" t="s">
        <v>26</v>
      </c>
      <c r="D24" s="13">
        <v>3.1481481481481482E-3</v>
      </c>
      <c r="E24" s="14">
        <f t="shared" si="0"/>
        <v>1.0493827160493827E-3</v>
      </c>
      <c r="F24" s="15">
        <f t="shared" si="1"/>
        <v>21</v>
      </c>
      <c r="G24" s="15">
        <f ca="1">IFERROR(__xludf.DUMMYFUNCTION("IF( D24,RANK(D24, FILTER(D$3:D$128, C$3:C$128 = C24), 1),"""")"),7)</f>
        <v>7</v>
      </c>
      <c r="H24" s="13">
        <v>8.5300925925925926E-3</v>
      </c>
      <c r="I24" s="16">
        <f t="shared" si="2"/>
        <v>0.20472222222222222</v>
      </c>
      <c r="J24" s="17">
        <f t="shared" si="3"/>
        <v>39.077340569877883</v>
      </c>
      <c r="K24" s="18">
        <f t="shared" si="4"/>
        <v>36</v>
      </c>
      <c r="L24" s="18">
        <f ca="1">IFERROR(__xludf.DUMMYFUNCTION("IF( H24,RANK(H24, FILTER(H$3:H$128, C$3:C$128 = C24), 1),"""")"),19)</f>
        <v>19</v>
      </c>
      <c r="M24" s="13">
        <v>5.5671296296296293E-3</v>
      </c>
      <c r="N24" s="19">
        <f t="shared" si="5"/>
        <v>2.7835648148148147E-3</v>
      </c>
      <c r="O24" s="18">
        <f t="shared" si="6"/>
        <v>34</v>
      </c>
      <c r="P24" s="18">
        <f ca="1">IFERROR(__xludf.DUMMYFUNCTION("IF( M24,RANK(M24, FILTER(M$3:M$128, C$3:C$128 = C24), 1),"""")"),16)</f>
        <v>16</v>
      </c>
      <c r="Q24" s="19">
        <f t="shared" si="7"/>
        <v>1.7245370370370369E-2</v>
      </c>
      <c r="R24" s="20">
        <f t="shared" si="8"/>
        <v>1.7245370370370369E-2</v>
      </c>
      <c r="S24" s="21">
        <f t="shared" si="9"/>
        <v>22</v>
      </c>
      <c r="T24" s="22">
        <f ca="1">IFERROR(__xludf.DUMMYFUNCTION("IF (S24 ,IF(S24 &gt; 3, RANK(Q24, FILTER(R$3:R$128, C$3:C$128 = C24,S$3:S$128 &gt; 3), 1),""""),"""")"),11)</f>
        <v>11</v>
      </c>
      <c r="U24" s="41" t="str">
        <f t="shared" si="10"/>
        <v>Доманников Дмитрий</v>
      </c>
      <c r="V24" s="43">
        <f t="shared" si="11"/>
        <v>3.1481481481481482E-3</v>
      </c>
      <c r="W24" s="43">
        <f t="shared" si="12"/>
        <v>1.1678240740740741E-2</v>
      </c>
      <c r="X24" s="43">
        <f t="shared" si="13"/>
        <v>1.7245370370370369E-2</v>
      </c>
      <c r="Y24" s="42">
        <f t="shared" si="14"/>
        <v>0</v>
      </c>
      <c r="Z24" s="43">
        <f>Table1[[#Totals],[После плавания]]-V24</f>
        <v>5.5671296296296302E-3</v>
      </c>
      <c r="AA24" s="43">
        <f>Table1[[#Totals],[После вело]]-W24</f>
        <v>8.564814814814815E-3</v>
      </c>
      <c r="AB24" s="43">
        <f>Table1[[#Totals],[После бега]]-X24</f>
        <v>1.3032407407407409E-2</v>
      </c>
      <c r="AC24" s="40" t="s">
        <v>192</v>
      </c>
      <c r="AD24" s="45">
        <f>TIME(0,40,0)-Table1[[#This Row],[После вело]]</f>
        <v>1.6099537037037037E-2</v>
      </c>
    </row>
    <row r="25" spans="1:30" ht="13" x14ac:dyDescent="0.15">
      <c r="A25" s="10">
        <v>168</v>
      </c>
      <c r="B25" s="11" t="s">
        <v>46</v>
      </c>
      <c r="C25" s="12" t="s">
        <v>23</v>
      </c>
      <c r="D25" s="13">
        <v>3.5995370370370369E-3</v>
      </c>
      <c r="E25" s="14">
        <f t="shared" si="0"/>
        <v>1.1998456790123456E-3</v>
      </c>
      <c r="F25" s="15">
        <f t="shared" si="1"/>
        <v>47</v>
      </c>
      <c r="G25" s="15">
        <f ca="1">IFERROR(__xludf.DUMMYFUNCTION("IF( D25,RANK(D25, FILTER(D$3:D$128, C$3:C$128 = C25), 1),"""")"),25)</f>
        <v>25</v>
      </c>
      <c r="H25" s="13">
        <v>8.1944444444444452E-3</v>
      </c>
      <c r="I25" s="16">
        <f t="shared" si="2"/>
        <v>0.19666666666666668</v>
      </c>
      <c r="J25" s="17">
        <f t="shared" si="3"/>
        <v>40.677966101694913</v>
      </c>
      <c r="K25" s="18">
        <f t="shared" si="4"/>
        <v>11</v>
      </c>
      <c r="L25" s="18">
        <f ca="1">IFERROR(__xludf.DUMMYFUNCTION("IF( H25,RANK(H25, FILTER(H$3:H$128, C$3:C$128 = C25), 1),"""")"),6)</f>
        <v>6</v>
      </c>
      <c r="M25" s="13">
        <v>5.4745370370370373E-3</v>
      </c>
      <c r="N25" s="19">
        <f t="shared" si="5"/>
        <v>2.7372685185185187E-3</v>
      </c>
      <c r="O25" s="18">
        <f t="shared" si="6"/>
        <v>31</v>
      </c>
      <c r="P25" s="18">
        <f ca="1">IFERROR(__xludf.DUMMYFUNCTION("IF( M25,RANK(M25, FILTER(M$3:M$128, C$3:C$128 = C25), 1),"""")"),16)</f>
        <v>16</v>
      </c>
      <c r="Q25" s="19">
        <f t="shared" si="7"/>
        <v>1.726851851851852E-2</v>
      </c>
      <c r="R25" s="20">
        <f t="shared" si="8"/>
        <v>1.726851851851852E-2</v>
      </c>
      <c r="S25" s="21">
        <f t="shared" si="9"/>
        <v>23</v>
      </c>
      <c r="T25" s="22">
        <f ca="1">IFERROR(__xludf.DUMMYFUNCTION("IF (S25 ,IF(S25 &gt; 3, RANK(Q25, FILTER(R$3:R$128, C$3:C$128 = C25,S$3:S$128 &gt; 3), 1),""""),"""")"),9)</f>
        <v>9</v>
      </c>
      <c r="U25" s="41" t="str">
        <f t="shared" si="10"/>
        <v>Жиделев Александр</v>
      </c>
      <c r="V25" s="43">
        <f t="shared" si="11"/>
        <v>3.5995370370370369E-3</v>
      </c>
      <c r="W25" s="43">
        <f t="shared" si="12"/>
        <v>1.1793981481481482E-2</v>
      </c>
      <c r="X25" s="43">
        <f t="shared" si="13"/>
        <v>1.726851851851852E-2</v>
      </c>
      <c r="Y25" s="42">
        <f t="shared" si="14"/>
        <v>0</v>
      </c>
      <c r="Z25" s="43">
        <f>Table1[[#Totals],[После плавания]]-V25</f>
        <v>5.1157407407407419E-3</v>
      </c>
      <c r="AA25" s="43">
        <f>Table1[[#Totals],[После вело]]-W25</f>
        <v>8.4490740740740741E-3</v>
      </c>
      <c r="AB25" s="43">
        <f>Table1[[#Totals],[После бега]]-X25</f>
        <v>1.3009259259259259E-2</v>
      </c>
      <c r="AC25" s="40" t="s">
        <v>192</v>
      </c>
      <c r="AD25" s="45">
        <f>TIME(0,40,0)-Table1[[#This Row],[После вело]]</f>
        <v>1.5983796296296295E-2</v>
      </c>
    </row>
    <row r="26" spans="1:30" ht="13" x14ac:dyDescent="0.15">
      <c r="A26" s="10">
        <v>141</v>
      </c>
      <c r="B26" s="11" t="s">
        <v>47</v>
      </c>
      <c r="C26" s="12" t="s">
        <v>26</v>
      </c>
      <c r="D26" s="13">
        <v>3.5995370370370369E-3</v>
      </c>
      <c r="E26" s="14">
        <f t="shared" si="0"/>
        <v>1.1998456790123456E-3</v>
      </c>
      <c r="F26" s="15">
        <f t="shared" si="1"/>
        <v>47</v>
      </c>
      <c r="G26" s="15">
        <f ca="1">IFERROR(__xludf.DUMMYFUNCTION("IF( D26,RANK(D26, FILTER(D$3:D$128, C$3:C$128 = C26), 1),"""")"),23)</f>
        <v>23</v>
      </c>
      <c r="H26" s="13">
        <v>8.4490740740740741E-3</v>
      </c>
      <c r="I26" s="16">
        <f t="shared" si="2"/>
        <v>0.20277777777777778</v>
      </c>
      <c r="J26" s="17">
        <f t="shared" si="3"/>
        <v>39.452054794520549</v>
      </c>
      <c r="K26" s="18">
        <f t="shared" si="4"/>
        <v>23</v>
      </c>
      <c r="L26" s="18">
        <f ca="1">IFERROR(__xludf.DUMMYFUNCTION("IF( H26,RANK(H26, FILTER(H$3:H$128, C$3:C$128 = C26), 1),"""")"),13)</f>
        <v>13</v>
      </c>
      <c r="M26" s="13">
        <v>5.3935185185185188E-3</v>
      </c>
      <c r="N26" s="19">
        <f t="shared" si="5"/>
        <v>2.6967592592592594E-3</v>
      </c>
      <c r="O26" s="18">
        <f t="shared" si="6"/>
        <v>24</v>
      </c>
      <c r="P26" s="18">
        <f ca="1">IFERROR(__xludf.DUMMYFUNCTION("IF( M26,RANK(M26, FILTER(M$3:M$128, C$3:C$128 = C26), 1),"""")"),14)</f>
        <v>14</v>
      </c>
      <c r="Q26" s="19">
        <f t="shared" si="7"/>
        <v>1.744212962962963E-2</v>
      </c>
      <c r="R26" s="20">
        <f t="shared" si="8"/>
        <v>1.744212962962963E-2</v>
      </c>
      <c r="S26" s="21">
        <f t="shared" si="9"/>
        <v>24</v>
      </c>
      <c r="T26" s="22">
        <f ca="1">IFERROR(__xludf.DUMMYFUNCTION("IF (S26 ,IF(S26 &gt; 3, RANK(Q26, FILTER(R$3:R$128, C$3:C$128 = C26,S$3:S$128 &gt; 3), 1),""""),"""")"),12)</f>
        <v>12</v>
      </c>
      <c r="U26" s="41" t="str">
        <f t="shared" si="10"/>
        <v>Ларионов Андрей</v>
      </c>
      <c r="V26" s="43">
        <f t="shared" si="11"/>
        <v>3.5995370370370369E-3</v>
      </c>
      <c r="W26" s="43">
        <f t="shared" si="12"/>
        <v>1.2048611111111111E-2</v>
      </c>
      <c r="X26" s="43">
        <f t="shared" si="13"/>
        <v>1.744212962962963E-2</v>
      </c>
      <c r="Y26" s="42">
        <f t="shared" si="14"/>
        <v>0</v>
      </c>
      <c r="Z26" s="43">
        <f>Table1[[#Totals],[После плавания]]-V26</f>
        <v>5.1157407407407419E-3</v>
      </c>
      <c r="AA26" s="43">
        <f>Table1[[#Totals],[После вело]]-W26</f>
        <v>8.1944444444444452E-3</v>
      </c>
      <c r="AB26" s="43">
        <f>Table1[[#Totals],[После бега]]-X26</f>
        <v>1.2835648148148148E-2</v>
      </c>
      <c r="AC26" s="40" t="s">
        <v>192</v>
      </c>
      <c r="AD26" s="45">
        <f>TIME(0,40,0)-Table1[[#This Row],[После вело]]</f>
        <v>1.5729166666666666E-2</v>
      </c>
    </row>
    <row r="27" spans="1:30" ht="13" x14ac:dyDescent="0.15">
      <c r="A27" s="10">
        <v>140</v>
      </c>
      <c r="B27" s="11" t="s">
        <v>48</v>
      </c>
      <c r="C27" s="12" t="s">
        <v>26</v>
      </c>
      <c r="D27" s="13">
        <v>3.5416666666666665E-3</v>
      </c>
      <c r="E27" s="14">
        <f t="shared" si="0"/>
        <v>1.1805555555555556E-3</v>
      </c>
      <c r="F27" s="15">
        <f t="shared" si="1"/>
        <v>42</v>
      </c>
      <c r="G27" s="15">
        <f ca="1">IFERROR(__xludf.DUMMYFUNCTION("IF( D27,RANK(D27, FILTER(D$3:D$128, C$3:C$128 = C27), 1),"""")"),20)</f>
        <v>20</v>
      </c>
      <c r="H27" s="13">
        <v>8.5879629629629622E-3</v>
      </c>
      <c r="I27" s="16">
        <f t="shared" si="2"/>
        <v>0.20611111111111108</v>
      </c>
      <c r="J27" s="17">
        <f t="shared" si="3"/>
        <v>38.814016172506747</v>
      </c>
      <c r="K27" s="18">
        <f t="shared" si="4"/>
        <v>39</v>
      </c>
      <c r="L27" s="18">
        <f ca="1">IFERROR(__xludf.DUMMYFUNCTION("IF( H27,RANK(H27, FILTER(H$3:H$128, C$3:C$128 = C27), 1),"""")"),21)</f>
        <v>21</v>
      </c>
      <c r="M27" s="13">
        <v>5.37037037037037E-3</v>
      </c>
      <c r="N27" s="19">
        <f t="shared" si="5"/>
        <v>2.685185185185185E-3</v>
      </c>
      <c r="O27" s="18">
        <f t="shared" si="6"/>
        <v>18</v>
      </c>
      <c r="P27" s="18">
        <f ca="1">IFERROR(__xludf.DUMMYFUNCTION("IF( M27,RANK(M27, FILTER(M$3:M$128, C$3:C$128 = C27), 1),"""")"),11)</f>
        <v>11</v>
      </c>
      <c r="Q27" s="19">
        <f t="shared" si="7"/>
        <v>1.7499999999999998E-2</v>
      </c>
      <c r="R27" s="20">
        <f t="shared" si="8"/>
        <v>1.7499999999999998E-2</v>
      </c>
      <c r="S27" s="21">
        <f t="shared" si="9"/>
        <v>25</v>
      </c>
      <c r="T27" s="22">
        <f ca="1">IFERROR(__xludf.DUMMYFUNCTION("IF (S27 ,IF(S27 &gt; 3, RANK(Q27, FILTER(R$3:R$128, C$3:C$128 = C27,S$3:S$128 &gt; 3), 1),""""),"""")"),13)</f>
        <v>13</v>
      </c>
      <c r="U27" s="41" t="str">
        <f t="shared" si="10"/>
        <v>Ворожбит Станислав</v>
      </c>
      <c r="V27" s="43">
        <f t="shared" si="11"/>
        <v>3.5416666666666665E-3</v>
      </c>
      <c r="W27" s="43">
        <f t="shared" si="12"/>
        <v>1.2129629629629629E-2</v>
      </c>
      <c r="X27" s="43">
        <f t="shared" si="13"/>
        <v>1.7499999999999998E-2</v>
      </c>
      <c r="Y27" s="42">
        <f t="shared" si="14"/>
        <v>0</v>
      </c>
      <c r="Z27" s="43">
        <f>Table1[[#Totals],[После плавания]]-V27</f>
        <v>5.1736111111111115E-3</v>
      </c>
      <c r="AA27" s="43">
        <f>Table1[[#Totals],[После вело]]-W27</f>
        <v>8.1134259259259267E-3</v>
      </c>
      <c r="AB27" s="43">
        <f>Table1[[#Totals],[После бега]]-X27</f>
        <v>1.277777777777778E-2</v>
      </c>
      <c r="AC27" s="40" t="s">
        <v>192</v>
      </c>
      <c r="AD27" s="45">
        <f>TIME(0,40,0)-Table1[[#This Row],[После вело]]</f>
        <v>1.5648148148148147E-2</v>
      </c>
    </row>
    <row r="28" spans="1:30" ht="13" x14ac:dyDescent="0.15">
      <c r="A28" s="10">
        <v>109</v>
      </c>
      <c r="B28" s="11" t="s">
        <v>49</v>
      </c>
      <c r="C28" s="12" t="s">
        <v>23</v>
      </c>
      <c r="D28" s="13">
        <v>2.9629629629629628E-3</v>
      </c>
      <c r="E28" s="14">
        <f t="shared" si="0"/>
        <v>9.8765432098765434E-4</v>
      </c>
      <c r="F28" s="15">
        <f t="shared" si="1"/>
        <v>13</v>
      </c>
      <c r="G28" s="15">
        <f ca="1">IFERROR(__xludf.DUMMYFUNCTION("IF( D28,RANK(D28, FILTER(D$3:D$128, C$3:C$128 = C28), 1),"""")"),9)</f>
        <v>9</v>
      </c>
      <c r="H28" s="13">
        <v>9.1666666666666667E-3</v>
      </c>
      <c r="I28" s="16">
        <f t="shared" si="2"/>
        <v>0.22</v>
      </c>
      <c r="J28" s="17">
        <f t="shared" si="3"/>
        <v>36.363636363636367</v>
      </c>
      <c r="K28" s="18">
        <f t="shared" si="4"/>
        <v>66</v>
      </c>
      <c r="L28" s="18">
        <f ca="1">IFERROR(__xludf.DUMMYFUNCTION("IF( H28,RANK(H28, FILTER(H$3:H$128, C$3:C$128 = C28), 1),"""")"),34)</f>
        <v>34</v>
      </c>
      <c r="M28" s="13">
        <v>5.4745370370370373E-3</v>
      </c>
      <c r="N28" s="19">
        <f t="shared" si="5"/>
        <v>2.7372685185185187E-3</v>
      </c>
      <c r="O28" s="18">
        <f t="shared" si="6"/>
        <v>31</v>
      </c>
      <c r="P28" s="18">
        <f ca="1">IFERROR(__xludf.DUMMYFUNCTION("IF( M28,RANK(M28, FILTER(M$3:M$128, C$3:C$128 = C28), 1),"""")"),16)</f>
        <v>16</v>
      </c>
      <c r="Q28" s="19">
        <f t="shared" si="7"/>
        <v>1.7604166666666667E-2</v>
      </c>
      <c r="R28" s="20">
        <f t="shared" si="8"/>
        <v>1.7604166666666667E-2</v>
      </c>
      <c r="S28" s="21">
        <f t="shared" si="9"/>
        <v>26</v>
      </c>
      <c r="T28" s="22">
        <f ca="1">IFERROR(__xludf.DUMMYFUNCTION("IF (S28 ,IF(S28 &gt; 3, RANK(Q28, FILTER(R$3:R$128, C$3:C$128 = C28,S$3:S$128 &gt; 3), 1),""""),"""")"),10)</f>
        <v>10</v>
      </c>
      <c r="U28" s="41" t="str">
        <f t="shared" si="10"/>
        <v>Лисецкий Дмитрий</v>
      </c>
      <c r="V28" s="43">
        <f t="shared" si="11"/>
        <v>2.9629629629629628E-3</v>
      </c>
      <c r="W28" s="43">
        <f t="shared" si="12"/>
        <v>1.2129629629629629E-2</v>
      </c>
      <c r="X28" s="43">
        <f t="shared" si="13"/>
        <v>1.7604166666666667E-2</v>
      </c>
      <c r="Y28" s="42">
        <f t="shared" si="14"/>
        <v>0</v>
      </c>
      <c r="Z28" s="43">
        <f>Table1[[#Totals],[После плавания]]-V28</f>
        <v>5.752314814814816E-3</v>
      </c>
      <c r="AA28" s="43">
        <f>Table1[[#Totals],[После вело]]-W28</f>
        <v>8.1134259259259267E-3</v>
      </c>
      <c r="AB28" s="43">
        <f>Table1[[#Totals],[После бега]]-X28</f>
        <v>1.2673611111111111E-2</v>
      </c>
      <c r="AC28" s="40" t="s">
        <v>192</v>
      </c>
      <c r="AD28" s="45">
        <f>TIME(0,40,0)-Table1[[#This Row],[После вело]]</f>
        <v>1.5648148148148147E-2</v>
      </c>
    </row>
    <row r="29" spans="1:30" ht="13" x14ac:dyDescent="0.15">
      <c r="A29" s="10">
        <v>135</v>
      </c>
      <c r="B29" s="11" t="s">
        <v>50</v>
      </c>
      <c r="C29" s="12" t="s">
        <v>23</v>
      </c>
      <c r="D29" s="13">
        <v>3.7499999999999999E-3</v>
      </c>
      <c r="E29" s="14">
        <f t="shared" si="0"/>
        <v>1.25E-3</v>
      </c>
      <c r="F29" s="15">
        <f t="shared" si="1"/>
        <v>56</v>
      </c>
      <c r="G29" s="15">
        <f ca="1">IFERROR(__xludf.DUMMYFUNCTION("IF( D29,RANK(D29, FILTER(D$3:D$128, C$3:C$128 = C29), 1),"""")"),29)</f>
        <v>29</v>
      </c>
      <c r="H29" s="13">
        <v>8.819444444444444E-3</v>
      </c>
      <c r="I29" s="16">
        <f t="shared" si="2"/>
        <v>0.21166666666666667</v>
      </c>
      <c r="J29" s="17">
        <f t="shared" si="3"/>
        <v>37.795275590551178</v>
      </c>
      <c r="K29" s="18">
        <f t="shared" si="4"/>
        <v>46</v>
      </c>
      <c r="L29" s="18">
        <f ca="1">IFERROR(__xludf.DUMMYFUNCTION("IF( H29,RANK(H29, FILTER(H$3:H$128, C$3:C$128 = C29), 1),"""")"),21)</f>
        <v>21</v>
      </c>
      <c r="M29" s="13">
        <v>5.1273148148148146E-3</v>
      </c>
      <c r="N29" s="19">
        <f t="shared" si="5"/>
        <v>2.5636574074074073E-3</v>
      </c>
      <c r="O29" s="18">
        <f t="shared" si="6"/>
        <v>7</v>
      </c>
      <c r="P29" s="18">
        <f ca="1">IFERROR(__xludf.DUMMYFUNCTION("IF( M29,RANK(M29, FILTER(M$3:M$128, C$3:C$128 = C29), 1),"""")"),6)</f>
        <v>6</v>
      </c>
      <c r="Q29" s="19">
        <f t="shared" si="7"/>
        <v>1.7696759259259259E-2</v>
      </c>
      <c r="R29" s="20">
        <f t="shared" si="8"/>
        <v>1.7696759259259259E-2</v>
      </c>
      <c r="S29" s="21">
        <f t="shared" si="9"/>
        <v>27</v>
      </c>
      <c r="T29" s="22">
        <f ca="1">IFERROR(__xludf.DUMMYFUNCTION("IF (S29 ,IF(S29 &gt; 3, RANK(Q29, FILTER(R$3:R$128, C$3:C$128 = C29,S$3:S$128 &gt; 3), 1),""""),"""")"),11)</f>
        <v>11</v>
      </c>
      <c r="U29" s="41" t="str">
        <f t="shared" si="10"/>
        <v>Малышев Евгений</v>
      </c>
      <c r="V29" s="43">
        <f t="shared" si="11"/>
        <v>3.7499999999999999E-3</v>
      </c>
      <c r="W29" s="43">
        <f t="shared" si="12"/>
        <v>1.2569444444444444E-2</v>
      </c>
      <c r="X29" s="43">
        <f t="shared" si="13"/>
        <v>1.7696759259259259E-2</v>
      </c>
      <c r="Y29" s="42">
        <f t="shared" si="14"/>
        <v>0</v>
      </c>
      <c r="Z29" s="43">
        <f>Table1[[#Totals],[После плавания]]-V29</f>
        <v>4.9652777777777785E-3</v>
      </c>
      <c r="AA29" s="43">
        <f>Table1[[#Totals],[После вело]]-W29</f>
        <v>7.673611111111112E-3</v>
      </c>
      <c r="AB29" s="43">
        <f>Table1[[#Totals],[После бега]]-X29</f>
        <v>1.2581018518518519E-2</v>
      </c>
      <c r="AC29" s="40" t="s">
        <v>192</v>
      </c>
      <c r="AD29" s="45">
        <f>TIME(0,40,0)-Table1[[#This Row],[После вело]]</f>
        <v>1.5208333333333332E-2</v>
      </c>
    </row>
    <row r="30" spans="1:30" ht="13" x14ac:dyDescent="0.15">
      <c r="A30" s="10">
        <v>154</v>
      </c>
      <c r="B30" s="11" t="s">
        <v>51</v>
      </c>
      <c r="C30" s="12" t="s">
        <v>26</v>
      </c>
      <c r="D30" s="13">
        <v>3.9351851851851848E-3</v>
      </c>
      <c r="E30" s="14">
        <f t="shared" si="0"/>
        <v>1.3117283950617282E-3</v>
      </c>
      <c r="F30" s="15">
        <f t="shared" si="1"/>
        <v>72</v>
      </c>
      <c r="G30" s="15">
        <f ca="1">IFERROR(__xludf.DUMMYFUNCTION("IF( D30,RANK(D30, FILTER(D$3:D$128, C$3:C$128 = C30), 1),"""")"),32)</f>
        <v>32</v>
      </c>
      <c r="H30" s="13">
        <v>8.5069444444444437E-3</v>
      </c>
      <c r="I30" s="16">
        <f t="shared" si="2"/>
        <v>0.20416666666666666</v>
      </c>
      <c r="J30" s="17">
        <f t="shared" si="3"/>
        <v>39.183673469387756</v>
      </c>
      <c r="K30" s="18">
        <f t="shared" si="4"/>
        <v>33</v>
      </c>
      <c r="L30" s="18">
        <f ca="1">IFERROR(__xludf.DUMMYFUNCTION("IF( H30,RANK(H30, FILTER(H$3:H$128, C$3:C$128 = C30), 1),"""")"),17)</f>
        <v>17</v>
      </c>
      <c r="M30" s="13">
        <v>5.2893518518518515E-3</v>
      </c>
      <c r="N30" s="19">
        <f t="shared" si="5"/>
        <v>2.6446759259259258E-3</v>
      </c>
      <c r="O30" s="18">
        <f t="shared" si="6"/>
        <v>11</v>
      </c>
      <c r="P30" s="18">
        <f ca="1">IFERROR(__xludf.DUMMYFUNCTION("IF( M30,RANK(M30, FILTER(M$3:M$128, C$3:C$128 = C30), 1),"""")"),4)</f>
        <v>4</v>
      </c>
      <c r="Q30" s="19">
        <f t="shared" si="7"/>
        <v>1.773148148148148E-2</v>
      </c>
      <c r="R30" s="20">
        <f t="shared" si="8"/>
        <v>1.773148148148148E-2</v>
      </c>
      <c r="S30" s="21">
        <f t="shared" si="9"/>
        <v>28</v>
      </c>
      <c r="T30" s="22">
        <f ca="1">IFERROR(__xludf.DUMMYFUNCTION("IF (S30 ,IF(S30 &gt; 3, RANK(Q30, FILTER(R$3:R$128, C$3:C$128 = C30,S$3:S$128 &gt; 3), 1),""""),"""")"),14)</f>
        <v>14</v>
      </c>
      <c r="U30" s="41" t="str">
        <f t="shared" si="10"/>
        <v>Кожан Валерий</v>
      </c>
      <c r="V30" s="43">
        <f t="shared" si="11"/>
        <v>3.9351851851851848E-3</v>
      </c>
      <c r="W30" s="43">
        <f t="shared" si="12"/>
        <v>1.2442129629629629E-2</v>
      </c>
      <c r="X30" s="43">
        <f t="shared" si="13"/>
        <v>1.773148148148148E-2</v>
      </c>
      <c r="Y30" s="42">
        <f t="shared" si="14"/>
        <v>0</v>
      </c>
      <c r="Z30" s="43">
        <f>Table1[[#Totals],[После плавания]]-V30</f>
        <v>4.7800925925925936E-3</v>
      </c>
      <c r="AA30" s="43">
        <f>Table1[[#Totals],[После вело]]-W30</f>
        <v>7.8009259259259264E-3</v>
      </c>
      <c r="AB30" s="43">
        <f>Table1[[#Totals],[После бега]]-X30</f>
        <v>1.2546296296296298E-2</v>
      </c>
      <c r="AC30" s="40" t="s">
        <v>192</v>
      </c>
      <c r="AD30" s="45">
        <f>TIME(0,40,0)-Table1[[#This Row],[После вело]]</f>
        <v>1.5335648148148147E-2</v>
      </c>
    </row>
    <row r="31" spans="1:30" ht="13" x14ac:dyDescent="0.15">
      <c r="A31" s="10">
        <v>130</v>
      </c>
      <c r="B31" s="11" t="s">
        <v>52</v>
      </c>
      <c r="C31" s="12" t="s">
        <v>26</v>
      </c>
      <c r="D31" s="13">
        <v>3.2407407407407406E-3</v>
      </c>
      <c r="E31" s="14">
        <f t="shared" si="0"/>
        <v>1.0802469135802468E-3</v>
      </c>
      <c r="F31" s="15">
        <f t="shared" si="1"/>
        <v>27</v>
      </c>
      <c r="G31" s="15">
        <f ca="1">IFERROR(__xludf.DUMMYFUNCTION("IF( D31,RANK(D31, FILTER(D$3:D$128, C$3:C$128 = C31), 1),"""")"),11)</f>
        <v>11</v>
      </c>
      <c r="H31" s="13">
        <v>8.7962962962962968E-3</v>
      </c>
      <c r="I31" s="16">
        <f t="shared" si="2"/>
        <v>0.21111111111111114</v>
      </c>
      <c r="J31" s="17">
        <f t="shared" si="3"/>
        <v>37.89473684210526</v>
      </c>
      <c r="K31" s="18">
        <f t="shared" si="4"/>
        <v>43</v>
      </c>
      <c r="L31" s="18">
        <f ca="1">IFERROR(__xludf.DUMMYFUNCTION("IF( H31,RANK(H31, FILTER(H$3:H$128, C$3:C$128 = C31), 1),"""")"),23)</f>
        <v>23</v>
      </c>
      <c r="M31" s="13">
        <v>5.8101851851851856E-3</v>
      </c>
      <c r="N31" s="19">
        <f t="shared" si="5"/>
        <v>2.9050925925925928E-3</v>
      </c>
      <c r="O31" s="18">
        <f t="shared" si="6"/>
        <v>47</v>
      </c>
      <c r="P31" s="18">
        <f ca="1">IFERROR(__xludf.DUMMYFUNCTION("IF( M31,RANK(M31, FILTER(M$3:M$128, C$3:C$128 = C31), 1),"""")"),22)</f>
        <v>22</v>
      </c>
      <c r="Q31" s="19">
        <f t="shared" si="7"/>
        <v>1.7847222222222223E-2</v>
      </c>
      <c r="R31" s="20">
        <f t="shared" si="8"/>
        <v>1.7847222222222223E-2</v>
      </c>
      <c r="S31" s="21">
        <f t="shared" si="9"/>
        <v>29</v>
      </c>
      <c r="T31" s="22">
        <f ca="1">IFERROR(__xludf.DUMMYFUNCTION("IF (S31 ,IF(S31 &gt; 3, RANK(Q31, FILTER(R$3:R$128, C$3:C$128 = C31,S$3:S$128 &gt; 3), 1),""""),"""")"),15)</f>
        <v>15</v>
      </c>
      <c r="U31" s="41" t="str">
        <f t="shared" si="10"/>
        <v>Dyuba Evgeniy</v>
      </c>
      <c r="V31" s="43">
        <f t="shared" si="11"/>
        <v>3.2407407407407406E-3</v>
      </c>
      <c r="W31" s="43">
        <f t="shared" si="12"/>
        <v>1.2037037037037037E-2</v>
      </c>
      <c r="X31" s="43">
        <f t="shared" si="13"/>
        <v>1.7847222222222223E-2</v>
      </c>
      <c r="Y31" s="42">
        <f t="shared" si="14"/>
        <v>0</v>
      </c>
      <c r="Z31" s="43">
        <f>Table1[[#Totals],[После плавания]]-V31</f>
        <v>5.4745370370370382E-3</v>
      </c>
      <c r="AA31" s="43">
        <f>Table1[[#Totals],[После вело]]-W31</f>
        <v>8.2060185185185187E-3</v>
      </c>
      <c r="AB31" s="43">
        <f>Table1[[#Totals],[После бега]]-X31</f>
        <v>1.2430555555555556E-2</v>
      </c>
      <c r="AC31" s="40" t="s">
        <v>192</v>
      </c>
      <c r="AD31" s="45">
        <f>TIME(0,40,0)-Table1[[#This Row],[После вело]]</f>
        <v>1.5740740740740739E-2</v>
      </c>
    </row>
    <row r="32" spans="1:30" ht="13" x14ac:dyDescent="0.15">
      <c r="A32" s="10">
        <v>47</v>
      </c>
      <c r="B32" s="11" t="s">
        <v>53</v>
      </c>
      <c r="C32" s="12" t="s">
        <v>23</v>
      </c>
      <c r="D32" s="13">
        <v>3.2060185185185186E-3</v>
      </c>
      <c r="E32" s="14">
        <f t="shared" si="0"/>
        <v>1.0686728395061728E-3</v>
      </c>
      <c r="F32" s="15">
        <f t="shared" si="1"/>
        <v>23</v>
      </c>
      <c r="G32" s="15">
        <f ca="1">IFERROR(__xludf.DUMMYFUNCTION("IF( D32,RANK(D32, FILTER(D$3:D$128, C$3:C$128 = C32), 1),"""")"),15)</f>
        <v>15</v>
      </c>
      <c r="H32" s="13">
        <v>8.819444444444444E-3</v>
      </c>
      <c r="I32" s="16">
        <f t="shared" si="2"/>
        <v>0.21166666666666667</v>
      </c>
      <c r="J32" s="17">
        <f t="shared" si="3"/>
        <v>37.795275590551178</v>
      </c>
      <c r="K32" s="18">
        <f t="shared" si="4"/>
        <v>46</v>
      </c>
      <c r="L32" s="18">
        <f ca="1">IFERROR(__xludf.DUMMYFUNCTION("IF( H32,RANK(H32, FILTER(H$3:H$128, C$3:C$128 = C32), 1),"""")"),21)</f>
        <v>21</v>
      </c>
      <c r="M32" s="13">
        <v>5.8449074074074072E-3</v>
      </c>
      <c r="N32" s="19">
        <f t="shared" si="5"/>
        <v>2.9224537037037036E-3</v>
      </c>
      <c r="O32" s="18">
        <f t="shared" si="6"/>
        <v>49</v>
      </c>
      <c r="P32" s="18">
        <f ca="1">IFERROR(__xludf.DUMMYFUNCTION("IF( M32,RANK(M32, FILTER(M$3:M$128, C$3:C$128 = C32), 1),"""")"),27)</f>
        <v>27</v>
      </c>
      <c r="Q32" s="19">
        <f t="shared" si="7"/>
        <v>1.787037037037037E-2</v>
      </c>
      <c r="R32" s="20">
        <f t="shared" si="8"/>
        <v>1.787037037037037E-2</v>
      </c>
      <c r="S32" s="21">
        <f t="shared" si="9"/>
        <v>30</v>
      </c>
      <c r="T32" s="22">
        <f ca="1">IFERROR(__xludf.DUMMYFUNCTION("IF (S32 ,IF(S32 &gt; 3, RANK(Q32, FILTER(R$3:R$128, C$3:C$128 = C32,S$3:S$128 &gt; 3), 1),""""),"""")"),12)</f>
        <v>12</v>
      </c>
      <c r="U32" s="41" t="str">
        <f t="shared" si="10"/>
        <v>Щербенок Игорь</v>
      </c>
      <c r="V32" s="43">
        <f t="shared" si="11"/>
        <v>3.2060185185185186E-3</v>
      </c>
      <c r="W32" s="43">
        <f t="shared" si="12"/>
        <v>1.2025462962962963E-2</v>
      </c>
      <c r="X32" s="43">
        <f t="shared" si="13"/>
        <v>1.787037037037037E-2</v>
      </c>
      <c r="Y32" s="42">
        <f t="shared" si="14"/>
        <v>0</v>
      </c>
      <c r="Z32" s="43">
        <f>Table1[[#Totals],[После плавания]]-V32</f>
        <v>5.5092592592592598E-3</v>
      </c>
      <c r="AA32" s="43">
        <f>Table1[[#Totals],[После вело]]-W32</f>
        <v>8.2175925925925923E-3</v>
      </c>
      <c r="AB32" s="43">
        <f>Table1[[#Totals],[После бега]]-X32</f>
        <v>1.2407407407407409E-2</v>
      </c>
      <c r="AC32" s="40" t="s">
        <v>192</v>
      </c>
      <c r="AD32" s="45">
        <f>TIME(0,40,0)-Table1[[#This Row],[После вело]]</f>
        <v>1.5752314814814813E-2</v>
      </c>
    </row>
    <row r="33" spans="1:30" ht="13" x14ac:dyDescent="0.15">
      <c r="A33" s="10">
        <v>36</v>
      </c>
      <c r="B33" s="11" t="s">
        <v>54</v>
      </c>
      <c r="C33" s="12" t="s">
        <v>26</v>
      </c>
      <c r="D33" s="13">
        <v>3.6574074074074074E-3</v>
      </c>
      <c r="E33" s="14">
        <f t="shared" si="0"/>
        <v>1.2191358024691357E-3</v>
      </c>
      <c r="F33" s="15">
        <f t="shared" si="1"/>
        <v>51</v>
      </c>
      <c r="G33" s="15">
        <f ca="1">IFERROR(__xludf.DUMMYFUNCTION("IF( D33,RANK(D33, FILTER(D$3:D$128, C$3:C$128 = C33), 1),"""")"),24)</f>
        <v>24</v>
      </c>
      <c r="H33" s="13">
        <v>8.5995370370370375E-3</v>
      </c>
      <c r="I33" s="16">
        <f t="shared" si="2"/>
        <v>0.2063888888888889</v>
      </c>
      <c r="J33" s="17">
        <f t="shared" si="3"/>
        <v>38.761776581426645</v>
      </c>
      <c r="K33" s="18">
        <f t="shared" si="4"/>
        <v>40</v>
      </c>
      <c r="L33" s="18">
        <f ca="1">IFERROR(__xludf.DUMMYFUNCTION("IF( H33,RANK(H33, FILTER(H$3:H$128, C$3:C$128 = C33), 1),"""")"),22)</f>
        <v>22</v>
      </c>
      <c r="M33" s="13">
        <v>5.6712962962962967E-3</v>
      </c>
      <c r="N33" s="19">
        <f t="shared" si="5"/>
        <v>2.8356481481481483E-3</v>
      </c>
      <c r="O33" s="18">
        <f t="shared" si="6"/>
        <v>42</v>
      </c>
      <c r="P33" s="18">
        <f ca="1">IFERROR(__xludf.DUMMYFUNCTION("IF( M33,RANK(M33, FILTER(M$3:M$128, C$3:C$128 = C33), 1),"""")"),21)</f>
        <v>21</v>
      </c>
      <c r="Q33" s="19">
        <f t="shared" si="7"/>
        <v>1.7928240740740741E-2</v>
      </c>
      <c r="R33" s="20">
        <f t="shared" si="8"/>
        <v>1.7928240740740741E-2</v>
      </c>
      <c r="S33" s="21">
        <f t="shared" si="9"/>
        <v>31</v>
      </c>
      <c r="T33" s="22">
        <f ca="1">IFERROR(__xludf.DUMMYFUNCTION("IF (S33 ,IF(S33 &gt; 3, RANK(Q33, FILTER(R$3:R$128, C$3:C$128 = C33,S$3:S$128 &gt; 3), 1),""""),"""")"),16)</f>
        <v>16</v>
      </c>
      <c r="U33" s="41" t="str">
        <f t="shared" si="10"/>
        <v>Jasinski Sergey</v>
      </c>
      <c r="V33" s="43">
        <f t="shared" si="11"/>
        <v>3.6574074074074074E-3</v>
      </c>
      <c r="W33" s="43">
        <f t="shared" si="12"/>
        <v>1.2256944444444445E-2</v>
      </c>
      <c r="X33" s="43">
        <f t="shared" si="13"/>
        <v>1.7928240740740741E-2</v>
      </c>
      <c r="Y33" s="42">
        <f t="shared" si="14"/>
        <v>0</v>
      </c>
      <c r="Z33" s="43">
        <f>Table1[[#Totals],[После плавания]]-V33</f>
        <v>5.0578703703703706E-3</v>
      </c>
      <c r="AA33" s="43">
        <f>Table1[[#Totals],[После вело]]-W33</f>
        <v>7.9861111111111105E-3</v>
      </c>
      <c r="AB33" s="43">
        <f>Table1[[#Totals],[После бега]]-X33</f>
        <v>1.2349537037037037E-2</v>
      </c>
      <c r="AC33" s="40" t="s">
        <v>192</v>
      </c>
      <c r="AD33" s="45">
        <f>TIME(0,40,0)-Table1[[#This Row],[После вело]]</f>
        <v>1.5520833333333331E-2</v>
      </c>
    </row>
    <row r="34" spans="1:30" ht="13" x14ac:dyDescent="0.15">
      <c r="A34" s="10">
        <v>156</v>
      </c>
      <c r="B34" s="11" t="s">
        <v>55</v>
      </c>
      <c r="C34" s="12" t="s">
        <v>26</v>
      </c>
      <c r="D34" s="13">
        <v>3.5416666666666665E-3</v>
      </c>
      <c r="E34" s="14">
        <f t="shared" si="0"/>
        <v>1.1805555555555556E-3</v>
      </c>
      <c r="F34" s="15">
        <f t="shared" si="1"/>
        <v>42</v>
      </c>
      <c r="G34" s="15">
        <f ca="1">IFERROR(__xludf.DUMMYFUNCTION("IF( D34,RANK(D34, FILTER(D$3:D$128, C$3:C$128 = C34), 1),"""")"),20)</f>
        <v>20</v>
      </c>
      <c r="H34" s="13">
        <v>8.4259259259259253E-3</v>
      </c>
      <c r="I34" s="16">
        <f t="shared" si="2"/>
        <v>0.20222222222222219</v>
      </c>
      <c r="J34" s="17">
        <f t="shared" si="3"/>
        <v>39.560439560439569</v>
      </c>
      <c r="K34" s="18">
        <f t="shared" si="4"/>
        <v>21</v>
      </c>
      <c r="L34" s="18">
        <f ca="1">IFERROR(__xludf.DUMMYFUNCTION("IF( H34,RANK(H34, FILTER(H$3:H$128, C$3:C$128 = C34), 1),"""")"),11)</f>
        <v>11</v>
      </c>
      <c r="M34" s="13">
        <v>5.9722222222222225E-3</v>
      </c>
      <c r="N34" s="19">
        <f t="shared" si="5"/>
        <v>2.9861111111111113E-3</v>
      </c>
      <c r="O34" s="18">
        <f t="shared" si="6"/>
        <v>57</v>
      </c>
      <c r="P34" s="18">
        <f ca="1">IFERROR(__xludf.DUMMYFUNCTION("IF( M34,RANK(M34, FILTER(M$3:M$128, C$3:C$128 = C34), 1),"""")"),26)</f>
        <v>26</v>
      </c>
      <c r="Q34" s="19">
        <f t="shared" si="7"/>
        <v>1.7939814814814815E-2</v>
      </c>
      <c r="R34" s="20">
        <f t="shared" si="8"/>
        <v>1.7939814814814815E-2</v>
      </c>
      <c r="S34" s="21">
        <f t="shared" si="9"/>
        <v>32</v>
      </c>
      <c r="T34" s="22">
        <f ca="1">IFERROR(__xludf.DUMMYFUNCTION("IF (S34 ,IF(S34 &gt; 3, RANK(Q34, FILTER(R$3:R$128, C$3:C$128 = C34,S$3:S$128 &gt; 3), 1),""""),"""")"),17)</f>
        <v>17</v>
      </c>
      <c r="U34" s="41" t="str">
        <f t="shared" si="10"/>
        <v>Астапкович Алексей</v>
      </c>
      <c r="V34" s="43">
        <f t="shared" si="11"/>
        <v>3.5416666666666665E-3</v>
      </c>
      <c r="W34" s="43">
        <f t="shared" si="12"/>
        <v>1.1967592592592592E-2</v>
      </c>
      <c r="X34" s="43">
        <f t="shared" si="13"/>
        <v>1.7939814814814815E-2</v>
      </c>
      <c r="Y34" s="42">
        <f t="shared" si="14"/>
        <v>0</v>
      </c>
      <c r="Z34" s="43">
        <f>Table1[[#Totals],[После плавания]]-V34</f>
        <v>5.1736111111111115E-3</v>
      </c>
      <c r="AA34" s="43">
        <f>Table1[[#Totals],[После вело]]-W34</f>
        <v>8.2754629629629636E-3</v>
      </c>
      <c r="AB34" s="43">
        <f>Table1[[#Totals],[После бега]]-X34</f>
        <v>1.2337962962962964E-2</v>
      </c>
      <c r="AC34" s="40" t="s">
        <v>192</v>
      </c>
      <c r="AD34" s="45">
        <f>TIME(0,40,0)-Table1[[#This Row],[После вело]]</f>
        <v>1.5810185185185184E-2</v>
      </c>
    </row>
    <row r="35" spans="1:30" ht="13" x14ac:dyDescent="0.15">
      <c r="A35" s="10">
        <v>126</v>
      </c>
      <c r="B35" s="11" t="s">
        <v>56</v>
      </c>
      <c r="C35" s="12" t="s">
        <v>23</v>
      </c>
      <c r="D35" s="13">
        <v>3.7962962962962963E-3</v>
      </c>
      <c r="E35" s="14">
        <f t="shared" si="0"/>
        <v>1.2654320987654322E-3</v>
      </c>
      <c r="F35" s="15">
        <f t="shared" ref="F35:F66" si="15">IF(D35, RANK(D35,$D$3:$D$118,1), "")</f>
        <v>59</v>
      </c>
      <c r="G35" s="15">
        <f ca="1">IFERROR(__xludf.DUMMYFUNCTION("IF( D35,RANK(D35, FILTER(D$3:D$128, C$3:C$128 = C35), 1),"""")"),32)</f>
        <v>32</v>
      </c>
      <c r="H35" s="13">
        <v>8.4143518518518517E-3</v>
      </c>
      <c r="I35" s="16">
        <f t="shared" si="2"/>
        <v>0.20194444444444443</v>
      </c>
      <c r="J35" s="17">
        <f t="shared" si="3"/>
        <v>39.614855570839069</v>
      </c>
      <c r="K35" s="18">
        <f t="shared" ref="K35:K66" si="16">IF(H35, RANK(H35,$H$3:$H$118,1), "")</f>
        <v>20</v>
      </c>
      <c r="L35" s="18">
        <f ca="1">IFERROR(__xludf.DUMMYFUNCTION("IF( H35,RANK(H35, FILTER(H$3:H$128, C$3:C$128 = C35), 1),"""")"),10)</f>
        <v>10</v>
      </c>
      <c r="M35" s="13">
        <v>5.7407407407407407E-3</v>
      </c>
      <c r="N35" s="19">
        <f t="shared" si="5"/>
        <v>2.8703703703703703E-3</v>
      </c>
      <c r="O35" s="18">
        <f t="shared" ref="O35:O66" si="17">IF(M35, RANK(M35,$M$3:$M$118,1), "")</f>
        <v>45</v>
      </c>
      <c r="P35" s="18">
        <f ca="1">IFERROR(__xludf.DUMMYFUNCTION("IF( M35,RANK(M35, FILTER(M$3:M$128, C$3:C$128 = C35), 1),"""")"),24)</f>
        <v>24</v>
      </c>
      <c r="Q35" s="19">
        <f t="shared" si="7"/>
        <v>1.7951388888888888E-2</v>
      </c>
      <c r="R35" s="20">
        <f t="shared" si="8"/>
        <v>1.7951388888888888E-2</v>
      </c>
      <c r="S35" s="21">
        <f t="shared" ref="S35:S66" si="18">IF(R35,RANK(R35,R$3:R$118,1),"")</f>
        <v>33</v>
      </c>
      <c r="T35" s="22">
        <f ca="1">IFERROR(__xludf.DUMMYFUNCTION("IF (S35 ,IF(S35 &gt; 3, RANK(Q35, FILTER(R$3:R$128, C$3:C$128 = C35,S$3:S$128 &gt; 3), 1),""""),"""")"),13)</f>
        <v>13</v>
      </c>
      <c r="U35" s="41" t="str">
        <f t="shared" ref="U35:U66" si="19">B35</f>
        <v>Прокопович Сергей</v>
      </c>
      <c r="V35" s="43">
        <f t="shared" ref="V35:V66" si="20">D35</f>
        <v>3.7962962962962963E-3</v>
      </c>
      <c r="W35" s="43">
        <f t="shared" ref="W35:W66" si="21">SUM(V35,H35)</f>
        <v>1.2210648148148148E-2</v>
      </c>
      <c r="X35" s="43">
        <f t="shared" ref="X35:X66" si="22">SUM(W35,M35)</f>
        <v>1.7951388888888888E-2</v>
      </c>
      <c r="Y35" s="42">
        <f t="shared" ref="Y35:Y66" si="23">TIME(0,0,0)</f>
        <v>0</v>
      </c>
      <c r="Z35" s="43">
        <f>Table1[[#Totals],[После плавания]]-V35</f>
        <v>4.9189814814814825E-3</v>
      </c>
      <c r="AA35" s="43">
        <f>Table1[[#Totals],[После вело]]-W35</f>
        <v>8.0324074074074082E-3</v>
      </c>
      <c r="AB35" s="43">
        <f>Table1[[#Totals],[После бега]]-X35</f>
        <v>1.232638888888889E-2</v>
      </c>
      <c r="AC35" s="40" t="s">
        <v>192</v>
      </c>
      <c r="AD35" s="45">
        <f>TIME(0,40,0)-Table1[[#This Row],[После вело]]</f>
        <v>1.5567129629629629E-2</v>
      </c>
    </row>
    <row r="36" spans="1:30" ht="13" x14ac:dyDescent="0.15">
      <c r="A36" s="10">
        <v>127</v>
      </c>
      <c r="B36" s="11" t="s">
        <v>57</v>
      </c>
      <c r="C36" s="12" t="s">
        <v>26</v>
      </c>
      <c r="D36" s="13">
        <v>3.2291666666666666E-3</v>
      </c>
      <c r="E36" s="14">
        <f t="shared" si="0"/>
        <v>1.0763888888888889E-3</v>
      </c>
      <c r="F36" s="15">
        <f t="shared" si="15"/>
        <v>25</v>
      </c>
      <c r="G36" s="15">
        <f ca="1">IFERROR(__xludf.DUMMYFUNCTION("IF( D36,RANK(D36, FILTER(D$3:D$128, C$3:C$128 = C36), 1),"""")"),10)</f>
        <v>10</v>
      </c>
      <c r="H36" s="13">
        <v>8.8310185185185193E-3</v>
      </c>
      <c r="I36" s="16">
        <f t="shared" si="2"/>
        <v>0.21194444444444446</v>
      </c>
      <c r="J36" s="17">
        <f t="shared" si="3"/>
        <v>37.745740498034074</v>
      </c>
      <c r="K36" s="18">
        <f t="shared" si="16"/>
        <v>48</v>
      </c>
      <c r="L36" s="18">
        <f ca="1">IFERROR(__xludf.DUMMYFUNCTION("IF( H36,RANK(H36, FILTER(H$3:H$128, C$3:C$128 = C36), 1),"""")"),26)</f>
        <v>26</v>
      </c>
      <c r="M36" s="13">
        <v>5.8912037037037041E-3</v>
      </c>
      <c r="N36" s="19">
        <f t="shared" si="5"/>
        <v>2.945601851851852E-3</v>
      </c>
      <c r="O36" s="18">
        <f t="shared" si="17"/>
        <v>52</v>
      </c>
      <c r="P36" s="18">
        <f ca="1">IFERROR(__xludf.DUMMYFUNCTION("IF( M36,RANK(M36, FILTER(M$3:M$128, C$3:C$128 = C36), 1),"""")"),24)</f>
        <v>24</v>
      </c>
      <c r="Q36" s="19">
        <f t="shared" si="7"/>
        <v>1.7951388888888892E-2</v>
      </c>
      <c r="R36" s="20">
        <f t="shared" si="8"/>
        <v>1.7951388888888892E-2</v>
      </c>
      <c r="S36" s="21">
        <f t="shared" si="18"/>
        <v>34</v>
      </c>
      <c r="T36" s="22">
        <f ca="1">IFERROR(__xludf.DUMMYFUNCTION("IF (S36 ,IF(S36 &gt; 3, RANK(Q36, FILTER(R$3:R$128, C$3:C$128 = C36,S$3:S$128 &gt; 3), 1),""""),"""")"),18)</f>
        <v>18</v>
      </c>
      <c r="U36" s="41" t="str">
        <f t="shared" si="19"/>
        <v>Картун Андрей</v>
      </c>
      <c r="V36" s="43">
        <f t="shared" si="20"/>
        <v>3.2291666666666666E-3</v>
      </c>
      <c r="W36" s="43">
        <f t="shared" si="21"/>
        <v>1.2060185185185186E-2</v>
      </c>
      <c r="X36" s="43">
        <f t="shared" si="22"/>
        <v>1.7951388888888892E-2</v>
      </c>
      <c r="Y36" s="42">
        <f t="shared" si="23"/>
        <v>0</v>
      </c>
      <c r="Z36" s="43">
        <f>Table1[[#Totals],[После плавания]]-V36</f>
        <v>5.4861111111111117E-3</v>
      </c>
      <c r="AA36" s="43">
        <f>Table1[[#Totals],[После вело]]-W36</f>
        <v>8.1828703703703699E-3</v>
      </c>
      <c r="AB36" s="43">
        <f>Table1[[#Totals],[После бега]]-X36</f>
        <v>1.2326388888888887E-2</v>
      </c>
      <c r="AC36" s="40" t="s">
        <v>192</v>
      </c>
      <c r="AD36" s="45">
        <f>TIME(0,40,0)-Table1[[#This Row],[После вело]]</f>
        <v>1.5717592592592589E-2</v>
      </c>
    </row>
    <row r="37" spans="1:30" ht="13" x14ac:dyDescent="0.15">
      <c r="A37" s="10">
        <v>22</v>
      </c>
      <c r="B37" s="11" t="s">
        <v>58</v>
      </c>
      <c r="C37" s="12" t="s">
        <v>23</v>
      </c>
      <c r="D37" s="13">
        <v>4.0509259259259257E-3</v>
      </c>
      <c r="E37" s="14">
        <f t="shared" si="0"/>
        <v>1.3503086419753086E-3</v>
      </c>
      <c r="F37" s="15">
        <f t="shared" si="15"/>
        <v>82</v>
      </c>
      <c r="G37" s="15">
        <f ca="1">IFERROR(__xludf.DUMMYFUNCTION("IF( D37,RANK(D37, FILTER(D$3:D$128, C$3:C$128 = C37), 1),"""")"),46)</f>
        <v>46</v>
      </c>
      <c r="H37" s="13">
        <v>8.4490740740740741E-3</v>
      </c>
      <c r="I37" s="16">
        <f t="shared" si="2"/>
        <v>0.20277777777777778</v>
      </c>
      <c r="J37" s="17">
        <f t="shared" si="3"/>
        <v>39.452054794520549</v>
      </c>
      <c r="K37" s="18">
        <f t="shared" si="16"/>
        <v>23</v>
      </c>
      <c r="L37" s="18">
        <f ca="1">IFERROR(__xludf.DUMMYFUNCTION("IF( H37,RANK(H37, FILTER(H$3:H$128, C$3:C$128 = C37), 1),"""")"),11)</f>
        <v>11</v>
      </c>
      <c r="M37" s="13">
        <v>5.4976851851851853E-3</v>
      </c>
      <c r="N37" s="19">
        <f t="shared" si="5"/>
        <v>2.7488425925925927E-3</v>
      </c>
      <c r="O37" s="18">
        <f t="shared" si="17"/>
        <v>33</v>
      </c>
      <c r="P37" s="18">
        <f ca="1">IFERROR(__xludf.DUMMYFUNCTION("IF( M37,RANK(M37, FILTER(M$3:M$128, C$3:C$128 = C37), 1),"""")"),18)</f>
        <v>18</v>
      </c>
      <c r="Q37" s="19">
        <f t="shared" si="7"/>
        <v>1.7997685185185186E-2</v>
      </c>
      <c r="R37" s="20">
        <f t="shared" si="8"/>
        <v>1.7997685185185186E-2</v>
      </c>
      <c r="S37" s="21">
        <f t="shared" si="18"/>
        <v>35</v>
      </c>
      <c r="T37" s="22">
        <f ca="1">IFERROR(__xludf.DUMMYFUNCTION("IF (S37 ,IF(S37 &gt; 3, RANK(Q37, FILTER(R$3:R$128, C$3:C$128 = C37,S$3:S$128 &gt; 3), 1),""""),"""")"),14)</f>
        <v>14</v>
      </c>
      <c r="U37" s="41" t="str">
        <f t="shared" si="19"/>
        <v>Шпакович Максим</v>
      </c>
      <c r="V37" s="43">
        <f t="shared" si="20"/>
        <v>4.0509259259259257E-3</v>
      </c>
      <c r="W37" s="43">
        <f t="shared" si="21"/>
        <v>1.2500000000000001E-2</v>
      </c>
      <c r="X37" s="43">
        <f t="shared" si="22"/>
        <v>1.7997685185185186E-2</v>
      </c>
      <c r="Y37" s="42">
        <f t="shared" si="23"/>
        <v>0</v>
      </c>
      <c r="Z37" s="43">
        <f>Table1[[#Totals],[После плавания]]-V37</f>
        <v>4.6643518518518527E-3</v>
      </c>
      <c r="AA37" s="43">
        <f>Table1[[#Totals],[После вело]]-W37</f>
        <v>7.7430555555555551E-3</v>
      </c>
      <c r="AB37" s="43">
        <f>Table1[[#Totals],[После бега]]-X37</f>
        <v>1.2280092592592592E-2</v>
      </c>
      <c r="AC37" s="40" t="s">
        <v>192</v>
      </c>
      <c r="AD37" s="45">
        <f>TIME(0,40,0)-Table1[[#This Row],[После вело]]</f>
        <v>1.5277777777777776E-2</v>
      </c>
    </row>
    <row r="38" spans="1:30" ht="13" x14ac:dyDescent="0.15">
      <c r="A38" s="10">
        <v>94</v>
      </c>
      <c r="B38" s="11" t="s">
        <v>59</v>
      </c>
      <c r="C38" s="12" t="s">
        <v>23</v>
      </c>
      <c r="D38" s="13">
        <v>2.1875000000000002E-3</v>
      </c>
      <c r="E38" s="14">
        <f t="shared" si="0"/>
        <v>7.291666666666667E-4</v>
      </c>
      <c r="F38" s="15">
        <f t="shared" si="15"/>
        <v>1</v>
      </c>
      <c r="G38" s="15">
        <f ca="1">IFERROR(__xludf.DUMMYFUNCTION("IF( D38,RANK(D38, FILTER(D$3:D$128, C$3:C$128 = C38), 1),"""")"),1)</f>
        <v>1</v>
      </c>
      <c r="H38" s="13">
        <v>9.0509259259259258E-3</v>
      </c>
      <c r="I38" s="16">
        <f t="shared" si="2"/>
        <v>0.21722222222222221</v>
      </c>
      <c r="J38" s="17">
        <f t="shared" si="3"/>
        <v>36.828644501278774</v>
      </c>
      <c r="K38" s="18">
        <f t="shared" si="16"/>
        <v>62</v>
      </c>
      <c r="L38" s="18">
        <f ca="1">IFERROR(__xludf.DUMMYFUNCTION("IF( H38,RANK(H38, FILTER(H$3:H$128, C$3:C$128 = C38), 1),"""")"),31)</f>
        <v>31</v>
      </c>
      <c r="M38" s="13">
        <v>6.7592592592592591E-3</v>
      </c>
      <c r="N38" s="19">
        <f t="shared" si="5"/>
        <v>3.3796296296296296E-3</v>
      </c>
      <c r="O38" s="18">
        <f t="shared" si="17"/>
        <v>89</v>
      </c>
      <c r="P38" s="18">
        <f ca="1">IFERROR(__xludf.DUMMYFUNCTION("IF( M38,RANK(M38, FILTER(M$3:M$128, C$3:C$128 = C38), 1),"""")"),50)</f>
        <v>50</v>
      </c>
      <c r="Q38" s="19">
        <f t="shared" si="7"/>
        <v>1.7997685185185186E-2</v>
      </c>
      <c r="R38" s="20">
        <f t="shared" si="8"/>
        <v>1.7997685185185186E-2</v>
      </c>
      <c r="S38" s="21">
        <f t="shared" si="18"/>
        <v>35</v>
      </c>
      <c r="T38" s="22">
        <f ca="1">IFERROR(__xludf.DUMMYFUNCTION("IF (S38 ,IF(S38 &gt; 3, RANK(Q38, FILTER(R$3:R$128, C$3:C$128 = C38,S$3:S$128 &gt; 3), 1),""""),"""")"),14)</f>
        <v>14</v>
      </c>
      <c r="U38" s="41" t="str">
        <f t="shared" si="19"/>
        <v>Давыдов Александр</v>
      </c>
      <c r="V38" s="43">
        <f t="shared" si="20"/>
        <v>2.1875000000000002E-3</v>
      </c>
      <c r="W38" s="43">
        <f t="shared" si="21"/>
        <v>1.1238425925925926E-2</v>
      </c>
      <c r="X38" s="43">
        <f t="shared" si="22"/>
        <v>1.7997685185185186E-2</v>
      </c>
      <c r="Y38" s="42">
        <f t="shared" si="23"/>
        <v>0</v>
      </c>
      <c r="Z38" s="43">
        <f>Table1[[#Totals],[После плавания]]-V38</f>
        <v>6.5277777777777782E-3</v>
      </c>
      <c r="AA38" s="43">
        <f>Table1[[#Totals],[После вело]]-W38</f>
        <v>9.0046296296296298E-3</v>
      </c>
      <c r="AB38" s="43">
        <f>Table1[[#Totals],[После бега]]-X38</f>
        <v>1.2280092592592592E-2</v>
      </c>
      <c r="AC38" s="40" t="s">
        <v>192</v>
      </c>
      <c r="AD38" s="45">
        <f>TIME(0,40,0)-Table1[[#This Row],[После вело]]</f>
        <v>1.653935185185185E-2</v>
      </c>
    </row>
    <row r="39" spans="1:30" ht="13" x14ac:dyDescent="0.15">
      <c r="A39" s="10">
        <v>136</v>
      </c>
      <c r="B39" s="11" t="s">
        <v>60</v>
      </c>
      <c r="C39" s="12" t="s">
        <v>26</v>
      </c>
      <c r="D39" s="13">
        <v>3.9467592592592592E-3</v>
      </c>
      <c r="E39" s="14">
        <f t="shared" si="0"/>
        <v>1.3155864197530863E-3</v>
      </c>
      <c r="F39" s="15">
        <f t="shared" si="15"/>
        <v>74</v>
      </c>
      <c r="G39" s="15">
        <f ca="1">IFERROR(__xludf.DUMMYFUNCTION("IF( D39,RANK(D39, FILTER(D$3:D$128, C$3:C$128 = C39), 1),"""")"),33)</f>
        <v>33</v>
      </c>
      <c r="H39" s="13">
        <v>8.4606481481481477E-3</v>
      </c>
      <c r="I39" s="16">
        <f t="shared" si="2"/>
        <v>0.20305555555555554</v>
      </c>
      <c r="J39" s="17">
        <f t="shared" si="3"/>
        <v>39.398084815321482</v>
      </c>
      <c r="K39" s="18">
        <f t="shared" si="16"/>
        <v>26</v>
      </c>
      <c r="L39" s="18">
        <f ca="1">IFERROR(__xludf.DUMMYFUNCTION("IF( H39,RANK(H39, FILTER(H$3:H$128, C$3:C$128 = C39), 1),"""")"),14)</f>
        <v>14</v>
      </c>
      <c r="M39" s="13">
        <v>5.6134259259259262E-3</v>
      </c>
      <c r="N39" s="19">
        <f t="shared" si="5"/>
        <v>2.8067129629629631E-3</v>
      </c>
      <c r="O39" s="18">
        <f t="shared" si="17"/>
        <v>40</v>
      </c>
      <c r="P39" s="18">
        <f ca="1">IFERROR(__xludf.DUMMYFUNCTION("IF( M39,RANK(M39, FILTER(M$3:M$128, C$3:C$128 = C39), 1),"""")"),19)</f>
        <v>19</v>
      </c>
      <c r="Q39" s="19">
        <f t="shared" si="7"/>
        <v>1.8020833333333333E-2</v>
      </c>
      <c r="R39" s="20">
        <f t="shared" si="8"/>
        <v>1.8020833333333333E-2</v>
      </c>
      <c r="S39" s="21">
        <f t="shared" si="18"/>
        <v>37</v>
      </c>
      <c r="T39" s="22">
        <f ca="1">IFERROR(__xludf.DUMMYFUNCTION("IF (S39 ,IF(S39 &gt; 3, RANK(Q39, FILTER(R$3:R$128, C$3:C$128 = C39,S$3:S$128 &gt; 3), 1),""""),"""")"),19)</f>
        <v>19</v>
      </c>
      <c r="U39" s="41" t="str">
        <f t="shared" si="19"/>
        <v>Слободько Дмитрий</v>
      </c>
      <c r="V39" s="43">
        <f t="shared" si="20"/>
        <v>3.9467592592592592E-3</v>
      </c>
      <c r="W39" s="43">
        <f t="shared" si="21"/>
        <v>1.2407407407407407E-2</v>
      </c>
      <c r="X39" s="43">
        <f t="shared" si="22"/>
        <v>1.8020833333333333E-2</v>
      </c>
      <c r="Y39" s="42">
        <f t="shared" si="23"/>
        <v>0</v>
      </c>
      <c r="Z39" s="43">
        <f>Table1[[#Totals],[После плавания]]-V39</f>
        <v>4.7685185185185192E-3</v>
      </c>
      <c r="AA39" s="43">
        <f>Table1[[#Totals],[После вело]]-W39</f>
        <v>7.8356481481481489E-3</v>
      </c>
      <c r="AB39" s="43">
        <f>Table1[[#Totals],[После бега]]-X39</f>
        <v>1.2256944444444445E-2</v>
      </c>
      <c r="AC39" s="40" t="s">
        <v>192</v>
      </c>
      <c r="AD39" s="45">
        <f>TIME(0,40,0)-Table1[[#This Row],[После вело]]</f>
        <v>1.5370370370370369E-2</v>
      </c>
    </row>
    <row r="40" spans="1:30" ht="13" x14ac:dyDescent="0.15">
      <c r="A40" s="10">
        <v>20</v>
      </c>
      <c r="B40" s="11" t="s">
        <v>61</v>
      </c>
      <c r="C40" s="12" t="s">
        <v>26</v>
      </c>
      <c r="D40" s="13">
        <v>4.1087962962962962E-3</v>
      </c>
      <c r="E40" s="14">
        <f t="shared" si="0"/>
        <v>1.3695987654320986E-3</v>
      </c>
      <c r="F40" s="15">
        <f t="shared" si="15"/>
        <v>86</v>
      </c>
      <c r="G40" s="15">
        <f ca="1">IFERROR(__xludf.DUMMYFUNCTION("IF( D40,RANK(D40, FILTER(D$3:D$128, C$3:C$128 = C40), 1),"""")"),38)</f>
        <v>38</v>
      </c>
      <c r="H40" s="13">
        <v>7.9629629629629634E-3</v>
      </c>
      <c r="I40" s="16">
        <f t="shared" si="2"/>
        <v>0.19111111111111112</v>
      </c>
      <c r="J40" s="17">
        <f t="shared" si="3"/>
        <v>41.860465116279066</v>
      </c>
      <c r="K40" s="18">
        <f t="shared" si="16"/>
        <v>5</v>
      </c>
      <c r="L40" s="18">
        <f ca="1">IFERROR(__xludf.DUMMYFUNCTION("IF( H40,RANK(H40, FILTER(H$3:H$128, C$3:C$128 = C40), 1),"""")"),3)</f>
        <v>3</v>
      </c>
      <c r="M40" s="13">
        <v>5.9953703703703705E-3</v>
      </c>
      <c r="N40" s="19">
        <f t="shared" si="5"/>
        <v>2.9976851851851853E-3</v>
      </c>
      <c r="O40" s="18">
        <f t="shared" si="17"/>
        <v>58</v>
      </c>
      <c r="P40" s="18">
        <f ca="1">IFERROR(__xludf.DUMMYFUNCTION("IF( M40,RANK(M40, FILTER(M$3:M$128, C$3:C$128 = C40), 1),"""")"),27)</f>
        <v>27</v>
      </c>
      <c r="Q40" s="19">
        <f t="shared" si="7"/>
        <v>1.8067129629629631E-2</v>
      </c>
      <c r="R40" s="20">
        <f t="shared" si="8"/>
        <v>1.8067129629629631E-2</v>
      </c>
      <c r="S40" s="21">
        <f t="shared" si="18"/>
        <v>38</v>
      </c>
      <c r="T40" s="22">
        <f ca="1">IFERROR(__xludf.DUMMYFUNCTION("IF (S40 ,IF(S40 &gt; 3, RANK(Q40, FILTER(R$3:R$128, C$3:C$128 = C40,S$3:S$128 &gt; 3), 1),""""),"""")"),20)</f>
        <v>20</v>
      </c>
      <c r="U40" s="41" t="str">
        <f t="shared" si="19"/>
        <v>Заяц Алексей</v>
      </c>
      <c r="V40" s="43">
        <f t="shared" si="20"/>
        <v>4.1087962962962962E-3</v>
      </c>
      <c r="W40" s="43">
        <f t="shared" si="21"/>
        <v>1.207175925925926E-2</v>
      </c>
      <c r="X40" s="43">
        <f t="shared" si="22"/>
        <v>1.8067129629629631E-2</v>
      </c>
      <c r="Y40" s="42">
        <f t="shared" si="23"/>
        <v>0</v>
      </c>
      <c r="Z40" s="43">
        <f>Table1[[#Totals],[После плавания]]-V40</f>
        <v>4.6064814814814822E-3</v>
      </c>
      <c r="AA40" s="43">
        <f>Table1[[#Totals],[После вело]]-W40</f>
        <v>8.1712962962962963E-3</v>
      </c>
      <c r="AB40" s="43">
        <f>Table1[[#Totals],[После бега]]-X40</f>
        <v>1.2210648148148148E-2</v>
      </c>
      <c r="AC40" s="40" t="s">
        <v>192</v>
      </c>
      <c r="AD40" s="45">
        <f>TIME(0,40,0)-Table1[[#This Row],[После вело]]</f>
        <v>1.5706018518518515E-2</v>
      </c>
    </row>
    <row r="41" spans="1:30" ht="13" x14ac:dyDescent="0.15">
      <c r="A41" s="10">
        <v>113</v>
      </c>
      <c r="B41" s="11" t="s">
        <v>62</v>
      </c>
      <c r="C41" s="12" t="s">
        <v>23</v>
      </c>
      <c r="D41" s="13">
        <v>2.9976851851851853E-3</v>
      </c>
      <c r="E41" s="14">
        <f t="shared" si="0"/>
        <v>9.9922839506172835E-4</v>
      </c>
      <c r="F41" s="15">
        <f t="shared" si="15"/>
        <v>15</v>
      </c>
      <c r="G41" s="15">
        <f ca="1">IFERROR(__xludf.DUMMYFUNCTION("IF( D41,RANK(D41, FILTER(D$3:D$128, C$3:C$128 = C41), 1),"""")"),11)</f>
        <v>11</v>
      </c>
      <c r="H41" s="13">
        <v>9.3055555555555548E-3</v>
      </c>
      <c r="I41" s="16">
        <f t="shared" si="2"/>
        <v>0.22333333333333333</v>
      </c>
      <c r="J41" s="17">
        <f t="shared" si="3"/>
        <v>35.820895522388064</v>
      </c>
      <c r="K41" s="18">
        <f t="shared" si="16"/>
        <v>74</v>
      </c>
      <c r="L41" s="18">
        <f ca="1">IFERROR(__xludf.DUMMYFUNCTION("IF( H41,RANK(H41, FILTER(H$3:H$128, C$3:C$128 = C41), 1),"""")"),39)</f>
        <v>39</v>
      </c>
      <c r="M41" s="13">
        <v>5.7754629629629631E-3</v>
      </c>
      <c r="N41" s="19">
        <f t="shared" si="5"/>
        <v>2.8877314814814816E-3</v>
      </c>
      <c r="O41" s="18">
        <f t="shared" si="17"/>
        <v>46</v>
      </c>
      <c r="P41" s="18">
        <f ca="1">IFERROR(__xludf.DUMMYFUNCTION("IF( M41,RANK(M41, FILTER(M$3:M$128, C$3:C$128 = C41), 1),"""")"),25)</f>
        <v>25</v>
      </c>
      <c r="Q41" s="19">
        <f t="shared" si="7"/>
        <v>1.8078703703703701E-2</v>
      </c>
      <c r="R41" s="20">
        <f t="shared" si="8"/>
        <v>1.8078703703703701E-2</v>
      </c>
      <c r="S41" s="21">
        <f t="shared" si="18"/>
        <v>39</v>
      </c>
      <c r="T41" s="22">
        <f ca="1">IFERROR(__xludf.DUMMYFUNCTION("IF (S41 ,IF(S41 &gt; 3, RANK(Q41, FILTER(R$3:R$128, C$3:C$128 = C41,S$3:S$128 &gt; 3), 1),""""),"""")"),16)</f>
        <v>16</v>
      </c>
      <c r="U41" s="41" t="str">
        <f t="shared" si="19"/>
        <v>Тарасенко Артем</v>
      </c>
      <c r="V41" s="43">
        <f t="shared" si="20"/>
        <v>2.9976851851851853E-3</v>
      </c>
      <c r="W41" s="43">
        <f t="shared" si="21"/>
        <v>1.230324074074074E-2</v>
      </c>
      <c r="X41" s="43">
        <f t="shared" si="22"/>
        <v>1.8078703703703701E-2</v>
      </c>
      <c r="Y41" s="42">
        <f t="shared" si="23"/>
        <v>0</v>
      </c>
      <c r="Z41" s="43">
        <f>Table1[[#Totals],[После плавания]]-V41</f>
        <v>5.7175925925925936E-3</v>
      </c>
      <c r="AA41" s="43">
        <f>Table1[[#Totals],[После вело]]-W41</f>
        <v>7.9398148148148162E-3</v>
      </c>
      <c r="AB41" s="43">
        <f>Table1[[#Totals],[После бега]]-X41</f>
        <v>1.2199074074074077E-2</v>
      </c>
      <c r="AC41" s="40" t="s">
        <v>192</v>
      </c>
      <c r="AD41" s="45">
        <f>TIME(0,40,0)-Table1[[#This Row],[После вело]]</f>
        <v>1.5474537037037037E-2</v>
      </c>
    </row>
    <row r="42" spans="1:30" ht="13" x14ac:dyDescent="0.15">
      <c r="A42" s="10">
        <v>119</v>
      </c>
      <c r="B42" s="11" t="s">
        <v>63</v>
      </c>
      <c r="C42" s="12" t="s">
        <v>23</v>
      </c>
      <c r="D42" s="13">
        <v>3.8425925925925928E-3</v>
      </c>
      <c r="E42" s="14">
        <f t="shared" si="0"/>
        <v>1.2808641975308643E-3</v>
      </c>
      <c r="F42" s="15">
        <f t="shared" si="15"/>
        <v>64</v>
      </c>
      <c r="G42" s="15">
        <f ca="1">IFERROR(__xludf.DUMMYFUNCTION("IF( D42,RANK(D42, FILTER(D$3:D$128, C$3:C$128 = C42), 1),"""")"),35)</f>
        <v>35</v>
      </c>
      <c r="H42" s="13">
        <v>8.9351851851851849E-3</v>
      </c>
      <c r="I42" s="16">
        <f t="shared" si="2"/>
        <v>0.21444444444444444</v>
      </c>
      <c r="J42" s="17">
        <f t="shared" si="3"/>
        <v>37.30569948186529</v>
      </c>
      <c r="K42" s="18">
        <f t="shared" si="16"/>
        <v>55</v>
      </c>
      <c r="L42" s="18">
        <f ca="1">IFERROR(__xludf.DUMMYFUNCTION("IF( H42,RANK(H42, FILTER(H$3:H$128, C$3:C$128 = C42), 1),"""")"),27)</f>
        <v>27</v>
      </c>
      <c r="M42" s="13">
        <v>5.37037037037037E-3</v>
      </c>
      <c r="N42" s="19">
        <f t="shared" si="5"/>
        <v>2.685185185185185E-3</v>
      </c>
      <c r="O42" s="18">
        <f t="shared" si="17"/>
        <v>18</v>
      </c>
      <c r="P42" s="18">
        <f ca="1">IFERROR(__xludf.DUMMYFUNCTION("IF( M42,RANK(M42, FILTER(M$3:M$128, C$3:C$128 = C42), 1),"""")"),8)</f>
        <v>8</v>
      </c>
      <c r="Q42" s="19">
        <f t="shared" si="7"/>
        <v>1.8148148148148146E-2</v>
      </c>
      <c r="R42" s="20">
        <f t="shared" si="8"/>
        <v>1.8148148148148146E-2</v>
      </c>
      <c r="S42" s="21">
        <f t="shared" si="18"/>
        <v>40</v>
      </c>
      <c r="T42" s="22">
        <f ca="1">IFERROR(__xludf.DUMMYFUNCTION("IF (S42 ,IF(S42 &gt; 3, RANK(Q42, FILTER(R$3:R$128, C$3:C$128 = C42,S$3:S$128 &gt; 3), 1),""""),"""")"),17)</f>
        <v>17</v>
      </c>
      <c r="U42" s="41" t="str">
        <f t="shared" si="19"/>
        <v>Сазонов Андрей</v>
      </c>
      <c r="V42" s="43">
        <f t="shared" si="20"/>
        <v>3.8425925925925928E-3</v>
      </c>
      <c r="W42" s="43">
        <f t="shared" si="21"/>
        <v>1.2777777777777777E-2</v>
      </c>
      <c r="X42" s="43">
        <f t="shared" si="22"/>
        <v>1.8148148148148146E-2</v>
      </c>
      <c r="Y42" s="42">
        <f t="shared" si="23"/>
        <v>0</v>
      </c>
      <c r="Z42" s="43">
        <f>Table1[[#Totals],[После плавания]]-V42</f>
        <v>4.8726851851851856E-3</v>
      </c>
      <c r="AA42" s="43">
        <f>Table1[[#Totals],[После вело]]-W42</f>
        <v>7.465277777777779E-3</v>
      </c>
      <c r="AB42" s="43">
        <f>Table1[[#Totals],[После бега]]-X42</f>
        <v>1.2129629629629633E-2</v>
      </c>
      <c r="AC42" s="40" t="s">
        <v>192</v>
      </c>
      <c r="AD42" s="45">
        <f>TIME(0,40,0)-Table1[[#This Row],[После вело]]</f>
        <v>1.4999999999999999E-2</v>
      </c>
    </row>
    <row r="43" spans="1:30" ht="13" x14ac:dyDescent="0.15">
      <c r="A43" s="10">
        <v>18</v>
      </c>
      <c r="B43" s="11" t="s">
        <v>64</v>
      </c>
      <c r="C43" s="12" t="s">
        <v>23</v>
      </c>
      <c r="D43" s="13">
        <v>2.6041666666666665E-3</v>
      </c>
      <c r="E43" s="14">
        <f t="shared" si="0"/>
        <v>8.6805555555555551E-4</v>
      </c>
      <c r="F43" s="15">
        <f t="shared" si="15"/>
        <v>3</v>
      </c>
      <c r="G43" s="15">
        <f ca="1">IFERROR(__xludf.DUMMYFUNCTION("IF( D43,RANK(D43, FILTER(D$3:D$128, C$3:C$128 = C43), 1),"""")"),3)</f>
        <v>3</v>
      </c>
      <c r="H43" s="13">
        <v>8.9814814814814809E-3</v>
      </c>
      <c r="I43" s="16">
        <f t="shared" si="2"/>
        <v>0.21555555555555556</v>
      </c>
      <c r="J43" s="17">
        <f t="shared" si="3"/>
        <v>37.113402061855673</v>
      </c>
      <c r="K43" s="18">
        <f t="shared" si="16"/>
        <v>57</v>
      </c>
      <c r="L43" s="18">
        <f ca="1">IFERROR(__xludf.DUMMYFUNCTION("IF( H43,RANK(H43, FILTER(H$3:H$128, C$3:C$128 = C43), 1),"""")"),28)</f>
        <v>28</v>
      </c>
      <c r="M43" s="13">
        <v>6.5972222222222222E-3</v>
      </c>
      <c r="N43" s="19">
        <f t="shared" si="5"/>
        <v>3.2986111111111111E-3</v>
      </c>
      <c r="O43" s="18">
        <f t="shared" si="17"/>
        <v>85</v>
      </c>
      <c r="P43" s="18">
        <f ca="1">IFERROR(__xludf.DUMMYFUNCTION("IF( M43,RANK(M43, FILTER(M$3:M$128, C$3:C$128 = C43), 1),"""")"),46)</f>
        <v>46</v>
      </c>
      <c r="Q43" s="19">
        <f t="shared" si="7"/>
        <v>1.818287037037037E-2</v>
      </c>
      <c r="R43" s="20">
        <f t="shared" si="8"/>
        <v>1.818287037037037E-2</v>
      </c>
      <c r="S43" s="21">
        <f t="shared" si="18"/>
        <v>41</v>
      </c>
      <c r="T43" s="22">
        <f ca="1">IFERROR(__xludf.DUMMYFUNCTION("IF (S43 ,IF(S43 &gt; 3, RANK(Q43, FILTER(R$3:R$128, C$3:C$128 = C43,S$3:S$128 &gt; 3), 1),""""),"""")"),18)</f>
        <v>18</v>
      </c>
      <c r="U43" s="41" t="str">
        <f t="shared" si="19"/>
        <v>Ковалев Глеб</v>
      </c>
      <c r="V43" s="43">
        <f t="shared" si="20"/>
        <v>2.6041666666666665E-3</v>
      </c>
      <c r="W43" s="43">
        <f t="shared" si="21"/>
        <v>1.1585648148148147E-2</v>
      </c>
      <c r="X43" s="43">
        <f t="shared" si="22"/>
        <v>1.818287037037037E-2</v>
      </c>
      <c r="Y43" s="42">
        <f t="shared" si="23"/>
        <v>0</v>
      </c>
      <c r="Z43" s="43">
        <f>Table1[[#Totals],[После плавания]]-V43</f>
        <v>6.1111111111111123E-3</v>
      </c>
      <c r="AA43" s="43">
        <f>Table1[[#Totals],[После вело]]-W43</f>
        <v>8.6574074074074088E-3</v>
      </c>
      <c r="AB43" s="43">
        <f>Table1[[#Totals],[После бега]]-X43</f>
        <v>1.2094907407407408E-2</v>
      </c>
      <c r="AC43" s="40" t="s">
        <v>192</v>
      </c>
      <c r="AD43" s="45">
        <f>TIME(0,40,0)-Table1[[#This Row],[После вело]]</f>
        <v>1.6192129629629629E-2</v>
      </c>
    </row>
    <row r="44" spans="1:30" ht="13" x14ac:dyDescent="0.15">
      <c r="A44" s="10">
        <v>34</v>
      </c>
      <c r="B44" s="11" t="s">
        <v>65</v>
      </c>
      <c r="C44" s="12" t="s">
        <v>23</v>
      </c>
      <c r="D44" s="13">
        <v>3.6689814814814814E-3</v>
      </c>
      <c r="E44" s="14">
        <f t="shared" si="0"/>
        <v>1.2229938271604939E-3</v>
      </c>
      <c r="F44" s="15">
        <f t="shared" si="15"/>
        <v>52</v>
      </c>
      <c r="G44" s="15">
        <f ca="1">IFERROR(__xludf.DUMMYFUNCTION("IF( D44,RANK(D44, FILTER(D$3:D$128, C$3:C$128 = C44), 1),"""")"),28)</f>
        <v>28</v>
      </c>
      <c r="H44" s="13">
        <v>8.9814814814814809E-3</v>
      </c>
      <c r="I44" s="16">
        <f t="shared" si="2"/>
        <v>0.21555555555555556</v>
      </c>
      <c r="J44" s="17">
        <f t="shared" si="3"/>
        <v>37.113402061855673</v>
      </c>
      <c r="K44" s="18">
        <f t="shared" si="16"/>
        <v>57</v>
      </c>
      <c r="L44" s="18">
        <f ca="1">IFERROR(__xludf.DUMMYFUNCTION("IF( H44,RANK(H44, FILTER(H$3:H$128, C$3:C$128 = C44), 1),"""")"),28)</f>
        <v>28</v>
      </c>
      <c r="M44" s="13">
        <v>5.5671296296296293E-3</v>
      </c>
      <c r="N44" s="19">
        <f t="shared" si="5"/>
        <v>2.7835648148148147E-3</v>
      </c>
      <c r="O44" s="18">
        <f t="shared" si="17"/>
        <v>34</v>
      </c>
      <c r="P44" s="18">
        <f ca="1">IFERROR(__xludf.DUMMYFUNCTION("IF( M44,RANK(M44, FILTER(M$3:M$128, C$3:C$128 = C44), 1),"""")"),19)</f>
        <v>19</v>
      </c>
      <c r="Q44" s="19">
        <f t="shared" si="7"/>
        <v>1.8217592592592591E-2</v>
      </c>
      <c r="R44" s="20">
        <f t="shared" si="8"/>
        <v>1.8217592592592591E-2</v>
      </c>
      <c r="S44" s="21">
        <f t="shared" si="18"/>
        <v>42</v>
      </c>
      <c r="T44" s="22">
        <f ca="1">IFERROR(__xludf.DUMMYFUNCTION("IF (S44 ,IF(S44 &gt; 3, RANK(Q44, FILTER(R$3:R$128, C$3:C$128 = C44,S$3:S$128 &gt; 3), 1),""""),"""")"),19)</f>
        <v>19</v>
      </c>
      <c r="U44" s="41" t="str">
        <f t="shared" si="19"/>
        <v>Жаркевич Георгий</v>
      </c>
      <c r="V44" s="43">
        <f t="shared" si="20"/>
        <v>3.6689814814814814E-3</v>
      </c>
      <c r="W44" s="43">
        <f t="shared" si="21"/>
        <v>1.2650462962962962E-2</v>
      </c>
      <c r="X44" s="43">
        <f t="shared" si="22"/>
        <v>1.8217592592592591E-2</v>
      </c>
      <c r="Y44" s="42">
        <f t="shared" si="23"/>
        <v>0</v>
      </c>
      <c r="Z44" s="43">
        <f>Table1[[#Totals],[После плавания]]-V44</f>
        <v>5.046296296296297E-3</v>
      </c>
      <c r="AA44" s="43">
        <f>Table1[[#Totals],[После вело]]-W44</f>
        <v>7.5925925925925935E-3</v>
      </c>
      <c r="AB44" s="43">
        <f>Table1[[#Totals],[После бега]]-X44</f>
        <v>1.2060185185185188E-2</v>
      </c>
      <c r="AC44" s="40" t="s">
        <v>192</v>
      </c>
      <c r="AD44" s="45">
        <f>TIME(0,40,0)-Table1[[#This Row],[После вело]]</f>
        <v>1.5127314814814814E-2</v>
      </c>
    </row>
    <row r="45" spans="1:30" ht="13" x14ac:dyDescent="0.15">
      <c r="A45" s="10">
        <v>170</v>
      </c>
      <c r="B45" s="11" t="s">
        <v>66</v>
      </c>
      <c r="C45" s="12" t="s">
        <v>23</v>
      </c>
      <c r="D45" s="13">
        <v>4.0046296296296297E-3</v>
      </c>
      <c r="E45" s="14">
        <f t="shared" si="0"/>
        <v>1.3348765432098766E-3</v>
      </c>
      <c r="F45" s="15">
        <f t="shared" si="15"/>
        <v>78</v>
      </c>
      <c r="G45" s="15">
        <f ca="1">IFERROR(__xludf.DUMMYFUNCTION("IF( D45,RANK(D45, FILTER(D$3:D$128, C$3:C$128 = C45), 1),"""")"),43)</f>
        <v>43</v>
      </c>
      <c r="H45" s="13">
        <v>8.8773148148148153E-3</v>
      </c>
      <c r="I45" s="16">
        <f t="shared" si="2"/>
        <v>0.21305555555555555</v>
      </c>
      <c r="J45" s="17">
        <f t="shared" si="3"/>
        <v>37.548891786179922</v>
      </c>
      <c r="K45" s="18">
        <f t="shared" si="16"/>
        <v>52</v>
      </c>
      <c r="L45" s="18">
        <f ca="1">IFERROR(__xludf.DUMMYFUNCTION("IF( H45,RANK(H45, FILTER(H$3:H$128, C$3:C$128 = C45), 1),"""")"),25)</f>
        <v>25</v>
      </c>
      <c r="M45" s="13">
        <v>5.37037037037037E-3</v>
      </c>
      <c r="N45" s="19">
        <f t="shared" si="5"/>
        <v>2.685185185185185E-3</v>
      </c>
      <c r="O45" s="18">
        <f t="shared" si="17"/>
        <v>18</v>
      </c>
      <c r="P45" s="18">
        <f ca="1">IFERROR(__xludf.DUMMYFUNCTION("IF( M45,RANK(M45, FILTER(M$3:M$128, C$3:C$128 = C45), 1),"""")"),8)</f>
        <v>8</v>
      </c>
      <c r="Q45" s="19">
        <f t="shared" si="7"/>
        <v>1.8252314814814815E-2</v>
      </c>
      <c r="R45" s="20">
        <f t="shared" si="8"/>
        <v>1.8252314814814815E-2</v>
      </c>
      <c r="S45" s="21">
        <f t="shared" si="18"/>
        <v>43</v>
      </c>
      <c r="T45" s="22">
        <f ca="1">IFERROR(__xludf.DUMMYFUNCTION("IF (S45 ,IF(S45 &gt; 3, RANK(Q45, FILTER(R$3:R$128, C$3:C$128 = C45,S$3:S$128 &gt; 3), 1),""""),"""")"),20)</f>
        <v>20</v>
      </c>
      <c r="U45" s="41" t="str">
        <f t="shared" si="19"/>
        <v>Пальчех Василий</v>
      </c>
      <c r="V45" s="43">
        <f t="shared" si="20"/>
        <v>4.0046296296296297E-3</v>
      </c>
      <c r="W45" s="43">
        <f t="shared" si="21"/>
        <v>1.2881944444444446E-2</v>
      </c>
      <c r="X45" s="43">
        <f t="shared" si="22"/>
        <v>1.8252314814814815E-2</v>
      </c>
      <c r="Y45" s="42">
        <f t="shared" si="23"/>
        <v>0</v>
      </c>
      <c r="Z45" s="43">
        <f>Table1[[#Totals],[После плавания]]-V45</f>
        <v>4.7106481481481487E-3</v>
      </c>
      <c r="AA45" s="43">
        <f>Table1[[#Totals],[После вело]]-W45</f>
        <v>7.3611111111111099E-3</v>
      </c>
      <c r="AB45" s="43">
        <f>Table1[[#Totals],[После бега]]-X45</f>
        <v>1.2025462962962963E-2</v>
      </c>
      <c r="AC45" s="40" t="s">
        <v>192</v>
      </c>
      <c r="AD45" s="45">
        <f>TIME(0,40,0)-Table1[[#This Row],[После вело]]</f>
        <v>1.489583333333333E-2</v>
      </c>
    </row>
    <row r="46" spans="1:30" ht="13" x14ac:dyDescent="0.15">
      <c r="A46" s="10">
        <v>106</v>
      </c>
      <c r="B46" s="11" t="s">
        <v>67</v>
      </c>
      <c r="C46" s="12" t="s">
        <v>26</v>
      </c>
      <c r="D46" s="13">
        <v>4.2476851851851851E-3</v>
      </c>
      <c r="E46" s="14">
        <f t="shared" si="0"/>
        <v>1.4158950617283951E-3</v>
      </c>
      <c r="F46" s="15">
        <f t="shared" si="15"/>
        <v>96</v>
      </c>
      <c r="G46" s="15">
        <f ca="1">IFERROR(__xludf.DUMMYFUNCTION("IF( D46,RANK(D46, FILTER(D$3:D$128, C$3:C$128 = C46), 1),"""")"),45)</f>
        <v>45</v>
      </c>
      <c r="H46" s="13">
        <v>8.472222222222223E-3</v>
      </c>
      <c r="I46" s="16">
        <f t="shared" si="2"/>
        <v>0.20333333333333337</v>
      </c>
      <c r="J46" s="17">
        <f t="shared" si="3"/>
        <v>39.344262295081961</v>
      </c>
      <c r="K46" s="18">
        <f t="shared" si="16"/>
        <v>29</v>
      </c>
      <c r="L46" s="18">
        <f ca="1">IFERROR(__xludf.DUMMYFUNCTION("IF( H46,RANK(H46, FILTER(H$3:H$128, C$3:C$128 = C46), 1),"""")"),16)</f>
        <v>16</v>
      </c>
      <c r="M46" s="13">
        <v>5.5787037037037038E-3</v>
      </c>
      <c r="N46" s="19">
        <f t="shared" si="5"/>
        <v>2.7893518518518519E-3</v>
      </c>
      <c r="O46" s="18">
        <f t="shared" si="17"/>
        <v>38</v>
      </c>
      <c r="P46" s="18">
        <f ca="1">IFERROR(__xludf.DUMMYFUNCTION("IF( M46,RANK(M46, FILTER(M$3:M$128, C$3:C$128 = C46), 1),"""")"),18)</f>
        <v>18</v>
      </c>
      <c r="Q46" s="19">
        <f t="shared" si="7"/>
        <v>1.8298611111111113E-2</v>
      </c>
      <c r="R46" s="20">
        <f t="shared" si="8"/>
        <v>1.8298611111111113E-2</v>
      </c>
      <c r="S46" s="21">
        <f t="shared" si="18"/>
        <v>44</v>
      </c>
      <c r="T46" s="22">
        <f ca="1">IFERROR(__xludf.DUMMYFUNCTION("IF (S46 ,IF(S46 &gt; 3, RANK(Q46, FILTER(R$3:R$128, C$3:C$128 = C46,S$3:S$128 &gt; 3), 1),""""),"""")"),21)</f>
        <v>21</v>
      </c>
      <c r="U46" s="41" t="str">
        <f t="shared" si="19"/>
        <v>Vybarny Kiryl</v>
      </c>
      <c r="V46" s="43">
        <f t="shared" si="20"/>
        <v>4.2476851851851851E-3</v>
      </c>
      <c r="W46" s="43">
        <f t="shared" si="21"/>
        <v>1.2719907407407409E-2</v>
      </c>
      <c r="X46" s="43">
        <f t="shared" si="22"/>
        <v>1.8298611111111113E-2</v>
      </c>
      <c r="Y46" s="42">
        <f t="shared" si="23"/>
        <v>0</v>
      </c>
      <c r="Z46" s="43">
        <f>Table1[[#Totals],[После плавания]]-V46</f>
        <v>4.4675925925925933E-3</v>
      </c>
      <c r="AA46" s="43">
        <f>Table1[[#Totals],[После вело]]-W46</f>
        <v>7.5231481481481469E-3</v>
      </c>
      <c r="AB46" s="43">
        <f>Table1[[#Totals],[После бега]]-X46</f>
        <v>1.1979166666666666E-2</v>
      </c>
      <c r="AC46" s="40" t="s">
        <v>192</v>
      </c>
      <c r="AD46" s="45">
        <f>TIME(0,40,0)-Table1[[#This Row],[После вело]]</f>
        <v>1.5057870370370367E-2</v>
      </c>
    </row>
    <row r="47" spans="1:30" ht="13" x14ac:dyDescent="0.15">
      <c r="A47" s="10">
        <v>44</v>
      </c>
      <c r="B47" s="11" t="s">
        <v>68</v>
      </c>
      <c r="C47" s="12" t="s">
        <v>26</v>
      </c>
      <c r="D47" s="13">
        <v>3.5879629629629629E-3</v>
      </c>
      <c r="E47" s="14">
        <f t="shared" si="0"/>
        <v>1.1959876543209877E-3</v>
      </c>
      <c r="F47" s="15">
        <f t="shared" si="15"/>
        <v>46</v>
      </c>
      <c r="G47" s="15">
        <f ca="1">IFERROR(__xludf.DUMMYFUNCTION("IF( D47,RANK(D47, FILTER(D$3:D$128, C$3:C$128 = C47), 1),"""")"),22)</f>
        <v>22</v>
      </c>
      <c r="H47" s="13">
        <v>8.5416666666666662E-3</v>
      </c>
      <c r="I47" s="16">
        <f t="shared" si="2"/>
        <v>0.20499999999999999</v>
      </c>
      <c r="J47" s="17">
        <f t="shared" si="3"/>
        <v>39.024390243902438</v>
      </c>
      <c r="K47" s="18">
        <f t="shared" si="16"/>
        <v>38</v>
      </c>
      <c r="L47" s="18">
        <f ca="1">IFERROR(__xludf.DUMMYFUNCTION("IF( H47,RANK(H47, FILTER(H$3:H$128, C$3:C$128 = C47), 1),"""")"),20)</f>
        <v>20</v>
      </c>
      <c r="M47" s="13">
        <v>6.2037037037037035E-3</v>
      </c>
      <c r="N47" s="19">
        <f t="shared" si="5"/>
        <v>3.1018518518518517E-3</v>
      </c>
      <c r="O47" s="18">
        <f t="shared" si="17"/>
        <v>70</v>
      </c>
      <c r="P47" s="18">
        <f ca="1">IFERROR(__xludf.DUMMYFUNCTION("IF( M47,RANK(M47, FILTER(M$3:M$128, C$3:C$128 = C47), 1),"""")"),33)</f>
        <v>33</v>
      </c>
      <c r="Q47" s="19">
        <f t="shared" si="7"/>
        <v>1.8333333333333333E-2</v>
      </c>
      <c r="R47" s="20">
        <f t="shared" si="8"/>
        <v>1.8333333333333333E-2</v>
      </c>
      <c r="S47" s="21">
        <f t="shared" si="18"/>
        <v>45</v>
      </c>
      <c r="T47" s="22">
        <f ca="1">IFERROR(__xludf.DUMMYFUNCTION("IF (S47 ,IF(S47 &gt; 3, RANK(Q47, FILTER(R$3:R$128, C$3:C$128 = C47,S$3:S$128 &gt; 3), 1),""""),"""")"),22)</f>
        <v>22</v>
      </c>
      <c r="U47" s="41" t="str">
        <f t="shared" si="19"/>
        <v>Нестерович Николай</v>
      </c>
      <c r="V47" s="43">
        <f t="shared" si="20"/>
        <v>3.5879629629629629E-3</v>
      </c>
      <c r="W47" s="43">
        <f t="shared" si="21"/>
        <v>1.2129629629629629E-2</v>
      </c>
      <c r="X47" s="43">
        <f t="shared" si="22"/>
        <v>1.8333333333333333E-2</v>
      </c>
      <c r="Y47" s="42">
        <f t="shared" si="23"/>
        <v>0</v>
      </c>
      <c r="Z47" s="43">
        <f>Table1[[#Totals],[После плавания]]-V47</f>
        <v>5.1273148148148154E-3</v>
      </c>
      <c r="AA47" s="43">
        <f>Table1[[#Totals],[После вело]]-W47</f>
        <v>8.1134259259259267E-3</v>
      </c>
      <c r="AB47" s="43">
        <f>Table1[[#Totals],[После бега]]-X47</f>
        <v>1.1944444444444445E-2</v>
      </c>
      <c r="AC47" s="40" t="s">
        <v>192</v>
      </c>
      <c r="AD47" s="45">
        <f>TIME(0,40,0)-Table1[[#This Row],[После вело]]</f>
        <v>1.5648148148148147E-2</v>
      </c>
    </row>
    <row r="48" spans="1:30" ht="13" x14ac:dyDescent="0.15">
      <c r="A48" s="10">
        <v>97</v>
      </c>
      <c r="B48" s="11" t="s">
        <v>69</v>
      </c>
      <c r="C48" s="12" t="s">
        <v>23</v>
      </c>
      <c r="D48" s="13">
        <v>3.3680555555555556E-3</v>
      </c>
      <c r="E48" s="14">
        <f t="shared" si="0"/>
        <v>1.1226851851851851E-3</v>
      </c>
      <c r="F48" s="15">
        <f t="shared" si="15"/>
        <v>35</v>
      </c>
      <c r="G48" s="15">
        <f ca="1">IFERROR(__xludf.DUMMYFUNCTION("IF( D48,RANK(D48, FILTER(D$3:D$128, C$3:C$128 = C48), 1),"""")"),19)</f>
        <v>19</v>
      </c>
      <c r="H48" s="13">
        <v>8.5300925925925926E-3</v>
      </c>
      <c r="I48" s="16">
        <f t="shared" si="2"/>
        <v>0.20472222222222222</v>
      </c>
      <c r="J48" s="17">
        <f t="shared" si="3"/>
        <v>39.077340569877883</v>
      </c>
      <c r="K48" s="18">
        <f t="shared" si="16"/>
        <v>36</v>
      </c>
      <c r="L48" s="18">
        <f ca="1">IFERROR(__xludf.DUMMYFUNCTION("IF( H48,RANK(H48, FILTER(H$3:H$128, C$3:C$128 = C48), 1),"""")"),18)</f>
        <v>18</v>
      </c>
      <c r="M48" s="13">
        <v>6.4583333333333333E-3</v>
      </c>
      <c r="N48" s="19">
        <f t="shared" si="5"/>
        <v>3.2291666666666666E-3</v>
      </c>
      <c r="O48" s="18">
        <f t="shared" si="17"/>
        <v>75</v>
      </c>
      <c r="P48" s="18">
        <f ca="1">IFERROR(__xludf.DUMMYFUNCTION("IF( M48,RANK(M48, FILTER(M$3:M$128, C$3:C$128 = C48), 1),"""")"),40)</f>
        <v>40</v>
      </c>
      <c r="Q48" s="19">
        <f t="shared" si="7"/>
        <v>1.8356481481481481E-2</v>
      </c>
      <c r="R48" s="20">
        <f t="shared" si="8"/>
        <v>1.8356481481481481E-2</v>
      </c>
      <c r="S48" s="21">
        <f t="shared" si="18"/>
        <v>46</v>
      </c>
      <c r="T48" s="22">
        <f ca="1">IFERROR(__xludf.DUMMYFUNCTION("IF (S48 ,IF(S48 &gt; 3, RANK(Q48, FILTER(R$3:R$128, C$3:C$128 = C48,S$3:S$128 &gt; 3), 1),""""),"""")"),21)</f>
        <v>21</v>
      </c>
      <c r="U48" s="41" t="str">
        <f t="shared" si="19"/>
        <v>Лесюков Александр</v>
      </c>
      <c r="V48" s="43">
        <f t="shared" si="20"/>
        <v>3.3680555555555556E-3</v>
      </c>
      <c r="W48" s="43">
        <f t="shared" si="21"/>
        <v>1.1898148148148147E-2</v>
      </c>
      <c r="X48" s="43">
        <f t="shared" si="22"/>
        <v>1.8356481481481481E-2</v>
      </c>
      <c r="Y48" s="42">
        <f t="shared" si="23"/>
        <v>0</v>
      </c>
      <c r="Z48" s="43">
        <f>Table1[[#Totals],[После плавания]]-V48</f>
        <v>5.3472222222222228E-3</v>
      </c>
      <c r="AA48" s="43">
        <f>Table1[[#Totals],[После вело]]-W48</f>
        <v>8.3449074074074085E-3</v>
      </c>
      <c r="AB48" s="43">
        <f>Table1[[#Totals],[После бега]]-X48</f>
        <v>1.1921296296296298E-2</v>
      </c>
      <c r="AC48" s="40" t="s">
        <v>192</v>
      </c>
      <c r="AD48" s="45">
        <f>TIME(0,40,0)-Table1[[#This Row],[После вело]]</f>
        <v>1.5879629629629629E-2</v>
      </c>
    </row>
    <row r="49" spans="1:30" ht="13" x14ac:dyDescent="0.15">
      <c r="A49" s="10">
        <v>39</v>
      </c>
      <c r="B49" s="11" t="s">
        <v>70</v>
      </c>
      <c r="C49" s="12" t="s">
        <v>26</v>
      </c>
      <c r="D49" s="13">
        <v>3.8773148148148148E-3</v>
      </c>
      <c r="E49" s="14">
        <f t="shared" si="0"/>
        <v>1.2924382716049383E-3</v>
      </c>
      <c r="F49" s="15">
        <f t="shared" si="15"/>
        <v>67</v>
      </c>
      <c r="G49" s="15">
        <f ca="1">IFERROR(__xludf.DUMMYFUNCTION("IF( D49,RANK(D49, FILTER(D$3:D$128, C$3:C$128 = C49), 1),"""")"),30)</f>
        <v>30</v>
      </c>
      <c r="H49" s="13">
        <v>9.3055555555555548E-3</v>
      </c>
      <c r="I49" s="16">
        <f t="shared" si="2"/>
        <v>0.22333333333333333</v>
      </c>
      <c r="J49" s="17">
        <f t="shared" si="3"/>
        <v>35.820895522388064</v>
      </c>
      <c r="K49" s="18">
        <f t="shared" si="16"/>
        <v>74</v>
      </c>
      <c r="L49" s="18">
        <f ca="1">IFERROR(__xludf.DUMMYFUNCTION("IF( H49,RANK(H49, FILTER(H$3:H$128, C$3:C$128 = C49), 1),"""")"),36)</f>
        <v>36</v>
      </c>
      <c r="M49" s="13">
        <v>5.208333333333333E-3</v>
      </c>
      <c r="N49" s="19">
        <f t="shared" si="5"/>
        <v>2.6041666666666665E-3</v>
      </c>
      <c r="O49" s="18">
        <f t="shared" si="17"/>
        <v>10</v>
      </c>
      <c r="P49" s="18">
        <f ca="1">IFERROR(__xludf.DUMMYFUNCTION("IF( M49,RANK(M49, FILTER(M$3:M$128, C$3:C$128 = C49), 1),"""")"),3)</f>
        <v>3</v>
      </c>
      <c r="Q49" s="19">
        <f t="shared" si="7"/>
        <v>1.8391203703703701E-2</v>
      </c>
      <c r="R49" s="20">
        <f t="shared" si="8"/>
        <v>1.8391203703703701E-2</v>
      </c>
      <c r="S49" s="21">
        <f t="shared" si="18"/>
        <v>47</v>
      </c>
      <c r="T49" s="22">
        <f ca="1">IFERROR(__xludf.DUMMYFUNCTION("IF (S49 ,IF(S49 &gt; 3, RANK(Q49, FILTER(R$3:R$128, C$3:C$128 = C49,S$3:S$128 &gt; 3), 1),""""),"""")"),23)</f>
        <v>23</v>
      </c>
      <c r="U49" s="41" t="str">
        <f t="shared" si="19"/>
        <v>Бузо Александр</v>
      </c>
      <c r="V49" s="43">
        <f t="shared" si="20"/>
        <v>3.8773148148148148E-3</v>
      </c>
      <c r="W49" s="43">
        <f t="shared" si="21"/>
        <v>1.3182870370370369E-2</v>
      </c>
      <c r="X49" s="43">
        <f t="shared" si="22"/>
        <v>1.8391203703703701E-2</v>
      </c>
      <c r="Y49" s="42">
        <f t="shared" si="23"/>
        <v>0</v>
      </c>
      <c r="Z49" s="43">
        <f>Table1[[#Totals],[После плавания]]-V49</f>
        <v>4.837962962962964E-3</v>
      </c>
      <c r="AA49" s="43">
        <f>Table1[[#Totals],[После вело]]-W49</f>
        <v>7.0601851851851867E-3</v>
      </c>
      <c r="AB49" s="43">
        <f>Table1[[#Totals],[После бега]]-X49</f>
        <v>1.1886574074074077E-2</v>
      </c>
      <c r="AC49" s="40" t="s">
        <v>192</v>
      </c>
      <c r="AD49" s="45">
        <f>TIME(0,40,0)-Table1[[#This Row],[После вело]]</f>
        <v>1.4594907407407407E-2</v>
      </c>
    </row>
    <row r="50" spans="1:30" ht="13" x14ac:dyDescent="0.15">
      <c r="A50" s="10">
        <v>9</v>
      </c>
      <c r="B50" s="11" t="s">
        <v>71</v>
      </c>
      <c r="C50" s="12" t="s">
        <v>26</v>
      </c>
      <c r="D50" s="13">
        <v>3.1134259259259257E-3</v>
      </c>
      <c r="E50" s="14">
        <f t="shared" si="0"/>
        <v>1.0378086419753085E-3</v>
      </c>
      <c r="F50" s="15">
        <f t="shared" si="15"/>
        <v>18</v>
      </c>
      <c r="G50" s="15">
        <f ca="1">IFERROR(__xludf.DUMMYFUNCTION("IF( D50,RANK(D50, FILTER(D$3:D$128, C$3:C$128 = C50), 1),"""")"),5)</f>
        <v>5</v>
      </c>
      <c r="H50" s="13">
        <v>9.2013888888888892E-3</v>
      </c>
      <c r="I50" s="16">
        <f t="shared" si="2"/>
        <v>0.22083333333333333</v>
      </c>
      <c r="J50" s="17">
        <f t="shared" si="3"/>
        <v>36.226415094339622</v>
      </c>
      <c r="K50" s="18">
        <f t="shared" si="16"/>
        <v>69</v>
      </c>
      <c r="L50" s="18">
        <f ca="1">IFERROR(__xludf.DUMMYFUNCTION("IF( H50,RANK(H50, FILTER(H$3:H$128, C$3:C$128 = C50), 1),"""")"),34)</f>
        <v>34</v>
      </c>
      <c r="M50" s="13">
        <v>6.0879629629629626E-3</v>
      </c>
      <c r="N50" s="19">
        <f t="shared" si="5"/>
        <v>3.0439814814814813E-3</v>
      </c>
      <c r="O50" s="18">
        <f t="shared" si="17"/>
        <v>61</v>
      </c>
      <c r="P50" s="18">
        <f ca="1">IFERROR(__xludf.DUMMYFUNCTION("IF( M50,RANK(M50, FILTER(M$3:M$128, C$3:C$128 = C50), 1),"""")"),29)</f>
        <v>29</v>
      </c>
      <c r="Q50" s="19">
        <f t="shared" si="7"/>
        <v>1.8402777777777778E-2</v>
      </c>
      <c r="R50" s="20">
        <f t="shared" si="8"/>
        <v>1.8402777777777778E-2</v>
      </c>
      <c r="S50" s="21">
        <f t="shared" si="18"/>
        <v>48</v>
      </c>
      <c r="T50" s="22">
        <f ca="1">IFERROR(__xludf.DUMMYFUNCTION("IF (S50 ,IF(S50 &gt; 3, RANK(Q50, FILTER(R$3:R$128, C$3:C$128 = C50,S$3:S$128 &gt; 3), 1),""""),"""")"),24)</f>
        <v>24</v>
      </c>
      <c r="U50" s="41" t="str">
        <f t="shared" si="19"/>
        <v>Катуш Вадим</v>
      </c>
      <c r="V50" s="43">
        <f t="shared" si="20"/>
        <v>3.1134259259259257E-3</v>
      </c>
      <c r="W50" s="43">
        <f t="shared" si="21"/>
        <v>1.2314814814814815E-2</v>
      </c>
      <c r="X50" s="43">
        <f t="shared" si="22"/>
        <v>1.8402777777777778E-2</v>
      </c>
      <c r="Y50" s="42">
        <f t="shared" si="23"/>
        <v>0</v>
      </c>
      <c r="Z50" s="43">
        <f>Table1[[#Totals],[После плавания]]-V50</f>
        <v>5.6018518518518527E-3</v>
      </c>
      <c r="AA50" s="43">
        <f>Table1[[#Totals],[После вело]]-W50</f>
        <v>7.9282407407407409E-3</v>
      </c>
      <c r="AB50" s="43">
        <f>Table1[[#Totals],[После бега]]-X50</f>
        <v>1.1875E-2</v>
      </c>
      <c r="AC50" s="40" t="s">
        <v>192</v>
      </c>
      <c r="AD50" s="45">
        <f>TIME(0,40,0)-Table1[[#This Row],[После вело]]</f>
        <v>1.5462962962962961E-2</v>
      </c>
    </row>
    <row r="51" spans="1:30" ht="13" x14ac:dyDescent="0.15">
      <c r="A51" s="10">
        <v>159</v>
      </c>
      <c r="B51" s="11" t="s">
        <v>72</v>
      </c>
      <c r="C51" s="12" t="s">
        <v>23</v>
      </c>
      <c r="D51" s="13">
        <v>3.5648148148148149E-3</v>
      </c>
      <c r="E51" s="14">
        <f t="shared" si="0"/>
        <v>1.1882716049382716E-3</v>
      </c>
      <c r="F51" s="15">
        <f t="shared" si="15"/>
        <v>45</v>
      </c>
      <c r="G51" s="15">
        <f ca="1">IFERROR(__xludf.DUMMYFUNCTION("IF( D51,RANK(D51, FILTER(D$3:D$128, C$3:C$128 = C51), 1),"""")"),24)</f>
        <v>24</v>
      </c>
      <c r="H51" s="13">
        <v>9.0624999999999994E-3</v>
      </c>
      <c r="I51" s="16">
        <f t="shared" si="2"/>
        <v>0.21749999999999997</v>
      </c>
      <c r="J51" s="17">
        <f t="shared" si="3"/>
        <v>36.781609195402304</v>
      </c>
      <c r="K51" s="18">
        <f t="shared" si="16"/>
        <v>63</v>
      </c>
      <c r="L51" s="18">
        <f ca="1">IFERROR(__xludf.DUMMYFUNCTION("IF( H51,RANK(H51, FILTER(H$3:H$128, C$3:C$128 = C51), 1),"""")"),32)</f>
        <v>32</v>
      </c>
      <c r="M51" s="13">
        <v>5.8101851851851856E-3</v>
      </c>
      <c r="N51" s="19">
        <f t="shared" si="5"/>
        <v>2.9050925925925928E-3</v>
      </c>
      <c r="O51" s="18">
        <f t="shared" si="17"/>
        <v>47</v>
      </c>
      <c r="P51" s="18">
        <f ca="1">IFERROR(__xludf.DUMMYFUNCTION("IF( M51,RANK(M51, FILTER(M$3:M$128, C$3:C$128 = C51), 1),"""")"),26)</f>
        <v>26</v>
      </c>
      <c r="Q51" s="19">
        <f t="shared" si="7"/>
        <v>1.8437499999999999E-2</v>
      </c>
      <c r="R51" s="20">
        <f t="shared" si="8"/>
        <v>1.8437499999999999E-2</v>
      </c>
      <c r="S51" s="21">
        <f t="shared" si="18"/>
        <v>49</v>
      </c>
      <c r="T51" s="22">
        <f ca="1">IFERROR(__xludf.DUMMYFUNCTION("IF (S51 ,IF(S51 &gt; 3, RANK(Q51, FILTER(R$3:R$128, C$3:C$128 = C51,S$3:S$128 &gt; 3), 1),""""),"""")"),22)</f>
        <v>22</v>
      </c>
      <c r="U51" s="41" t="str">
        <f t="shared" si="19"/>
        <v>Максименко Никита</v>
      </c>
      <c r="V51" s="43">
        <f t="shared" si="20"/>
        <v>3.5648148148148149E-3</v>
      </c>
      <c r="W51" s="43">
        <f t="shared" si="21"/>
        <v>1.2627314814814813E-2</v>
      </c>
      <c r="X51" s="43">
        <f t="shared" si="22"/>
        <v>1.8437499999999999E-2</v>
      </c>
      <c r="Y51" s="42">
        <f t="shared" si="23"/>
        <v>0</v>
      </c>
      <c r="Z51" s="43">
        <f>Table1[[#Totals],[После плавания]]-V51</f>
        <v>5.1504629629629635E-3</v>
      </c>
      <c r="AA51" s="43">
        <f>Table1[[#Totals],[После вело]]-W51</f>
        <v>7.6157407407407424E-3</v>
      </c>
      <c r="AB51" s="43">
        <f>Table1[[#Totals],[После бега]]-X51</f>
        <v>1.1840277777777779E-2</v>
      </c>
      <c r="AC51" s="40" t="s">
        <v>192</v>
      </c>
      <c r="AD51" s="45">
        <f>TIME(0,40,0)-Table1[[#This Row],[После вело]]</f>
        <v>1.5150462962962963E-2</v>
      </c>
    </row>
    <row r="52" spans="1:30" ht="13" x14ac:dyDescent="0.15">
      <c r="A52" s="10">
        <v>152</v>
      </c>
      <c r="B52" s="11" t="s">
        <v>73</v>
      </c>
      <c r="C52" s="12" t="s">
        <v>23</v>
      </c>
      <c r="D52" s="13">
        <v>3.4953703703703705E-3</v>
      </c>
      <c r="E52" s="14">
        <f t="shared" si="0"/>
        <v>1.1651234567901234E-3</v>
      </c>
      <c r="F52" s="15">
        <f t="shared" si="15"/>
        <v>40</v>
      </c>
      <c r="G52" s="15">
        <f ca="1">IFERROR(__xludf.DUMMYFUNCTION("IF( D52,RANK(D52, FILTER(D$3:D$128, C$3:C$128 = C52), 1),"""")"),21)</f>
        <v>21</v>
      </c>
      <c r="H52" s="13">
        <v>8.4953703703703701E-3</v>
      </c>
      <c r="I52" s="16">
        <f t="shared" si="2"/>
        <v>0.2038888888888889</v>
      </c>
      <c r="J52" s="17">
        <f t="shared" si="3"/>
        <v>39.237057220708444</v>
      </c>
      <c r="K52" s="18">
        <f t="shared" si="16"/>
        <v>31</v>
      </c>
      <c r="L52" s="18">
        <f ca="1">IFERROR(__xludf.DUMMYFUNCTION("IF( H52,RANK(H52, FILTER(H$3:H$128, C$3:C$128 = C52), 1),"""")"),15)</f>
        <v>15</v>
      </c>
      <c r="M52" s="13">
        <v>6.4583333333333333E-3</v>
      </c>
      <c r="N52" s="19">
        <f t="shared" si="5"/>
        <v>3.2291666666666666E-3</v>
      </c>
      <c r="O52" s="18">
        <f t="shared" si="17"/>
        <v>75</v>
      </c>
      <c r="P52" s="18">
        <f ca="1">IFERROR(__xludf.DUMMYFUNCTION("IF( M52,RANK(M52, FILTER(M$3:M$128, C$3:C$128 = C52), 1),"""")"),40)</f>
        <v>40</v>
      </c>
      <c r="Q52" s="19">
        <f t="shared" si="7"/>
        <v>1.8449074074074076E-2</v>
      </c>
      <c r="R52" s="20">
        <f t="shared" si="8"/>
        <v>1.8449074074074076E-2</v>
      </c>
      <c r="S52" s="21">
        <f t="shared" si="18"/>
        <v>50</v>
      </c>
      <c r="T52" s="22">
        <f ca="1">IFERROR(__xludf.DUMMYFUNCTION("IF (S52 ,IF(S52 &gt; 3, RANK(Q52, FILTER(R$3:R$128, C$3:C$128 = C52,S$3:S$128 &gt; 3), 1),""""),"""")"),23)</f>
        <v>23</v>
      </c>
      <c r="U52" s="41" t="str">
        <f t="shared" si="19"/>
        <v>Добудько Иван</v>
      </c>
      <c r="V52" s="43">
        <f t="shared" si="20"/>
        <v>3.4953703703703705E-3</v>
      </c>
      <c r="W52" s="43">
        <f t="shared" si="21"/>
        <v>1.1990740740740741E-2</v>
      </c>
      <c r="X52" s="43">
        <f t="shared" si="22"/>
        <v>1.8449074074074076E-2</v>
      </c>
      <c r="Y52" s="42">
        <f t="shared" si="23"/>
        <v>0</v>
      </c>
      <c r="Z52" s="43">
        <f>Table1[[#Totals],[После плавания]]-V52</f>
        <v>5.2199074074074075E-3</v>
      </c>
      <c r="AA52" s="43">
        <f>Table1[[#Totals],[После вело]]-W52</f>
        <v>8.2523148148148148E-3</v>
      </c>
      <c r="AB52" s="43">
        <f>Table1[[#Totals],[После бега]]-X52</f>
        <v>1.1828703703703702E-2</v>
      </c>
      <c r="AC52" s="40" t="s">
        <v>192</v>
      </c>
      <c r="AD52" s="45">
        <f>TIME(0,40,0)-Table1[[#This Row],[После вело]]</f>
        <v>1.5787037037037037E-2</v>
      </c>
    </row>
    <row r="53" spans="1:30" ht="13" x14ac:dyDescent="0.15">
      <c r="A53" s="10">
        <v>111</v>
      </c>
      <c r="B53" s="11" t="s">
        <v>74</v>
      </c>
      <c r="C53" s="12" t="s">
        <v>26</v>
      </c>
      <c r="D53" s="13">
        <v>4.0046296296296297E-3</v>
      </c>
      <c r="E53" s="14">
        <f t="shared" si="0"/>
        <v>1.3348765432098766E-3</v>
      </c>
      <c r="F53" s="15">
        <f t="shared" si="15"/>
        <v>78</v>
      </c>
      <c r="G53" s="15">
        <f ca="1">IFERROR(__xludf.DUMMYFUNCTION("IF( D53,RANK(D53, FILTER(D$3:D$128, C$3:C$128 = C53), 1),"""")"),36)</f>
        <v>36</v>
      </c>
      <c r="H53" s="13">
        <v>8.5069444444444437E-3</v>
      </c>
      <c r="I53" s="16">
        <f t="shared" si="2"/>
        <v>0.20416666666666666</v>
      </c>
      <c r="J53" s="17">
        <f t="shared" si="3"/>
        <v>39.183673469387756</v>
      </c>
      <c r="K53" s="18">
        <f t="shared" si="16"/>
        <v>33</v>
      </c>
      <c r="L53" s="18">
        <f ca="1">IFERROR(__xludf.DUMMYFUNCTION("IF( H53,RANK(H53, FILTER(H$3:H$128, C$3:C$128 = C53), 1),"""")"),17)</f>
        <v>17</v>
      </c>
      <c r="M53" s="13">
        <v>5.9490740740740745E-3</v>
      </c>
      <c r="N53" s="19">
        <f t="shared" si="5"/>
        <v>2.9745370370370373E-3</v>
      </c>
      <c r="O53" s="18">
        <f t="shared" si="17"/>
        <v>55</v>
      </c>
      <c r="P53" s="18">
        <f ca="1">IFERROR(__xludf.DUMMYFUNCTION("IF( M53,RANK(M53, FILTER(M$3:M$128, C$3:C$128 = C53), 1),"""")"),25)</f>
        <v>25</v>
      </c>
      <c r="Q53" s="19">
        <f t="shared" si="7"/>
        <v>1.846064814814815E-2</v>
      </c>
      <c r="R53" s="20">
        <f t="shared" si="8"/>
        <v>1.846064814814815E-2</v>
      </c>
      <c r="S53" s="21">
        <f t="shared" si="18"/>
        <v>51</v>
      </c>
      <c r="T53" s="22">
        <f ca="1">IFERROR(__xludf.DUMMYFUNCTION("IF (S53 ,IF(S53 &gt; 3, RANK(Q53, FILTER(R$3:R$128, C$3:C$128 = C53,S$3:S$128 &gt; 3), 1),""""),"""")"),25)</f>
        <v>25</v>
      </c>
      <c r="U53" s="41" t="str">
        <f t="shared" si="19"/>
        <v>Saroka Vitali</v>
      </c>
      <c r="V53" s="43">
        <f t="shared" si="20"/>
        <v>4.0046296296296297E-3</v>
      </c>
      <c r="W53" s="43">
        <f t="shared" si="21"/>
        <v>1.2511574074074074E-2</v>
      </c>
      <c r="X53" s="43">
        <f t="shared" si="22"/>
        <v>1.846064814814815E-2</v>
      </c>
      <c r="Y53" s="42">
        <f t="shared" si="23"/>
        <v>0</v>
      </c>
      <c r="Z53" s="43">
        <f>Table1[[#Totals],[После плавания]]-V53</f>
        <v>4.7106481481481487E-3</v>
      </c>
      <c r="AA53" s="43">
        <f>Table1[[#Totals],[После вело]]-W53</f>
        <v>7.7314814814814815E-3</v>
      </c>
      <c r="AB53" s="43">
        <f>Table1[[#Totals],[После бега]]-X53</f>
        <v>1.1817129629629629E-2</v>
      </c>
      <c r="AC53" s="40" t="s">
        <v>192</v>
      </c>
      <c r="AD53" s="45">
        <f>TIME(0,40,0)-Table1[[#This Row],[После вело]]</f>
        <v>1.5266203703703702E-2</v>
      </c>
    </row>
    <row r="54" spans="1:30" ht="13" x14ac:dyDescent="0.15">
      <c r="A54" s="10">
        <v>95</v>
      </c>
      <c r="B54" s="11" t="s">
        <v>75</v>
      </c>
      <c r="C54" s="12" t="s">
        <v>23</v>
      </c>
      <c r="D54" s="13">
        <v>4.4791666666666669E-3</v>
      </c>
      <c r="E54" s="14">
        <f t="shared" si="0"/>
        <v>1.4930555555555556E-3</v>
      </c>
      <c r="F54" s="15">
        <f t="shared" si="15"/>
        <v>103</v>
      </c>
      <c r="G54" s="15">
        <f ca="1">IFERROR(__xludf.DUMMYFUNCTION("IF( D54,RANK(D54, FILTER(D$3:D$128, C$3:C$128 = C54), 1),"""")"),56)</f>
        <v>56</v>
      </c>
      <c r="H54" s="13">
        <v>8.4953703703703701E-3</v>
      </c>
      <c r="I54" s="16">
        <f t="shared" si="2"/>
        <v>0.2038888888888889</v>
      </c>
      <c r="J54" s="17">
        <f t="shared" si="3"/>
        <v>39.237057220708444</v>
      </c>
      <c r="K54" s="18">
        <f t="shared" si="16"/>
        <v>31</v>
      </c>
      <c r="L54" s="18">
        <f ca="1">IFERROR(__xludf.DUMMYFUNCTION("IF( H54,RANK(H54, FILTER(H$3:H$128, C$3:C$128 = C54), 1),"""")"),15)</f>
        <v>15</v>
      </c>
      <c r="M54" s="13">
        <v>5.5671296296296293E-3</v>
      </c>
      <c r="N54" s="19">
        <f t="shared" si="5"/>
        <v>2.7835648148148147E-3</v>
      </c>
      <c r="O54" s="18">
        <f t="shared" si="17"/>
        <v>34</v>
      </c>
      <c r="P54" s="18">
        <f ca="1">IFERROR(__xludf.DUMMYFUNCTION("IF( M54,RANK(M54, FILTER(M$3:M$128, C$3:C$128 = C54), 1),"""")"),19)</f>
        <v>19</v>
      </c>
      <c r="Q54" s="19">
        <f t="shared" si="7"/>
        <v>1.8541666666666668E-2</v>
      </c>
      <c r="R54" s="20">
        <f t="shared" si="8"/>
        <v>1.8541666666666668E-2</v>
      </c>
      <c r="S54" s="21">
        <f t="shared" si="18"/>
        <v>52</v>
      </c>
      <c r="T54" s="22">
        <f ca="1">IFERROR(__xludf.DUMMYFUNCTION("IF (S54 ,IF(S54 &gt; 3, RANK(Q54, FILTER(R$3:R$128, C$3:C$128 = C54,S$3:S$128 &gt; 3), 1),""""),"""")"),24)</f>
        <v>24</v>
      </c>
      <c r="U54" s="41" t="str">
        <f t="shared" si="19"/>
        <v>Кравцов Евгений</v>
      </c>
      <c r="V54" s="43">
        <f t="shared" si="20"/>
        <v>4.4791666666666669E-3</v>
      </c>
      <c r="W54" s="43">
        <f t="shared" si="21"/>
        <v>1.2974537037037038E-2</v>
      </c>
      <c r="X54" s="43">
        <f t="shared" si="22"/>
        <v>1.8541666666666668E-2</v>
      </c>
      <c r="Y54" s="42">
        <f t="shared" si="23"/>
        <v>0</v>
      </c>
      <c r="Z54" s="43">
        <f>Table1[[#Totals],[После плавания]]-V54</f>
        <v>4.2361111111111115E-3</v>
      </c>
      <c r="AA54" s="43">
        <f>Table1[[#Totals],[После вело]]-W54</f>
        <v>7.2685185185185179E-3</v>
      </c>
      <c r="AB54" s="43">
        <f>Table1[[#Totals],[После бега]]-X54</f>
        <v>1.173611111111111E-2</v>
      </c>
      <c r="AC54" s="40" t="s">
        <v>192</v>
      </c>
      <c r="AD54" s="45">
        <f>TIME(0,40,0)-Table1[[#This Row],[После вело]]</f>
        <v>1.4803240740740738E-2</v>
      </c>
    </row>
    <row r="55" spans="1:30" ht="13" x14ac:dyDescent="0.15">
      <c r="A55" s="10">
        <v>108</v>
      </c>
      <c r="B55" s="11" t="s">
        <v>76</v>
      </c>
      <c r="C55" s="12" t="s">
        <v>26</v>
      </c>
      <c r="D55" s="13">
        <v>3.7152777777777778E-3</v>
      </c>
      <c r="E55" s="14">
        <f t="shared" si="0"/>
        <v>1.238425925925926E-3</v>
      </c>
      <c r="F55" s="15">
        <f t="shared" si="15"/>
        <v>55</v>
      </c>
      <c r="G55" s="15">
        <f ca="1">IFERROR(__xludf.DUMMYFUNCTION("IF( D55,RANK(D55, FILTER(D$3:D$128, C$3:C$128 = C55), 1),"""")"),27)</f>
        <v>27</v>
      </c>
      <c r="H55" s="13">
        <v>8.8078703703703704E-3</v>
      </c>
      <c r="I55" s="16">
        <f t="shared" si="2"/>
        <v>0.2113888888888889</v>
      </c>
      <c r="J55" s="17">
        <f t="shared" si="3"/>
        <v>37.844940867279895</v>
      </c>
      <c r="K55" s="18">
        <f t="shared" si="16"/>
        <v>45</v>
      </c>
      <c r="L55" s="18">
        <f ca="1">IFERROR(__xludf.DUMMYFUNCTION("IF( H55,RANK(H55, FILTER(H$3:H$128, C$3:C$128 = C55), 1),"""")"),25)</f>
        <v>25</v>
      </c>
      <c r="M55" s="13">
        <v>6.0416666666666665E-3</v>
      </c>
      <c r="N55" s="19">
        <f t="shared" si="5"/>
        <v>3.0208333333333333E-3</v>
      </c>
      <c r="O55" s="18">
        <f t="shared" si="17"/>
        <v>59</v>
      </c>
      <c r="P55" s="18">
        <f ca="1">IFERROR(__xludf.DUMMYFUNCTION("IF( M55,RANK(M55, FILTER(M$3:M$128, C$3:C$128 = C55), 1),"""")"),28)</f>
        <v>28</v>
      </c>
      <c r="Q55" s="19">
        <f t="shared" si="7"/>
        <v>1.8564814814814815E-2</v>
      </c>
      <c r="R55" s="20">
        <f t="shared" si="8"/>
        <v>1.8564814814814815E-2</v>
      </c>
      <c r="S55" s="21">
        <f t="shared" si="18"/>
        <v>53</v>
      </c>
      <c r="T55" s="22">
        <f ca="1">IFERROR(__xludf.DUMMYFUNCTION("IF (S55 ,IF(S55 &gt; 3, RANK(Q55, FILTER(R$3:R$128, C$3:C$128 = C55,S$3:S$128 &gt; 3), 1),""""),"""")"),26)</f>
        <v>26</v>
      </c>
      <c r="U55" s="41" t="str">
        <f t="shared" si="19"/>
        <v>Горбатенко Михаил</v>
      </c>
      <c r="V55" s="43">
        <f t="shared" si="20"/>
        <v>3.7152777777777778E-3</v>
      </c>
      <c r="W55" s="43">
        <f t="shared" si="21"/>
        <v>1.2523148148148148E-2</v>
      </c>
      <c r="X55" s="43">
        <f t="shared" si="22"/>
        <v>1.8564814814814815E-2</v>
      </c>
      <c r="Y55" s="42">
        <f t="shared" si="23"/>
        <v>0</v>
      </c>
      <c r="Z55" s="43">
        <f>Table1[[#Totals],[После плавания]]-V55</f>
        <v>5.000000000000001E-3</v>
      </c>
      <c r="AA55" s="43">
        <f>Table1[[#Totals],[После вело]]-W55</f>
        <v>7.719907407407408E-3</v>
      </c>
      <c r="AB55" s="43">
        <f>Table1[[#Totals],[После бега]]-X55</f>
        <v>1.1712962962962963E-2</v>
      </c>
      <c r="AC55" s="40" t="s">
        <v>192</v>
      </c>
      <c r="AD55" s="45">
        <f>TIME(0,40,0)-Table1[[#This Row],[После вело]]</f>
        <v>1.5254629629629628E-2</v>
      </c>
    </row>
    <row r="56" spans="1:30" ht="13" x14ac:dyDescent="0.15">
      <c r="A56" s="10">
        <v>96</v>
      </c>
      <c r="B56" s="11" t="s">
        <v>77</v>
      </c>
      <c r="C56" s="12" t="s">
        <v>23</v>
      </c>
      <c r="D56" s="13">
        <v>3.0208333333333333E-3</v>
      </c>
      <c r="E56" s="14">
        <f t="shared" si="0"/>
        <v>1.0069444444444444E-3</v>
      </c>
      <c r="F56" s="15">
        <f t="shared" si="15"/>
        <v>16</v>
      </c>
      <c r="G56" s="15">
        <f ca="1">IFERROR(__xludf.DUMMYFUNCTION("IF( D56,RANK(D56, FILTER(D$3:D$128, C$3:C$128 = C56), 1),"""")"),12)</f>
        <v>12</v>
      </c>
      <c r="H56" s="13">
        <v>9.4907407407407406E-3</v>
      </c>
      <c r="I56" s="16">
        <f t="shared" si="2"/>
        <v>0.22777777777777777</v>
      </c>
      <c r="J56" s="17">
        <f t="shared" si="3"/>
        <v>35.121951219512198</v>
      </c>
      <c r="K56" s="18">
        <f t="shared" si="16"/>
        <v>85</v>
      </c>
      <c r="L56" s="18">
        <f ca="1">IFERROR(__xludf.DUMMYFUNCTION("IF( H56,RANK(H56, FILTER(H$3:H$128, C$3:C$128 = C56), 1),"""")"),44)</f>
        <v>44</v>
      </c>
      <c r="M56" s="13">
        <v>6.0879629629629626E-3</v>
      </c>
      <c r="N56" s="19">
        <f t="shared" si="5"/>
        <v>3.0439814814814813E-3</v>
      </c>
      <c r="O56" s="18">
        <f t="shared" si="17"/>
        <v>61</v>
      </c>
      <c r="P56" s="18">
        <f ca="1">IFERROR(__xludf.DUMMYFUNCTION("IF( M56,RANK(M56, FILTER(M$3:M$128, C$3:C$128 = C56), 1),"""")"),33)</f>
        <v>33</v>
      </c>
      <c r="Q56" s="19">
        <f t="shared" si="7"/>
        <v>1.8599537037037036E-2</v>
      </c>
      <c r="R56" s="20">
        <f t="shared" si="8"/>
        <v>1.8599537037037036E-2</v>
      </c>
      <c r="S56" s="21">
        <f t="shared" si="18"/>
        <v>54</v>
      </c>
      <c r="T56" s="22">
        <f ca="1">IFERROR(__xludf.DUMMYFUNCTION("IF (S56 ,IF(S56 &gt; 3, RANK(Q56, FILTER(R$3:R$128, C$3:C$128 = C56,S$3:S$128 &gt; 3), 1),""""),"""")"),25)</f>
        <v>25</v>
      </c>
      <c r="U56" s="41" t="str">
        <f t="shared" si="19"/>
        <v>Сокол Александр</v>
      </c>
      <c r="V56" s="43">
        <f t="shared" si="20"/>
        <v>3.0208333333333333E-3</v>
      </c>
      <c r="W56" s="43">
        <f t="shared" si="21"/>
        <v>1.2511574074074074E-2</v>
      </c>
      <c r="X56" s="43">
        <f t="shared" si="22"/>
        <v>1.8599537037037036E-2</v>
      </c>
      <c r="Y56" s="42">
        <f t="shared" si="23"/>
        <v>0</v>
      </c>
      <c r="Z56" s="43">
        <f>Table1[[#Totals],[После плавания]]-V56</f>
        <v>5.6944444444444447E-3</v>
      </c>
      <c r="AA56" s="43">
        <f>Table1[[#Totals],[После вело]]-W56</f>
        <v>7.7314814814814815E-3</v>
      </c>
      <c r="AB56" s="43">
        <f>Table1[[#Totals],[После бега]]-X56</f>
        <v>1.1678240740740743E-2</v>
      </c>
      <c r="AC56" s="40" t="s">
        <v>192</v>
      </c>
      <c r="AD56" s="45">
        <f>TIME(0,40,0)-Table1[[#This Row],[После вело]]</f>
        <v>1.5266203703703702E-2</v>
      </c>
    </row>
    <row r="57" spans="1:30" ht="13" x14ac:dyDescent="0.15">
      <c r="A57" s="10">
        <v>117</v>
      </c>
      <c r="B57" s="11" t="s">
        <v>78</v>
      </c>
      <c r="C57" s="12" t="s">
        <v>26</v>
      </c>
      <c r="D57" s="13">
        <v>3.425925925925926E-3</v>
      </c>
      <c r="E57" s="14">
        <f t="shared" si="0"/>
        <v>1.1419753086419754E-3</v>
      </c>
      <c r="F57" s="15">
        <f t="shared" si="15"/>
        <v>37</v>
      </c>
      <c r="G57" s="15">
        <f ca="1">IFERROR(__xludf.DUMMYFUNCTION("IF( D57,RANK(D57, FILTER(D$3:D$128, C$3:C$128 = C57), 1),"""")"),18)</f>
        <v>18</v>
      </c>
      <c r="H57" s="13">
        <v>9.3171296296296301E-3</v>
      </c>
      <c r="I57" s="16">
        <f t="shared" si="2"/>
        <v>0.22361111111111112</v>
      </c>
      <c r="J57" s="17">
        <f t="shared" si="3"/>
        <v>35.776397515527947</v>
      </c>
      <c r="K57" s="18">
        <f t="shared" si="16"/>
        <v>78</v>
      </c>
      <c r="L57" s="18">
        <f ca="1">IFERROR(__xludf.DUMMYFUNCTION("IF( H57,RANK(H57, FILTER(H$3:H$128, C$3:C$128 = C57), 1),"""")"),38)</f>
        <v>38</v>
      </c>
      <c r="M57" s="13">
        <v>5.8564814814814816E-3</v>
      </c>
      <c r="N57" s="19">
        <f t="shared" si="5"/>
        <v>2.9282407407407408E-3</v>
      </c>
      <c r="O57" s="18">
        <f t="shared" si="17"/>
        <v>51</v>
      </c>
      <c r="P57" s="18">
        <f ca="1">IFERROR(__xludf.DUMMYFUNCTION("IF( M57,RANK(M57, FILTER(M$3:M$128, C$3:C$128 = C57), 1),"""")"),23)</f>
        <v>23</v>
      </c>
      <c r="Q57" s="19">
        <f t="shared" si="7"/>
        <v>1.8599537037037039E-2</v>
      </c>
      <c r="R57" s="20">
        <f t="shared" si="8"/>
        <v>1.8599537037037039E-2</v>
      </c>
      <c r="S57" s="21">
        <f t="shared" si="18"/>
        <v>55</v>
      </c>
      <c r="T57" s="22">
        <f ca="1">IFERROR(__xludf.DUMMYFUNCTION("IF (S57 ,IF(S57 &gt; 3, RANK(Q57, FILTER(R$3:R$128, C$3:C$128 = C57,S$3:S$128 &gt; 3), 1),""""),"""")"),27)</f>
        <v>27</v>
      </c>
      <c r="U57" s="41" t="str">
        <f t="shared" si="19"/>
        <v>Kanafin Artsiom</v>
      </c>
      <c r="V57" s="43">
        <f t="shared" si="20"/>
        <v>3.425925925925926E-3</v>
      </c>
      <c r="W57" s="43">
        <f t="shared" si="21"/>
        <v>1.2743055555555556E-2</v>
      </c>
      <c r="X57" s="43">
        <f t="shared" si="22"/>
        <v>1.8599537037037039E-2</v>
      </c>
      <c r="Y57" s="42">
        <f t="shared" si="23"/>
        <v>0</v>
      </c>
      <c r="Z57" s="43">
        <f>Table1[[#Totals],[После плавания]]-V57</f>
        <v>5.2893518518518524E-3</v>
      </c>
      <c r="AA57" s="43">
        <f>Table1[[#Totals],[После вело]]-W57</f>
        <v>7.4999999999999997E-3</v>
      </c>
      <c r="AB57" s="43">
        <f>Table1[[#Totals],[После бега]]-X57</f>
        <v>1.1678240740740739E-2</v>
      </c>
      <c r="AC57" s="40" t="s">
        <v>192</v>
      </c>
      <c r="AD57" s="45">
        <f>TIME(0,40,0)-Table1[[#This Row],[После вело]]</f>
        <v>1.503472222222222E-2</v>
      </c>
    </row>
    <row r="58" spans="1:30" ht="13" x14ac:dyDescent="0.15">
      <c r="A58" s="10">
        <v>2</v>
      </c>
      <c r="B58" s="11" t="s">
        <v>79</v>
      </c>
      <c r="C58" s="12" t="s">
        <v>23</v>
      </c>
      <c r="D58" s="13">
        <v>3.8657407407407408E-3</v>
      </c>
      <c r="E58" s="14">
        <f t="shared" si="0"/>
        <v>1.2885802469135802E-3</v>
      </c>
      <c r="F58" s="15">
        <f t="shared" si="15"/>
        <v>65</v>
      </c>
      <c r="G58" s="15">
        <f ca="1">IFERROR(__xludf.DUMMYFUNCTION("IF( D58,RANK(D58, FILTER(D$3:D$128, C$3:C$128 = C58), 1),"""")"),36)</f>
        <v>36</v>
      </c>
      <c r="H58" s="13">
        <v>8.8541666666666664E-3</v>
      </c>
      <c r="I58" s="16">
        <f t="shared" si="2"/>
        <v>0.21249999999999999</v>
      </c>
      <c r="J58" s="17">
        <f t="shared" si="3"/>
        <v>37.647058823529413</v>
      </c>
      <c r="K58" s="18">
        <f t="shared" si="16"/>
        <v>49</v>
      </c>
      <c r="L58" s="18">
        <f ca="1">IFERROR(__xludf.DUMMYFUNCTION("IF( H58,RANK(H58, FILTER(H$3:H$128, C$3:C$128 = C58), 1),"""")"),23)</f>
        <v>23</v>
      </c>
      <c r="M58" s="13">
        <v>5.9143518518518521E-3</v>
      </c>
      <c r="N58" s="19">
        <f t="shared" si="5"/>
        <v>2.957175925925926E-3</v>
      </c>
      <c r="O58" s="18">
        <f t="shared" si="17"/>
        <v>54</v>
      </c>
      <c r="P58" s="18">
        <f ca="1">IFERROR(__xludf.DUMMYFUNCTION("IF( M58,RANK(M58, FILTER(M$3:M$128, C$3:C$128 = C58), 1),"""")"),30)</f>
        <v>30</v>
      </c>
      <c r="Q58" s="19">
        <f t="shared" si="7"/>
        <v>1.863425925925926E-2</v>
      </c>
      <c r="R58" s="20">
        <f t="shared" si="8"/>
        <v>1.863425925925926E-2</v>
      </c>
      <c r="S58" s="21">
        <f t="shared" si="18"/>
        <v>56</v>
      </c>
      <c r="T58" s="22">
        <f ca="1">IFERROR(__xludf.DUMMYFUNCTION("IF (S58 ,IF(S58 &gt; 3, RANK(Q58, FILTER(R$3:R$128, C$3:C$128 = C58,S$3:S$128 &gt; 3), 1),""""),"""")"),26)</f>
        <v>26</v>
      </c>
      <c r="U58" s="41" t="str">
        <f t="shared" si="19"/>
        <v>Kupriyanov Nikita</v>
      </c>
      <c r="V58" s="43">
        <f t="shared" si="20"/>
        <v>3.8657407407407408E-3</v>
      </c>
      <c r="W58" s="43">
        <f t="shared" si="21"/>
        <v>1.2719907407407407E-2</v>
      </c>
      <c r="X58" s="43">
        <f t="shared" si="22"/>
        <v>1.863425925925926E-2</v>
      </c>
      <c r="Y58" s="42">
        <f t="shared" si="23"/>
        <v>0</v>
      </c>
      <c r="Z58" s="43">
        <f>Table1[[#Totals],[После плавания]]-V58</f>
        <v>4.8495370370370376E-3</v>
      </c>
      <c r="AA58" s="43">
        <f>Table1[[#Totals],[После вело]]-W58</f>
        <v>7.5231481481481486E-3</v>
      </c>
      <c r="AB58" s="43">
        <f>Table1[[#Totals],[После бега]]-X58</f>
        <v>1.1643518518518518E-2</v>
      </c>
      <c r="AC58" s="40" t="s">
        <v>192</v>
      </c>
      <c r="AD58" s="45">
        <f>TIME(0,40,0)-Table1[[#This Row],[После вело]]</f>
        <v>1.5057870370370369E-2</v>
      </c>
    </row>
    <row r="59" spans="1:30" ht="13" x14ac:dyDescent="0.15">
      <c r="A59" s="10">
        <v>12</v>
      </c>
      <c r="B59" s="11" t="s">
        <v>80</v>
      </c>
      <c r="C59" s="12" t="s">
        <v>23</v>
      </c>
      <c r="D59" s="13">
        <v>4.5023148148148149E-3</v>
      </c>
      <c r="E59" s="14">
        <f t="shared" si="0"/>
        <v>1.5007716049382717E-3</v>
      </c>
      <c r="F59" s="15">
        <f t="shared" si="15"/>
        <v>104</v>
      </c>
      <c r="G59" s="15">
        <f ca="1">IFERROR(__xludf.DUMMYFUNCTION("IF( D59,RANK(D59, FILTER(D$3:D$128, C$3:C$128 = C59), 1),"""")"),57)</f>
        <v>57</v>
      </c>
      <c r="H59" s="13">
        <v>8.4490740740740741E-3</v>
      </c>
      <c r="I59" s="16">
        <f t="shared" si="2"/>
        <v>0.20277777777777778</v>
      </c>
      <c r="J59" s="17">
        <f t="shared" si="3"/>
        <v>39.452054794520549</v>
      </c>
      <c r="K59" s="18">
        <f t="shared" si="16"/>
        <v>23</v>
      </c>
      <c r="L59" s="18">
        <f ca="1">IFERROR(__xludf.DUMMYFUNCTION("IF( H59,RANK(H59, FILTER(H$3:H$128, C$3:C$128 = C59), 1),"""")"),11)</f>
        <v>11</v>
      </c>
      <c r="M59" s="13">
        <v>5.6828703703703702E-3</v>
      </c>
      <c r="N59" s="19">
        <f t="shared" si="5"/>
        <v>2.8414351851851851E-3</v>
      </c>
      <c r="O59" s="18">
        <f t="shared" si="17"/>
        <v>43</v>
      </c>
      <c r="P59" s="18">
        <f ca="1">IFERROR(__xludf.DUMMYFUNCTION("IF( M59,RANK(M59, FILTER(M$3:M$128, C$3:C$128 = C59), 1),"""")"),22)</f>
        <v>22</v>
      </c>
      <c r="Q59" s="19">
        <f t="shared" si="7"/>
        <v>1.863425925925926E-2</v>
      </c>
      <c r="R59" s="20">
        <f t="shared" si="8"/>
        <v>1.863425925925926E-2</v>
      </c>
      <c r="S59" s="21">
        <f t="shared" si="18"/>
        <v>56</v>
      </c>
      <c r="T59" s="22">
        <f ca="1">IFERROR(__xludf.DUMMYFUNCTION("IF (S59 ,IF(S59 &gt; 3, RANK(Q59, FILTER(R$3:R$128, C$3:C$128 = C59,S$3:S$128 &gt; 3), 1),""""),"""")"),26)</f>
        <v>26</v>
      </c>
      <c r="U59" s="41" t="str">
        <f t="shared" si="19"/>
        <v>Горбунов Дмитрий</v>
      </c>
      <c r="V59" s="43">
        <f t="shared" si="20"/>
        <v>4.5023148148148149E-3</v>
      </c>
      <c r="W59" s="43">
        <f t="shared" si="21"/>
        <v>1.2951388888888889E-2</v>
      </c>
      <c r="X59" s="43">
        <f t="shared" si="22"/>
        <v>1.863425925925926E-2</v>
      </c>
      <c r="Y59" s="42">
        <f t="shared" si="23"/>
        <v>0</v>
      </c>
      <c r="Z59" s="43">
        <f>Table1[[#Totals],[После плавания]]-V59</f>
        <v>4.2129629629629635E-3</v>
      </c>
      <c r="AA59" s="43">
        <f>Table1[[#Totals],[После вело]]-W59</f>
        <v>7.2916666666666668E-3</v>
      </c>
      <c r="AB59" s="43">
        <f>Table1[[#Totals],[После бега]]-X59</f>
        <v>1.1643518518518518E-2</v>
      </c>
      <c r="AC59" s="40" t="s">
        <v>192</v>
      </c>
      <c r="AD59" s="45">
        <f>TIME(0,40,0)-Table1[[#This Row],[После вело]]</f>
        <v>1.4826388888888887E-2</v>
      </c>
    </row>
    <row r="60" spans="1:30" ht="13" x14ac:dyDescent="0.15">
      <c r="A60" s="10">
        <v>125</v>
      </c>
      <c r="B60" s="11" t="s">
        <v>81</v>
      </c>
      <c r="C60" s="12" t="s">
        <v>23</v>
      </c>
      <c r="D60" s="13">
        <v>3.4375E-3</v>
      </c>
      <c r="E60" s="14">
        <f t="shared" si="0"/>
        <v>1.1458333333333333E-3</v>
      </c>
      <c r="F60" s="15">
        <f t="shared" si="15"/>
        <v>38</v>
      </c>
      <c r="G60" s="15">
        <f ca="1">IFERROR(__xludf.DUMMYFUNCTION("IF( D60,RANK(D60, FILTER(D$3:D$128, C$3:C$128 = C60), 1),"""")"),20)</f>
        <v>20</v>
      </c>
      <c r="H60" s="13">
        <v>9.1898148148148156E-3</v>
      </c>
      <c r="I60" s="16">
        <f t="shared" si="2"/>
        <v>0.22055555555555556</v>
      </c>
      <c r="J60" s="17">
        <f t="shared" si="3"/>
        <v>36.272040302267001</v>
      </c>
      <c r="K60" s="18">
        <f t="shared" si="16"/>
        <v>67</v>
      </c>
      <c r="L60" s="18">
        <f ca="1">IFERROR(__xludf.DUMMYFUNCTION("IF( H60,RANK(H60, FILTER(H$3:H$128, C$3:C$128 = C60), 1),"""")"),35)</f>
        <v>35</v>
      </c>
      <c r="M60" s="13">
        <v>6.099537037037037E-3</v>
      </c>
      <c r="N60" s="19">
        <f t="shared" si="5"/>
        <v>3.0497685185185185E-3</v>
      </c>
      <c r="O60" s="18">
        <f t="shared" si="17"/>
        <v>63</v>
      </c>
      <c r="P60" s="18">
        <f ca="1">IFERROR(__xludf.DUMMYFUNCTION("IF( M60,RANK(M60, FILTER(M$3:M$128, C$3:C$128 = C60), 1),"""")"),34)</f>
        <v>34</v>
      </c>
      <c r="Q60" s="19">
        <f t="shared" si="7"/>
        <v>1.8726851851851852E-2</v>
      </c>
      <c r="R60" s="20">
        <f t="shared" si="8"/>
        <v>1.8726851851851852E-2</v>
      </c>
      <c r="S60" s="21">
        <f t="shared" si="18"/>
        <v>58</v>
      </c>
      <c r="T60" s="22">
        <f ca="1">IFERROR(__xludf.DUMMYFUNCTION("IF (S60 ,IF(S60 &gt; 3, RANK(Q60, FILTER(R$3:R$128, C$3:C$128 = C60,S$3:S$128 &gt; 3), 1),""""),"""")"),28)</f>
        <v>28</v>
      </c>
      <c r="U60" s="41" t="str">
        <f t="shared" si="19"/>
        <v>Шпиленя Алексей</v>
      </c>
      <c r="V60" s="43">
        <f t="shared" si="20"/>
        <v>3.4375E-3</v>
      </c>
      <c r="W60" s="43">
        <f t="shared" si="21"/>
        <v>1.2627314814814815E-2</v>
      </c>
      <c r="X60" s="43">
        <f t="shared" si="22"/>
        <v>1.8726851851851852E-2</v>
      </c>
      <c r="Y60" s="42">
        <f t="shared" si="23"/>
        <v>0</v>
      </c>
      <c r="Z60" s="43">
        <f>Table1[[#Totals],[После плавания]]-V60</f>
        <v>5.2777777777777788E-3</v>
      </c>
      <c r="AA60" s="43">
        <f>Table1[[#Totals],[После вело]]-W60</f>
        <v>7.6157407407407406E-3</v>
      </c>
      <c r="AB60" s="43">
        <f>Table1[[#Totals],[После бега]]-X60</f>
        <v>1.1550925925925926E-2</v>
      </c>
      <c r="AC60" s="40" t="s">
        <v>192</v>
      </c>
      <c r="AD60" s="45">
        <f>TIME(0,40,0)-Table1[[#This Row],[После вело]]</f>
        <v>1.5150462962962961E-2</v>
      </c>
    </row>
    <row r="61" spans="1:30" ht="13" x14ac:dyDescent="0.15">
      <c r="A61" s="10">
        <v>32</v>
      </c>
      <c r="B61" s="11" t="s">
        <v>82</v>
      </c>
      <c r="C61" s="12" t="s">
        <v>23</v>
      </c>
      <c r="D61" s="13">
        <v>3.8888888888888888E-3</v>
      </c>
      <c r="E61" s="14">
        <f t="shared" si="0"/>
        <v>1.2962962962962963E-3</v>
      </c>
      <c r="F61" s="15">
        <f t="shared" si="15"/>
        <v>68</v>
      </c>
      <c r="G61" s="15">
        <f ca="1">IFERROR(__xludf.DUMMYFUNCTION("IF( D61,RANK(D61, FILTER(D$3:D$128, C$3:C$128 = C61), 1),"""")"),38)</f>
        <v>38</v>
      </c>
      <c r="H61" s="13">
        <v>9.2013888888888892E-3</v>
      </c>
      <c r="I61" s="16">
        <f t="shared" si="2"/>
        <v>0.22083333333333333</v>
      </c>
      <c r="J61" s="17">
        <f t="shared" si="3"/>
        <v>36.226415094339622</v>
      </c>
      <c r="K61" s="18">
        <f t="shared" si="16"/>
        <v>69</v>
      </c>
      <c r="L61" s="18">
        <f ca="1">IFERROR(__xludf.DUMMYFUNCTION("IF( H61,RANK(H61, FILTER(H$3:H$128, C$3:C$128 = C61), 1),"""")"),36)</f>
        <v>36</v>
      </c>
      <c r="M61" s="13">
        <v>5.6828703703703702E-3</v>
      </c>
      <c r="N61" s="19">
        <f t="shared" si="5"/>
        <v>2.8414351851851851E-3</v>
      </c>
      <c r="O61" s="18">
        <f t="shared" si="17"/>
        <v>43</v>
      </c>
      <c r="P61" s="18">
        <f ca="1">IFERROR(__xludf.DUMMYFUNCTION("IF( M61,RANK(M61, FILTER(M$3:M$128, C$3:C$128 = C61), 1),"""")"),22)</f>
        <v>22</v>
      </c>
      <c r="Q61" s="19">
        <f t="shared" si="7"/>
        <v>1.8773148148148146E-2</v>
      </c>
      <c r="R61" s="20">
        <f t="shared" si="8"/>
        <v>1.8773148148148146E-2</v>
      </c>
      <c r="S61" s="21">
        <f t="shared" si="18"/>
        <v>59</v>
      </c>
      <c r="T61" s="22">
        <f ca="1">IFERROR(__xludf.DUMMYFUNCTION("IF (S61 ,IF(S61 &gt; 3, RANK(Q61, FILTER(R$3:R$128, C$3:C$128 = C61,S$3:S$128 &gt; 3), 1),""""),"""")"),29)</f>
        <v>29</v>
      </c>
      <c r="U61" s="41" t="str">
        <f t="shared" si="19"/>
        <v>Атрашкевич Сергей</v>
      </c>
      <c r="V61" s="43">
        <f t="shared" si="20"/>
        <v>3.8888888888888888E-3</v>
      </c>
      <c r="W61" s="43">
        <f t="shared" si="21"/>
        <v>1.3090277777777777E-2</v>
      </c>
      <c r="X61" s="43">
        <f t="shared" si="22"/>
        <v>1.8773148148148146E-2</v>
      </c>
      <c r="Y61" s="42">
        <f t="shared" si="23"/>
        <v>0</v>
      </c>
      <c r="Z61" s="43">
        <f>Table1[[#Totals],[После плавания]]-V61</f>
        <v>4.8263888888888896E-3</v>
      </c>
      <c r="AA61" s="43">
        <f>Table1[[#Totals],[После вело]]-W61</f>
        <v>7.1527777777777787E-3</v>
      </c>
      <c r="AB61" s="43">
        <f>Table1[[#Totals],[После бега]]-X61</f>
        <v>1.1504629629629632E-2</v>
      </c>
      <c r="AC61" s="40" t="s">
        <v>192</v>
      </c>
      <c r="AD61" s="45">
        <f>TIME(0,40,0)-Table1[[#This Row],[После вело]]</f>
        <v>1.4687499999999999E-2</v>
      </c>
    </row>
    <row r="62" spans="1:30" ht="13" x14ac:dyDescent="0.15">
      <c r="A62" s="10">
        <v>142</v>
      </c>
      <c r="B62" s="11" t="s">
        <v>83</v>
      </c>
      <c r="C62" s="12" t="s">
        <v>26</v>
      </c>
      <c r="D62" s="13">
        <v>3.4837962962962965E-3</v>
      </c>
      <c r="E62" s="14">
        <f t="shared" si="0"/>
        <v>1.1612654320987655E-3</v>
      </c>
      <c r="F62" s="15">
        <f t="shared" si="15"/>
        <v>39</v>
      </c>
      <c r="G62" s="15">
        <f ca="1">IFERROR(__xludf.DUMMYFUNCTION("IF( D62,RANK(D62, FILTER(D$3:D$128, C$3:C$128 = C62), 1),"""")"),19)</f>
        <v>19</v>
      </c>
      <c r="H62" s="13">
        <v>9.0972222222222218E-3</v>
      </c>
      <c r="I62" s="16">
        <f t="shared" si="2"/>
        <v>0.21833333333333332</v>
      </c>
      <c r="J62" s="17">
        <f t="shared" si="3"/>
        <v>36.641221374045806</v>
      </c>
      <c r="K62" s="18">
        <f t="shared" si="16"/>
        <v>64</v>
      </c>
      <c r="L62" s="18">
        <f ca="1">IFERROR(__xludf.DUMMYFUNCTION("IF( H62,RANK(H62, FILTER(H$3:H$128, C$3:C$128 = C62), 1),"""")"),32)</f>
        <v>32</v>
      </c>
      <c r="M62" s="13">
        <v>6.2268518518518515E-3</v>
      </c>
      <c r="N62" s="19">
        <f t="shared" si="5"/>
        <v>3.1134259259259257E-3</v>
      </c>
      <c r="O62" s="18">
        <f t="shared" si="17"/>
        <v>71</v>
      </c>
      <c r="P62" s="18">
        <f ca="1">IFERROR(__xludf.DUMMYFUNCTION("IF( M62,RANK(M62, FILTER(M$3:M$128, C$3:C$128 = C62), 1),"""")"),34)</f>
        <v>34</v>
      </c>
      <c r="Q62" s="19">
        <f t="shared" si="7"/>
        <v>1.8807870370370371E-2</v>
      </c>
      <c r="R62" s="20">
        <f t="shared" si="8"/>
        <v>1.8807870370370371E-2</v>
      </c>
      <c r="S62" s="21">
        <f t="shared" si="18"/>
        <v>60</v>
      </c>
      <c r="T62" s="22">
        <f ca="1">IFERROR(__xludf.DUMMYFUNCTION("IF (S62 ,IF(S62 &gt; 3, RANK(Q62, FILTER(R$3:R$128, C$3:C$128 = C62,S$3:S$128 &gt; 3), 1),""""),"""")"),28)</f>
        <v>28</v>
      </c>
      <c r="U62" s="41" t="str">
        <f t="shared" si="19"/>
        <v>Леончик Владимир</v>
      </c>
      <c r="V62" s="43">
        <f t="shared" si="20"/>
        <v>3.4837962962962965E-3</v>
      </c>
      <c r="W62" s="43">
        <f t="shared" si="21"/>
        <v>1.2581018518518519E-2</v>
      </c>
      <c r="X62" s="43">
        <f t="shared" si="22"/>
        <v>1.8807870370370371E-2</v>
      </c>
      <c r="Y62" s="42">
        <f t="shared" si="23"/>
        <v>0</v>
      </c>
      <c r="Z62" s="43">
        <f>Table1[[#Totals],[После плавания]]-V62</f>
        <v>5.2314814814814819E-3</v>
      </c>
      <c r="AA62" s="43">
        <f>Table1[[#Totals],[После вело]]-W62</f>
        <v>7.6620370370370366E-3</v>
      </c>
      <c r="AB62" s="43">
        <f>Table1[[#Totals],[После бега]]-X62</f>
        <v>1.1469907407407408E-2</v>
      </c>
      <c r="AC62" s="40" t="s">
        <v>192</v>
      </c>
      <c r="AD62" s="45">
        <f>TIME(0,40,0)-Table1[[#This Row],[После вело]]</f>
        <v>1.5196759259259257E-2</v>
      </c>
    </row>
    <row r="63" spans="1:30" ht="13" x14ac:dyDescent="0.15">
      <c r="A63" s="10">
        <v>100</v>
      </c>
      <c r="B63" s="11" t="s">
        <v>84</v>
      </c>
      <c r="C63" s="12" t="s">
        <v>23</v>
      </c>
      <c r="D63" s="13">
        <v>3.6111111111111109E-3</v>
      </c>
      <c r="E63" s="14">
        <f t="shared" si="0"/>
        <v>1.2037037037037036E-3</v>
      </c>
      <c r="F63" s="15">
        <f t="shared" si="15"/>
        <v>49</v>
      </c>
      <c r="G63" s="15">
        <f ca="1">IFERROR(__xludf.DUMMYFUNCTION("IF( D63,RANK(D63, FILTER(D$3:D$128, C$3:C$128 = C63), 1),"""")"),26)</f>
        <v>26</v>
      </c>
      <c r="H63" s="13">
        <v>8.6921296296296295E-3</v>
      </c>
      <c r="I63" s="16">
        <f t="shared" si="2"/>
        <v>0.20861111111111111</v>
      </c>
      <c r="J63" s="17">
        <f t="shared" si="3"/>
        <v>38.348868175765645</v>
      </c>
      <c r="K63" s="18">
        <f t="shared" si="16"/>
        <v>41</v>
      </c>
      <c r="L63" s="18">
        <f ca="1">IFERROR(__xludf.DUMMYFUNCTION("IF( H63,RANK(H63, FILTER(H$3:H$128, C$3:C$128 = C63), 1),"""")"),19)</f>
        <v>19</v>
      </c>
      <c r="M63" s="13">
        <v>6.5856481481481478E-3</v>
      </c>
      <c r="N63" s="19">
        <f t="shared" si="5"/>
        <v>3.2928240740740739E-3</v>
      </c>
      <c r="O63" s="18">
        <f t="shared" si="17"/>
        <v>84</v>
      </c>
      <c r="P63" s="18">
        <f ca="1">IFERROR(__xludf.DUMMYFUNCTION("IF( M63,RANK(M63, FILTER(M$3:M$128, C$3:C$128 = C63), 1),"""")"),45)</f>
        <v>45</v>
      </c>
      <c r="Q63" s="19">
        <f t="shared" si="7"/>
        <v>1.8888888888888886E-2</v>
      </c>
      <c r="R63" s="20">
        <f t="shared" si="8"/>
        <v>1.8888888888888886E-2</v>
      </c>
      <c r="S63" s="21">
        <f t="shared" si="18"/>
        <v>61</v>
      </c>
      <c r="T63" s="22">
        <f ca="1">IFERROR(__xludf.DUMMYFUNCTION("IF (S63 ,IF(S63 &gt; 3, RANK(Q63, FILTER(R$3:R$128, C$3:C$128 = C63,S$3:S$128 &gt; 3), 1),""""),"""")"),30)</f>
        <v>30</v>
      </c>
      <c r="U63" s="41" t="str">
        <f t="shared" si="19"/>
        <v>Автушко Михаил</v>
      </c>
      <c r="V63" s="43">
        <f t="shared" si="20"/>
        <v>3.6111111111111109E-3</v>
      </c>
      <c r="W63" s="43">
        <f t="shared" si="21"/>
        <v>1.230324074074074E-2</v>
      </c>
      <c r="X63" s="43">
        <f t="shared" si="22"/>
        <v>1.8888888888888886E-2</v>
      </c>
      <c r="Y63" s="42">
        <f t="shared" si="23"/>
        <v>0</v>
      </c>
      <c r="Z63" s="43">
        <f>Table1[[#Totals],[После плавания]]-V63</f>
        <v>5.1041666666666674E-3</v>
      </c>
      <c r="AA63" s="43">
        <f>Table1[[#Totals],[После вело]]-W63</f>
        <v>7.9398148148148162E-3</v>
      </c>
      <c r="AB63" s="43">
        <f>Table1[[#Totals],[После бега]]-X63</f>
        <v>1.1388888888888893E-2</v>
      </c>
      <c r="AC63" s="40" t="s">
        <v>192</v>
      </c>
      <c r="AD63" s="45">
        <f>TIME(0,40,0)-Table1[[#This Row],[После вело]]</f>
        <v>1.5474537037037037E-2</v>
      </c>
    </row>
    <row r="64" spans="1:30" ht="13" x14ac:dyDescent="0.15">
      <c r="A64" s="10">
        <v>26</v>
      </c>
      <c r="B64" s="11" t="s">
        <v>85</v>
      </c>
      <c r="C64" s="12" t="s">
        <v>23</v>
      </c>
      <c r="D64" s="13">
        <v>3.9699074074074072E-3</v>
      </c>
      <c r="E64" s="14">
        <f t="shared" si="0"/>
        <v>1.3233024691358024E-3</v>
      </c>
      <c r="F64" s="15">
        <f t="shared" si="15"/>
        <v>75</v>
      </c>
      <c r="G64" s="15">
        <f ca="1">IFERROR(__xludf.DUMMYFUNCTION("IF( D64,RANK(D64, FILTER(D$3:D$128, C$3:C$128 = C64), 1),"""")"),42)</f>
        <v>42</v>
      </c>
      <c r="H64" s="13">
        <v>8.8541666666666664E-3</v>
      </c>
      <c r="I64" s="16">
        <f t="shared" si="2"/>
        <v>0.21249999999999999</v>
      </c>
      <c r="J64" s="17">
        <f t="shared" si="3"/>
        <v>37.647058823529413</v>
      </c>
      <c r="K64" s="18">
        <f t="shared" si="16"/>
        <v>49</v>
      </c>
      <c r="L64" s="18">
        <f ca="1">IFERROR(__xludf.DUMMYFUNCTION("IF( H64,RANK(H64, FILTER(H$3:H$128, C$3:C$128 = C64), 1),"""")"),23)</f>
        <v>23</v>
      </c>
      <c r="M64" s="13">
        <v>6.0648148148148145E-3</v>
      </c>
      <c r="N64" s="19">
        <f t="shared" si="5"/>
        <v>3.0324074074074073E-3</v>
      </c>
      <c r="O64" s="18">
        <f t="shared" si="17"/>
        <v>60</v>
      </c>
      <c r="P64" s="18">
        <f ca="1">IFERROR(__xludf.DUMMYFUNCTION("IF( M64,RANK(M64, FILTER(M$3:M$128, C$3:C$128 = C64), 1),"""")"),32)</f>
        <v>32</v>
      </c>
      <c r="Q64" s="19">
        <f t="shared" si="7"/>
        <v>1.8888888888888889E-2</v>
      </c>
      <c r="R64" s="20">
        <f t="shared" si="8"/>
        <v>1.8888888888888889E-2</v>
      </c>
      <c r="S64" s="21">
        <f t="shared" si="18"/>
        <v>62</v>
      </c>
      <c r="T64" s="22">
        <f ca="1">IFERROR(__xludf.DUMMYFUNCTION("IF (S64 ,IF(S64 &gt; 3, RANK(Q64, FILTER(R$3:R$128, C$3:C$128 = C64,S$3:S$128 &gt; 3), 1),""""),"""")"),31)</f>
        <v>31</v>
      </c>
      <c r="U64" s="41" t="str">
        <f t="shared" si="19"/>
        <v>Ryzhenkov Yury</v>
      </c>
      <c r="V64" s="43">
        <f t="shared" si="20"/>
        <v>3.9699074074074072E-3</v>
      </c>
      <c r="W64" s="43">
        <f t="shared" si="21"/>
        <v>1.2824074074074075E-2</v>
      </c>
      <c r="X64" s="43">
        <f t="shared" si="22"/>
        <v>1.8888888888888889E-2</v>
      </c>
      <c r="Y64" s="42">
        <f t="shared" si="23"/>
        <v>0</v>
      </c>
      <c r="Z64" s="43">
        <f>Table1[[#Totals],[После плавания]]-V64</f>
        <v>4.7453703703703711E-3</v>
      </c>
      <c r="AA64" s="43">
        <f>Table1[[#Totals],[После вело]]-W64</f>
        <v>7.4189814814814813E-3</v>
      </c>
      <c r="AB64" s="43">
        <f>Table1[[#Totals],[После бега]]-X64</f>
        <v>1.1388888888888889E-2</v>
      </c>
      <c r="AC64" s="40" t="s">
        <v>192</v>
      </c>
      <c r="AD64" s="45">
        <f>TIME(0,40,0)-Table1[[#This Row],[После вело]]</f>
        <v>1.4953703703703702E-2</v>
      </c>
    </row>
    <row r="65" spans="1:30" ht="13" x14ac:dyDescent="0.15">
      <c r="A65" s="10">
        <v>138</v>
      </c>
      <c r="B65" s="11" t="s">
        <v>86</v>
      </c>
      <c r="C65" s="12" t="s">
        <v>26</v>
      </c>
      <c r="D65" s="13">
        <v>3.7037037037037038E-3</v>
      </c>
      <c r="E65" s="14">
        <f t="shared" si="0"/>
        <v>1.2345679012345679E-3</v>
      </c>
      <c r="F65" s="15">
        <f t="shared" si="15"/>
        <v>54</v>
      </c>
      <c r="G65" s="15">
        <f ca="1">IFERROR(__xludf.DUMMYFUNCTION("IF( D65,RANK(D65, FILTER(D$3:D$128, C$3:C$128 = C65), 1),"""")"),26)</f>
        <v>26</v>
      </c>
      <c r="H65" s="13">
        <v>9.1898148148148156E-3</v>
      </c>
      <c r="I65" s="16">
        <f t="shared" si="2"/>
        <v>0.22055555555555556</v>
      </c>
      <c r="J65" s="17">
        <f t="shared" si="3"/>
        <v>36.272040302267001</v>
      </c>
      <c r="K65" s="18">
        <f t="shared" si="16"/>
        <v>67</v>
      </c>
      <c r="L65" s="18">
        <f ca="1">IFERROR(__xludf.DUMMYFUNCTION("IF( H65,RANK(H65, FILTER(H$3:H$128, C$3:C$128 = C65), 1),"""")"),33)</f>
        <v>33</v>
      </c>
      <c r="M65" s="13">
        <v>6.1342592592592594E-3</v>
      </c>
      <c r="N65" s="19">
        <f t="shared" si="5"/>
        <v>3.0671296296296297E-3</v>
      </c>
      <c r="O65" s="18">
        <f t="shared" si="17"/>
        <v>66</v>
      </c>
      <c r="P65" s="18">
        <f ca="1">IFERROR(__xludf.DUMMYFUNCTION("IF( M65,RANK(M65, FILTER(M$3:M$128, C$3:C$128 = C65), 1),"""")"),31)</f>
        <v>31</v>
      </c>
      <c r="Q65" s="19">
        <f t="shared" si="7"/>
        <v>1.9027777777777779E-2</v>
      </c>
      <c r="R65" s="20">
        <f t="shared" si="8"/>
        <v>1.9027777777777779E-2</v>
      </c>
      <c r="S65" s="21">
        <f t="shared" si="18"/>
        <v>63</v>
      </c>
      <c r="T65" s="22">
        <f ca="1">IFERROR(__xludf.DUMMYFUNCTION("IF (S65 ,IF(S65 &gt; 3, RANK(Q65, FILTER(R$3:R$128, C$3:C$128 = C65,S$3:S$128 &gt; 3), 1),""""),"""")"),29)</f>
        <v>29</v>
      </c>
      <c r="U65" s="41" t="str">
        <f t="shared" si="19"/>
        <v>Здор Павел</v>
      </c>
      <c r="V65" s="43">
        <f t="shared" si="20"/>
        <v>3.7037037037037038E-3</v>
      </c>
      <c r="W65" s="43">
        <f t="shared" si="21"/>
        <v>1.2893518518518519E-2</v>
      </c>
      <c r="X65" s="43">
        <f t="shared" si="22"/>
        <v>1.9027777777777779E-2</v>
      </c>
      <c r="Y65" s="42">
        <f t="shared" si="23"/>
        <v>0</v>
      </c>
      <c r="Z65" s="43">
        <f>Table1[[#Totals],[После плавания]]-V65</f>
        <v>5.0115740740740745E-3</v>
      </c>
      <c r="AA65" s="43">
        <f>Table1[[#Totals],[После вело]]-W65</f>
        <v>7.3495370370370364E-3</v>
      </c>
      <c r="AB65" s="43">
        <f>Table1[[#Totals],[После бега]]-X65</f>
        <v>1.125E-2</v>
      </c>
      <c r="AC65" s="40" t="s">
        <v>192</v>
      </c>
      <c r="AD65" s="45">
        <f>TIME(0,40,0)-Table1[[#This Row],[После вело]]</f>
        <v>1.4884259259259257E-2</v>
      </c>
    </row>
    <row r="66" spans="1:30" ht="13" x14ac:dyDescent="0.15">
      <c r="A66" s="10">
        <v>124</v>
      </c>
      <c r="B66" s="11" t="s">
        <v>87</v>
      </c>
      <c r="C66" s="12" t="s">
        <v>23</v>
      </c>
      <c r="D66" s="13">
        <v>3.5069444444444445E-3</v>
      </c>
      <c r="E66" s="14">
        <f t="shared" si="0"/>
        <v>1.1689814814814816E-3</v>
      </c>
      <c r="F66" s="15">
        <f t="shared" si="15"/>
        <v>41</v>
      </c>
      <c r="G66" s="15">
        <f ca="1">IFERROR(__xludf.DUMMYFUNCTION("IF( D66,RANK(D66, FILTER(D$3:D$128, C$3:C$128 = C66), 1),"""")"),22)</f>
        <v>22</v>
      </c>
      <c r="H66" s="13">
        <v>9.5949074074074079E-3</v>
      </c>
      <c r="I66" s="16">
        <f t="shared" si="2"/>
        <v>0.2302777777777778</v>
      </c>
      <c r="J66" s="17">
        <f t="shared" si="3"/>
        <v>34.740651387213504</v>
      </c>
      <c r="K66" s="18">
        <f t="shared" si="16"/>
        <v>89</v>
      </c>
      <c r="L66" s="18">
        <f ca="1">IFERROR(__xludf.DUMMYFUNCTION("IF( H66,RANK(H66, FILTER(H$3:H$128, C$3:C$128 = C66), 1),"""")"),46)</f>
        <v>46</v>
      </c>
      <c r="M66" s="13">
        <v>5.9490740740740745E-3</v>
      </c>
      <c r="N66" s="19">
        <f t="shared" si="5"/>
        <v>2.9745370370370373E-3</v>
      </c>
      <c r="O66" s="18">
        <f t="shared" si="17"/>
        <v>55</v>
      </c>
      <c r="P66" s="18">
        <f ca="1">IFERROR(__xludf.DUMMYFUNCTION("IF( M66,RANK(M66, FILTER(M$3:M$128, C$3:C$128 = C66), 1),"""")"),31)</f>
        <v>31</v>
      </c>
      <c r="Q66" s="19">
        <f t="shared" si="7"/>
        <v>1.9050925925925926E-2</v>
      </c>
      <c r="R66" s="20">
        <f t="shared" si="8"/>
        <v>1.9050925925925926E-2</v>
      </c>
      <c r="S66" s="21">
        <f t="shared" si="18"/>
        <v>64</v>
      </c>
      <c r="T66" s="22">
        <f ca="1">IFERROR(__xludf.DUMMYFUNCTION("IF (S66 ,IF(S66 &gt; 3, RANK(Q66, FILTER(R$3:R$128, C$3:C$128 = C66,S$3:S$128 &gt; 3), 1),""""),"""")"),32)</f>
        <v>32</v>
      </c>
      <c r="U66" s="41" t="str">
        <f t="shared" si="19"/>
        <v>Максим Кушель</v>
      </c>
      <c r="V66" s="43">
        <f t="shared" si="20"/>
        <v>3.5069444444444445E-3</v>
      </c>
      <c r="W66" s="43">
        <f t="shared" si="21"/>
        <v>1.3101851851851852E-2</v>
      </c>
      <c r="X66" s="43">
        <f t="shared" si="22"/>
        <v>1.9050925925925926E-2</v>
      </c>
      <c r="Y66" s="42">
        <f t="shared" si="23"/>
        <v>0</v>
      </c>
      <c r="Z66" s="43">
        <f>Table1[[#Totals],[После плавания]]-V66</f>
        <v>5.2083333333333339E-3</v>
      </c>
      <c r="AA66" s="43">
        <f>Table1[[#Totals],[После вело]]-W66</f>
        <v>7.1412037037037034E-3</v>
      </c>
      <c r="AB66" s="43">
        <f>Table1[[#Totals],[После бега]]-X66</f>
        <v>1.1226851851851852E-2</v>
      </c>
      <c r="AC66" s="40" t="s">
        <v>192</v>
      </c>
      <c r="AD66" s="45">
        <f>TIME(0,40,0)-Table1[[#This Row],[После вело]]</f>
        <v>1.4675925925925924E-2</v>
      </c>
    </row>
    <row r="67" spans="1:30" ht="13" x14ac:dyDescent="0.15">
      <c r="A67" s="10">
        <v>17</v>
      </c>
      <c r="B67" s="11" t="s">
        <v>88</v>
      </c>
      <c r="C67" s="12" t="s">
        <v>23</v>
      </c>
      <c r="D67" s="13">
        <v>4.1087962962962962E-3</v>
      </c>
      <c r="E67" s="14">
        <f t="shared" si="0"/>
        <v>1.3695987654320986E-3</v>
      </c>
      <c r="F67" s="15">
        <f t="shared" ref="F67:F98" si="24">IF(D67, RANK(D67,$D$3:$D$118,1), "")</f>
        <v>86</v>
      </c>
      <c r="G67" s="15">
        <f ca="1">IFERROR(__xludf.DUMMYFUNCTION("IF( D67,RANK(D67, FILTER(D$3:D$128, C$3:C$128 = C67), 1),"""")"),49)</f>
        <v>49</v>
      </c>
      <c r="H67" s="13">
        <v>8.8888888888888889E-3</v>
      </c>
      <c r="I67" s="16">
        <f t="shared" si="2"/>
        <v>0.21333333333333332</v>
      </c>
      <c r="J67" s="17">
        <f t="shared" si="3"/>
        <v>37.5</v>
      </c>
      <c r="K67" s="18">
        <f t="shared" ref="K67:K98" si="25">IF(H67, RANK(H67,$H$3:$H$118,1), "")</f>
        <v>53</v>
      </c>
      <c r="L67" s="18">
        <f ca="1">IFERROR(__xludf.DUMMYFUNCTION("IF( H67,RANK(H67, FILTER(H$3:H$128, C$3:C$128 = C67), 1),"""")"),26)</f>
        <v>26</v>
      </c>
      <c r="M67" s="13">
        <v>6.1111111111111114E-3</v>
      </c>
      <c r="N67" s="19">
        <f t="shared" si="5"/>
        <v>3.0555555555555557E-3</v>
      </c>
      <c r="O67" s="18">
        <f t="shared" ref="O67:O98" si="26">IF(M67, RANK(M67,$M$3:$M$118,1), "")</f>
        <v>64</v>
      </c>
      <c r="P67" s="18">
        <f ca="1">IFERROR(__xludf.DUMMYFUNCTION("IF( M67,RANK(M67, FILTER(M$3:M$128, C$3:C$128 = C67), 1),"""")"),35)</f>
        <v>35</v>
      </c>
      <c r="Q67" s="19">
        <f t="shared" si="7"/>
        <v>1.9108796296296297E-2</v>
      </c>
      <c r="R67" s="20">
        <f t="shared" si="8"/>
        <v>1.9108796296296297E-2</v>
      </c>
      <c r="S67" s="21">
        <f t="shared" ref="S67:S98" si="27">IF(R67,RANK(R67,R$3:R$118,1),"")</f>
        <v>65</v>
      </c>
      <c r="T67" s="22">
        <f ca="1">IFERROR(__xludf.DUMMYFUNCTION("IF (S67 ,IF(S67 &gt; 3, RANK(Q67, FILTER(R$3:R$128, C$3:C$128 = C67,S$3:S$128 &gt; 3), 1),""""),"""")"),33)</f>
        <v>33</v>
      </c>
      <c r="U67" s="41" t="str">
        <f t="shared" ref="U67:U98" si="28">B67</f>
        <v>Акулич Антон</v>
      </c>
      <c r="V67" s="43">
        <f t="shared" ref="V67:V98" si="29">D67</f>
        <v>4.1087962962962962E-3</v>
      </c>
      <c r="W67" s="43">
        <f t="shared" ref="W67:W98" si="30">SUM(V67,H67)</f>
        <v>1.2997685185185185E-2</v>
      </c>
      <c r="X67" s="43">
        <f t="shared" ref="X67:X98" si="31">SUM(W67,M67)</f>
        <v>1.9108796296296297E-2</v>
      </c>
      <c r="Y67" s="42">
        <f t="shared" ref="Y67:Y98" si="32">TIME(0,0,0)</f>
        <v>0</v>
      </c>
      <c r="Z67" s="43">
        <f>Table1[[#Totals],[После плавания]]-V67</f>
        <v>4.6064814814814822E-3</v>
      </c>
      <c r="AA67" s="43">
        <f>Table1[[#Totals],[После вело]]-W67</f>
        <v>7.2453703703703708E-3</v>
      </c>
      <c r="AB67" s="43">
        <f>Table1[[#Totals],[После бега]]-X67</f>
        <v>1.1168981481481481E-2</v>
      </c>
      <c r="AC67" s="40" t="s">
        <v>192</v>
      </c>
      <c r="AD67" s="45">
        <f>TIME(0,40,0)-Table1[[#This Row],[После вело]]</f>
        <v>1.4780092592592591E-2</v>
      </c>
    </row>
    <row r="68" spans="1:30" ht="13" x14ac:dyDescent="0.15">
      <c r="A68" s="10">
        <v>33</v>
      </c>
      <c r="B68" s="11" t="s">
        <v>89</v>
      </c>
      <c r="C68" s="12" t="s">
        <v>23</v>
      </c>
      <c r="D68" s="13">
        <v>3.9351851851851848E-3</v>
      </c>
      <c r="E68" s="14">
        <f t="shared" si="0"/>
        <v>1.3117283950617282E-3</v>
      </c>
      <c r="F68" s="15">
        <f t="shared" si="24"/>
        <v>72</v>
      </c>
      <c r="G68" s="15">
        <f ca="1">IFERROR(__xludf.DUMMYFUNCTION("IF( D68,RANK(D68, FILTER(D$3:D$128, C$3:C$128 = C68), 1),"""")"),41)</f>
        <v>41</v>
      </c>
      <c r="H68" s="13">
        <v>9.3055555555555548E-3</v>
      </c>
      <c r="I68" s="16">
        <f t="shared" si="2"/>
        <v>0.22333333333333333</v>
      </c>
      <c r="J68" s="17">
        <f t="shared" si="3"/>
        <v>35.820895522388064</v>
      </c>
      <c r="K68" s="18">
        <f t="shared" si="25"/>
        <v>74</v>
      </c>
      <c r="L68" s="18">
        <f ca="1">IFERROR(__xludf.DUMMYFUNCTION("IF( H68,RANK(H68, FILTER(H$3:H$128, C$3:C$128 = C68), 1),"""")"),39)</f>
        <v>39</v>
      </c>
      <c r="M68" s="13">
        <v>5.8912037037037041E-3</v>
      </c>
      <c r="N68" s="19">
        <f t="shared" si="5"/>
        <v>2.945601851851852E-3</v>
      </c>
      <c r="O68" s="18">
        <f t="shared" si="26"/>
        <v>52</v>
      </c>
      <c r="P68" s="18">
        <f ca="1">IFERROR(__xludf.DUMMYFUNCTION("IF( M68,RANK(M68, FILTER(M$3:M$128, C$3:C$128 = C68), 1),"""")"),29)</f>
        <v>29</v>
      </c>
      <c r="Q68" s="19">
        <f t="shared" si="7"/>
        <v>1.9131944444444444E-2</v>
      </c>
      <c r="R68" s="20">
        <f t="shared" si="8"/>
        <v>1.9131944444444444E-2</v>
      </c>
      <c r="S68" s="21">
        <f t="shared" si="27"/>
        <v>66</v>
      </c>
      <c r="T68" s="22">
        <f ca="1">IFERROR(__xludf.DUMMYFUNCTION("IF (S68 ,IF(S68 &gt; 3, RANK(Q68, FILTER(R$3:R$128, C$3:C$128 = C68,S$3:S$128 &gt; 3), 1),""""),"""")"),34)</f>
        <v>34</v>
      </c>
      <c r="U68" s="41" t="str">
        <f t="shared" si="28"/>
        <v>Босяков Александр</v>
      </c>
      <c r="V68" s="43">
        <f t="shared" si="29"/>
        <v>3.9351851851851848E-3</v>
      </c>
      <c r="W68" s="43">
        <f t="shared" si="30"/>
        <v>1.324074074074074E-2</v>
      </c>
      <c r="X68" s="43">
        <f t="shared" si="31"/>
        <v>1.9131944444444444E-2</v>
      </c>
      <c r="Y68" s="42">
        <f t="shared" si="32"/>
        <v>0</v>
      </c>
      <c r="Z68" s="43">
        <f>Table1[[#Totals],[После плавания]]-V68</f>
        <v>4.7800925925925936E-3</v>
      </c>
      <c r="AA68" s="43">
        <f>Table1[[#Totals],[После вело]]-W68</f>
        <v>7.0023148148148154E-3</v>
      </c>
      <c r="AB68" s="43">
        <f>Table1[[#Totals],[После бега]]-X68</f>
        <v>1.1145833333333334E-2</v>
      </c>
      <c r="AC68" s="40" t="s">
        <v>192</v>
      </c>
      <c r="AD68" s="45">
        <f>TIME(0,40,0)-Table1[[#This Row],[После вело]]</f>
        <v>1.4537037037037036E-2</v>
      </c>
    </row>
    <row r="69" spans="1:30" ht="13" x14ac:dyDescent="0.15">
      <c r="A69" s="10">
        <v>123</v>
      </c>
      <c r="B69" s="11" t="s">
        <v>90</v>
      </c>
      <c r="C69" s="12" t="s">
        <v>23</v>
      </c>
      <c r="D69" s="13">
        <v>3.0208333333333333E-3</v>
      </c>
      <c r="E69" s="14">
        <f t="shared" si="0"/>
        <v>1.0069444444444444E-3</v>
      </c>
      <c r="F69" s="15">
        <f t="shared" si="24"/>
        <v>16</v>
      </c>
      <c r="G69" s="15">
        <f ca="1">IFERROR(__xludf.DUMMYFUNCTION("IF( D69,RANK(D69, FILTER(D$3:D$128, C$3:C$128 = C69), 1),"""")"),12)</f>
        <v>12</v>
      </c>
      <c r="H69" s="13">
        <v>9.4907407407407406E-3</v>
      </c>
      <c r="I69" s="16">
        <f t="shared" si="2"/>
        <v>0.22777777777777777</v>
      </c>
      <c r="J69" s="17">
        <f t="shared" si="3"/>
        <v>35.121951219512198</v>
      </c>
      <c r="K69" s="18">
        <f t="shared" si="25"/>
        <v>85</v>
      </c>
      <c r="L69" s="18">
        <f ca="1">IFERROR(__xludf.DUMMYFUNCTION("IF( H69,RANK(H69, FILTER(H$3:H$128, C$3:C$128 = C69), 1),"""")"),44)</f>
        <v>44</v>
      </c>
      <c r="M69" s="13">
        <v>6.6435185185185182E-3</v>
      </c>
      <c r="N69" s="19">
        <f t="shared" si="5"/>
        <v>3.3217592592592591E-3</v>
      </c>
      <c r="O69" s="18">
        <f t="shared" si="26"/>
        <v>86</v>
      </c>
      <c r="P69" s="18">
        <f ca="1">IFERROR(__xludf.DUMMYFUNCTION("IF( M69,RANK(M69, FILTER(M$3:M$128, C$3:C$128 = C69), 1),"""")"),47)</f>
        <v>47</v>
      </c>
      <c r="Q69" s="19">
        <f t="shared" si="7"/>
        <v>1.9155092592592592E-2</v>
      </c>
      <c r="R69" s="20">
        <f t="shared" si="8"/>
        <v>1.9155092592592592E-2</v>
      </c>
      <c r="S69" s="21">
        <f t="shared" si="27"/>
        <v>67</v>
      </c>
      <c r="T69" s="22">
        <f ca="1">IFERROR(__xludf.DUMMYFUNCTION("IF (S69 ,IF(S69 &gt; 3, RANK(Q69, FILTER(R$3:R$128, C$3:C$128 = C69,S$3:S$128 &gt; 3), 1),""""),"""")"),35)</f>
        <v>35</v>
      </c>
      <c r="U69" s="41" t="str">
        <f t="shared" si="28"/>
        <v>Киричев Максим</v>
      </c>
      <c r="V69" s="43">
        <f t="shared" si="29"/>
        <v>3.0208333333333333E-3</v>
      </c>
      <c r="W69" s="43">
        <f t="shared" si="30"/>
        <v>1.2511574074074074E-2</v>
      </c>
      <c r="X69" s="43">
        <f t="shared" si="31"/>
        <v>1.9155092592592592E-2</v>
      </c>
      <c r="Y69" s="42">
        <f t="shared" si="32"/>
        <v>0</v>
      </c>
      <c r="Z69" s="43">
        <f>Table1[[#Totals],[После плавания]]-V69</f>
        <v>5.6944444444444447E-3</v>
      </c>
      <c r="AA69" s="43">
        <f>Table1[[#Totals],[После вело]]-W69</f>
        <v>7.7314814814814815E-3</v>
      </c>
      <c r="AB69" s="43">
        <f>Table1[[#Totals],[После бега]]-X69</f>
        <v>1.1122685185185187E-2</v>
      </c>
      <c r="AC69" s="40" t="s">
        <v>192</v>
      </c>
      <c r="AD69" s="45">
        <f>TIME(0,40,0)-Table1[[#This Row],[После вело]]</f>
        <v>1.5266203703703702E-2</v>
      </c>
    </row>
    <row r="70" spans="1:30" ht="13" x14ac:dyDescent="0.15">
      <c r="A70" s="10">
        <v>25</v>
      </c>
      <c r="B70" s="11" t="s">
        <v>91</v>
      </c>
      <c r="C70" s="12" t="s">
        <v>26</v>
      </c>
      <c r="D70" s="13">
        <v>3.9699074074074072E-3</v>
      </c>
      <c r="E70" s="14">
        <f t="shared" si="0"/>
        <v>1.3233024691358024E-3</v>
      </c>
      <c r="F70" s="15">
        <f t="shared" si="24"/>
        <v>75</v>
      </c>
      <c r="G70" s="15">
        <f ca="1">IFERROR(__xludf.DUMMYFUNCTION("IF( D70,RANK(D70, FILTER(D$3:D$128, C$3:C$128 = C70), 1),"""")"),34)</f>
        <v>34</v>
      </c>
      <c r="H70" s="13">
        <v>9.7916666666666673E-3</v>
      </c>
      <c r="I70" s="16">
        <f t="shared" si="2"/>
        <v>0.23500000000000001</v>
      </c>
      <c r="J70" s="17">
        <f t="shared" si="3"/>
        <v>34.042553191489361</v>
      </c>
      <c r="K70" s="18">
        <f t="shared" si="25"/>
        <v>99</v>
      </c>
      <c r="L70" s="18">
        <f ca="1">IFERROR(__xludf.DUMMYFUNCTION("IF( H70,RANK(H70, FILTER(H$3:H$128, C$3:C$128 = C70), 1),"""")"),47)</f>
        <v>47</v>
      </c>
      <c r="M70" s="13">
        <v>5.3935185185185188E-3</v>
      </c>
      <c r="N70" s="19">
        <f t="shared" si="5"/>
        <v>2.6967592592592594E-3</v>
      </c>
      <c r="O70" s="18">
        <f t="shared" si="26"/>
        <v>24</v>
      </c>
      <c r="P70" s="18">
        <f ca="1">IFERROR(__xludf.DUMMYFUNCTION("IF( M70,RANK(M70, FILTER(M$3:M$128, C$3:C$128 = C70), 1),"""")"),14)</f>
        <v>14</v>
      </c>
      <c r="Q70" s="19">
        <f t="shared" si="7"/>
        <v>1.9155092592592595E-2</v>
      </c>
      <c r="R70" s="20">
        <f t="shared" si="8"/>
        <v>1.9155092592592595E-2</v>
      </c>
      <c r="S70" s="21">
        <f t="shared" si="27"/>
        <v>68</v>
      </c>
      <c r="T70" s="22">
        <f ca="1">IFERROR(__xludf.DUMMYFUNCTION("IF (S70 ,IF(S70 &gt; 3, RANK(Q70, FILTER(R$3:R$128, C$3:C$128 = C70,S$3:S$128 &gt; 3), 1),""""),"""")"),30)</f>
        <v>30</v>
      </c>
      <c r="U70" s="41" t="str">
        <f t="shared" si="28"/>
        <v>Девятников Дмитрий</v>
      </c>
      <c r="V70" s="43">
        <f t="shared" si="29"/>
        <v>3.9699074074074072E-3</v>
      </c>
      <c r="W70" s="43">
        <f t="shared" si="30"/>
        <v>1.3761574074074075E-2</v>
      </c>
      <c r="X70" s="43">
        <f t="shared" si="31"/>
        <v>1.9155092592592595E-2</v>
      </c>
      <c r="Y70" s="42">
        <f t="shared" si="32"/>
        <v>0</v>
      </c>
      <c r="Z70" s="43">
        <f>Table1[[#Totals],[После плавания]]-V70</f>
        <v>4.7453703703703711E-3</v>
      </c>
      <c r="AA70" s="43">
        <f>Table1[[#Totals],[После вело]]-W70</f>
        <v>6.4814814814814804E-3</v>
      </c>
      <c r="AB70" s="43">
        <f>Table1[[#Totals],[После бега]]-X70</f>
        <v>1.1122685185185183E-2</v>
      </c>
      <c r="AC70" s="40" t="s">
        <v>192</v>
      </c>
      <c r="AD70" s="45">
        <f>TIME(0,40,0)-Table1[[#This Row],[После вело]]</f>
        <v>1.4016203703703701E-2</v>
      </c>
    </row>
    <row r="71" spans="1:30" ht="13" x14ac:dyDescent="0.15">
      <c r="A71" s="10">
        <v>131</v>
      </c>
      <c r="B71" s="11" t="s">
        <v>92</v>
      </c>
      <c r="C71" s="12" t="s">
        <v>23</v>
      </c>
      <c r="D71" s="13">
        <v>2.7314814814814814E-3</v>
      </c>
      <c r="E71" s="14">
        <f t="shared" si="0"/>
        <v>9.1049382716049381E-4</v>
      </c>
      <c r="F71" s="15">
        <f t="shared" si="24"/>
        <v>7</v>
      </c>
      <c r="G71" s="15">
        <f ca="1">IFERROR(__xludf.DUMMYFUNCTION("IF( D71,RANK(D71, FILTER(D$3:D$128, C$3:C$128 = C71), 1),"""")"),5)</f>
        <v>5</v>
      </c>
      <c r="H71" s="13">
        <v>9.2939814814814812E-3</v>
      </c>
      <c r="I71" s="16">
        <f t="shared" si="2"/>
        <v>0.22305555555555556</v>
      </c>
      <c r="J71" s="17">
        <f t="shared" si="3"/>
        <v>35.865504358655045</v>
      </c>
      <c r="K71" s="18">
        <f t="shared" si="25"/>
        <v>72</v>
      </c>
      <c r="L71" s="18">
        <f ca="1">IFERROR(__xludf.DUMMYFUNCTION("IF( H71,RANK(H71, FILTER(H$3:H$128, C$3:C$128 = C71), 1),"""")"),37)</f>
        <v>37</v>
      </c>
      <c r="M71" s="13">
        <v>7.1412037037037034E-3</v>
      </c>
      <c r="N71" s="19">
        <f t="shared" si="5"/>
        <v>3.5706018518518517E-3</v>
      </c>
      <c r="O71" s="18">
        <f t="shared" si="26"/>
        <v>100</v>
      </c>
      <c r="P71" s="18">
        <f ca="1">IFERROR(__xludf.DUMMYFUNCTION("IF( M71,RANK(M71, FILTER(M$3:M$128, C$3:C$128 = C71), 1),"""")"),56)</f>
        <v>56</v>
      </c>
      <c r="Q71" s="19">
        <f t="shared" si="7"/>
        <v>1.9166666666666665E-2</v>
      </c>
      <c r="R71" s="20">
        <f t="shared" si="8"/>
        <v>1.9166666666666665E-2</v>
      </c>
      <c r="S71" s="21">
        <f t="shared" si="27"/>
        <v>69</v>
      </c>
      <c r="T71" s="22">
        <f ca="1">IFERROR(__xludf.DUMMYFUNCTION("IF (S71 ,IF(S71 &gt; 3, RANK(Q71, FILTER(R$3:R$128, C$3:C$128 = C71,S$3:S$128 &gt; 3), 1),""""),"""")"),36)</f>
        <v>36</v>
      </c>
      <c r="U71" s="41" t="str">
        <f t="shared" si="28"/>
        <v>Butrimenko Vladimir</v>
      </c>
      <c r="V71" s="43">
        <f t="shared" si="29"/>
        <v>2.7314814814814814E-3</v>
      </c>
      <c r="W71" s="43">
        <f t="shared" si="30"/>
        <v>1.2025462962962963E-2</v>
      </c>
      <c r="X71" s="43">
        <f t="shared" si="31"/>
        <v>1.9166666666666665E-2</v>
      </c>
      <c r="Y71" s="42">
        <f t="shared" si="32"/>
        <v>0</v>
      </c>
      <c r="Z71" s="43">
        <f>Table1[[#Totals],[После плавания]]-V71</f>
        <v>5.983796296296297E-3</v>
      </c>
      <c r="AA71" s="43">
        <f>Table1[[#Totals],[После вело]]-W71</f>
        <v>8.2175925925925923E-3</v>
      </c>
      <c r="AB71" s="43">
        <f>Table1[[#Totals],[После бега]]-X71</f>
        <v>1.1111111111111113E-2</v>
      </c>
      <c r="AC71" s="40" t="s">
        <v>192</v>
      </c>
      <c r="AD71" s="45">
        <f>TIME(0,40,0)-Table1[[#This Row],[После вело]]</f>
        <v>1.5752314814814813E-2</v>
      </c>
    </row>
    <row r="72" spans="1:30" ht="13" x14ac:dyDescent="0.15">
      <c r="A72" s="10">
        <v>21</v>
      </c>
      <c r="B72" s="11" t="s">
        <v>93</v>
      </c>
      <c r="C72" s="12" t="s">
        <v>26</v>
      </c>
      <c r="D72" s="13">
        <v>3.8194444444444443E-3</v>
      </c>
      <c r="E72" s="14">
        <f t="shared" si="0"/>
        <v>1.273148148148148E-3</v>
      </c>
      <c r="F72" s="15">
        <f t="shared" si="24"/>
        <v>62</v>
      </c>
      <c r="G72" s="15">
        <f ca="1">IFERROR(__xludf.DUMMYFUNCTION("IF( D72,RANK(D72, FILTER(D$3:D$128, C$3:C$128 = C72), 1),"""")"),29)</f>
        <v>29</v>
      </c>
      <c r="H72" s="13">
        <v>8.86574074074074E-3</v>
      </c>
      <c r="I72" s="16">
        <f t="shared" si="2"/>
        <v>0.21277777777777776</v>
      </c>
      <c r="J72" s="17">
        <f t="shared" si="3"/>
        <v>37.59791122715405</v>
      </c>
      <c r="K72" s="18">
        <f t="shared" si="25"/>
        <v>51</v>
      </c>
      <c r="L72" s="18">
        <f ca="1">IFERROR(__xludf.DUMMYFUNCTION("IF( H72,RANK(H72, FILTER(H$3:H$128, C$3:C$128 = C72), 1),"""")"),27)</f>
        <v>27</v>
      </c>
      <c r="M72" s="13">
        <v>6.5624999999999998E-3</v>
      </c>
      <c r="N72" s="19">
        <f t="shared" si="5"/>
        <v>3.2812499999999999E-3</v>
      </c>
      <c r="O72" s="18">
        <f t="shared" si="26"/>
        <v>82</v>
      </c>
      <c r="P72" s="18">
        <f ca="1">IFERROR(__xludf.DUMMYFUNCTION("IF( M72,RANK(M72, FILTER(M$3:M$128, C$3:C$128 = C72), 1),"""")"),38)</f>
        <v>38</v>
      </c>
      <c r="Q72" s="19">
        <f t="shared" si="7"/>
        <v>1.9247685185185184E-2</v>
      </c>
      <c r="R72" s="20">
        <f t="shared" si="8"/>
        <v>1.9247685185185184E-2</v>
      </c>
      <c r="S72" s="21">
        <f t="shared" si="27"/>
        <v>70</v>
      </c>
      <c r="T72" s="22">
        <f ca="1">IFERROR(__xludf.DUMMYFUNCTION("IF (S72 ,IF(S72 &gt; 3, RANK(Q72, FILTER(R$3:R$128, C$3:C$128 = C72,S$3:S$128 &gt; 3), 1),""""),"""")"),31)</f>
        <v>31</v>
      </c>
      <c r="U72" s="41" t="str">
        <f t="shared" si="28"/>
        <v>Зыгмантович Олег</v>
      </c>
      <c r="V72" s="43">
        <f t="shared" si="29"/>
        <v>3.8194444444444443E-3</v>
      </c>
      <c r="W72" s="43">
        <f t="shared" si="30"/>
        <v>1.2685185185185185E-2</v>
      </c>
      <c r="X72" s="43">
        <f t="shared" si="31"/>
        <v>1.9247685185185184E-2</v>
      </c>
      <c r="Y72" s="42">
        <f t="shared" si="32"/>
        <v>0</v>
      </c>
      <c r="Z72" s="43">
        <f>Table1[[#Totals],[После плавания]]-V72</f>
        <v>4.8958333333333336E-3</v>
      </c>
      <c r="AA72" s="43">
        <f>Table1[[#Totals],[После вело]]-W72</f>
        <v>7.557870370370371E-3</v>
      </c>
      <c r="AB72" s="43">
        <f>Table1[[#Totals],[После бега]]-X72</f>
        <v>1.1030092592592595E-2</v>
      </c>
      <c r="AC72" s="40" t="s">
        <v>192</v>
      </c>
      <c r="AD72" s="45">
        <f>TIME(0,40,0)-Table1[[#This Row],[После вело]]</f>
        <v>1.5092592592592591E-2</v>
      </c>
    </row>
    <row r="73" spans="1:30" ht="13" x14ac:dyDescent="0.15">
      <c r="A73" s="10">
        <v>50</v>
      </c>
      <c r="B73" s="11" t="s">
        <v>94</v>
      </c>
      <c r="C73" s="12" t="s">
        <v>23</v>
      </c>
      <c r="D73" s="13">
        <v>3.7499999999999999E-3</v>
      </c>
      <c r="E73" s="14">
        <f t="shared" si="0"/>
        <v>1.25E-3</v>
      </c>
      <c r="F73" s="15">
        <f t="shared" si="24"/>
        <v>56</v>
      </c>
      <c r="G73" s="15">
        <f ca="1">IFERROR(__xludf.DUMMYFUNCTION("IF( D73,RANK(D73, FILTER(D$3:D$128, C$3:C$128 = C73), 1),"""")"),29)</f>
        <v>29</v>
      </c>
      <c r="H73" s="13">
        <v>9.3749999999999997E-3</v>
      </c>
      <c r="I73" s="16">
        <f t="shared" si="2"/>
        <v>0.22499999999999998</v>
      </c>
      <c r="J73" s="17">
        <f t="shared" si="3"/>
        <v>35.555555555555557</v>
      </c>
      <c r="K73" s="18">
        <f t="shared" si="25"/>
        <v>81</v>
      </c>
      <c r="L73" s="18">
        <f ca="1">IFERROR(__xludf.DUMMYFUNCTION("IF( H73,RANK(H73, FILTER(H$3:H$128, C$3:C$128 = C73), 1),"""")"),42)</f>
        <v>42</v>
      </c>
      <c r="M73" s="13">
        <v>6.1921296296296299E-3</v>
      </c>
      <c r="N73" s="19">
        <f t="shared" si="5"/>
        <v>3.0960648148148149E-3</v>
      </c>
      <c r="O73" s="18">
        <f t="shared" si="26"/>
        <v>69</v>
      </c>
      <c r="P73" s="18">
        <f ca="1">IFERROR(__xludf.DUMMYFUNCTION("IF( M73,RANK(M73, FILTER(M$3:M$128, C$3:C$128 = C73), 1),"""")"),37)</f>
        <v>37</v>
      </c>
      <c r="Q73" s="19">
        <f t="shared" si="7"/>
        <v>1.9317129629629629E-2</v>
      </c>
      <c r="R73" s="20">
        <f t="shared" si="8"/>
        <v>1.9317129629629629E-2</v>
      </c>
      <c r="S73" s="21">
        <f t="shared" si="27"/>
        <v>71</v>
      </c>
      <c r="T73" s="22">
        <f ca="1">IFERROR(__xludf.DUMMYFUNCTION("IF (S73 ,IF(S73 &gt; 3, RANK(Q73, FILTER(R$3:R$128, C$3:C$128 = C73,S$3:S$128 &gt; 3), 1),""""),"""")"),37)</f>
        <v>37</v>
      </c>
      <c r="U73" s="41" t="str">
        <f t="shared" si="28"/>
        <v>Бухтик Андрей</v>
      </c>
      <c r="V73" s="43">
        <f t="shared" si="29"/>
        <v>3.7499999999999999E-3</v>
      </c>
      <c r="W73" s="43">
        <f t="shared" si="30"/>
        <v>1.3125E-2</v>
      </c>
      <c r="X73" s="43">
        <f t="shared" si="31"/>
        <v>1.9317129629629629E-2</v>
      </c>
      <c r="Y73" s="42">
        <f t="shared" si="32"/>
        <v>0</v>
      </c>
      <c r="Z73" s="43">
        <f>Table1[[#Totals],[После плавания]]-V73</f>
        <v>4.9652777777777785E-3</v>
      </c>
      <c r="AA73" s="43">
        <f>Table1[[#Totals],[После вело]]-W73</f>
        <v>7.1180555555555563E-3</v>
      </c>
      <c r="AB73" s="43">
        <f>Table1[[#Totals],[После бега]]-X73</f>
        <v>1.096064814814815E-2</v>
      </c>
      <c r="AC73" s="40" t="s">
        <v>192</v>
      </c>
      <c r="AD73" s="45">
        <f>TIME(0,40,0)-Table1[[#This Row],[После вело]]</f>
        <v>1.4652777777777777E-2</v>
      </c>
    </row>
    <row r="74" spans="1:30" ht="13" x14ac:dyDescent="0.15">
      <c r="A74" s="10">
        <v>31</v>
      </c>
      <c r="B74" s="11" t="s">
        <v>95</v>
      </c>
      <c r="C74" s="12" t="s">
        <v>23</v>
      </c>
      <c r="D74" s="13">
        <v>4.1319444444444442E-3</v>
      </c>
      <c r="E74" s="14">
        <f t="shared" si="0"/>
        <v>1.3773148148148147E-3</v>
      </c>
      <c r="F74" s="15">
        <f t="shared" si="24"/>
        <v>89</v>
      </c>
      <c r="G74" s="15">
        <f ca="1">IFERROR(__xludf.DUMMYFUNCTION("IF( D74,RANK(D74, FILTER(D$3:D$128, C$3:C$128 = C74), 1),"""")"),50)</f>
        <v>50</v>
      </c>
      <c r="H74" s="13">
        <v>8.7615740740740744E-3</v>
      </c>
      <c r="I74" s="16">
        <f t="shared" si="2"/>
        <v>0.21027777777777779</v>
      </c>
      <c r="J74" s="17">
        <f t="shared" si="3"/>
        <v>38.044914134742406</v>
      </c>
      <c r="K74" s="18">
        <f t="shared" si="25"/>
        <v>42</v>
      </c>
      <c r="L74" s="18">
        <f ca="1">IFERROR(__xludf.DUMMYFUNCTION("IF( H74,RANK(H74, FILTER(H$3:H$128, C$3:C$128 = C74), 1),"""")"),20)</f>
        <v>20</v>
      </c>
      <c r="M74" s="13">
        <v>6.4814814814814813E-3</v>
      </c>
      <c r="N74" s="19">
        <f t="shared" si="5"/>
        <v>3.2407407407407406E-3</v>
      </c>
      <c r="O74" s="18">
        <f t="shared" si="26"/>
        <v>78</v>
      </c>
      <c r="P74" s="18">
        <f ca="1">IFERROR(__xludf.DUMMYFUNCTION("IF( M74,RANK(M74, FILTER(M$3:M$128, C$3:C$128 = C74), 1),"""")"),42)</f>
        <v>42</v>
      </c>
      <c r="Q74" s="19">
        <f t="shared" si="7"/>
        <v>1.9375E-2</v>
      </c>
      <c r="R74" s="20">
        <f t="shared" si="8"/>
        <v>1.9375E-2</v>
      </c>
      <c r="S74" s="21">
        <f t="shared" si="27"/>
        <v>72</v>
      </c>
      <c r="T74" s="22">
        <f ca="1">IFERROR(__xludf.DUMMYFUNCTION("IF (S74 ,IF(S74 &gt; 3, RANK(Q74, FILTER(R$3:R$128, C$3:C$128 = C74,S$3:S$128 &gt; 3), 1),""""),"""")"),38)</f>
        <v>38</v>
      </c>
      <c r="U74" s="41" t="str">
        <f t="shared" si="28"/>
        <v>Pozniak Ilya</v>
      </c>
      <c r="V74" s="43">
        <f t="shared" si="29"/>
        <v>4.1319444444444442E-3</v>
      </c>
      <c r="W74" s="43">
        <f t="shared" si="30"/>
        <v>1.2893518518518519E-2</v>
      </c>
      <c r="X74" s="43">
        <f t="shared" si="31"/>
        <v>1.9375E-2</v>
      </c>
      <c r="Y74" s="42">
        <f t="shared" si="32"/>
        <v>0</v>
      </c>
      <c r="Z74" s="43">
        <f>Table1[[#Totals],[После плавания]]-V74</f>
        <v>4.5833333333333342E-3</v>
      </c>
      <c r="AA74" s="43">
        <f>Table1[[#Totals],[После вело]]-W74</f>
        <v>7.3495370370370364E-3</v>
      </c>
      <c r="AB74" s="43">
        <f>Table1[[#Totals],[После бега]]-X74</f>
        <v>1.0902777777777779E-2</v>
      </c>
      <c r="AC74" s="40" t="s">
        <v>192</v>
      </c>
      <c r="AD74" s="45">
        <f>TIME(0,40,0)-Table1[[#This Row],[После вело]]</f>
        <v>1.4884259259259257E-2</v>
      </c>
    </row>
    <row r="75" spans="1:30" ht="13" x14ac:dyDescent="0.15">
      <c r="A75" s="10">
        <v>51</v>
      </c>
      <c r="B75" s="11" t="s">
        <v>96</v>
      </c>
      <c r="C75" s="12" t="s">
        <v>26</v>
      </c>
      <c r="D75" s="13">
        <v>3.8888888888888888E-3</v>
      </c>
      <c r="E75" s="14">
        <f t="shared" si="0"/>
        <v>1.2962962962962963E-3</v>
      </c>
      <c r="F75" s="15">
        <f t="shared" si="24"/>
        <v>68</v>
      </c>
      <c r="G75" s="15">
        <f ca="1">IFERROR(__xludf.DUMMYFUNCTION("IF( D75,RANK(D75, FILTER(D$3:D$128, C$3:C$128 = C75), 1),"""")"),31)</f>
        <v>31</v>
      </c>
      <c r="H75" s="13">
        <v>9.3749999999999997E-3</v>
      </c>
      <c r="I75" s="16">
        <f t="shared" si="2"/>
        <v>0.22499999999999998</v>
      </c>
      <c r="J75" s="17">
        <f t="shared" si="3"/>
        <v>35.555555555555557</v>
      </c>
      <c r="K75" s="18">
        <f t="shared" si="25"/>
        <v>81</v>
      </c>
      <c r="L75" s="18">
        <f ca="1">IFERROR(__xludf.DUMMYFUNCTION("IF( H75,RANK(H75, FILTER(H$3:H$128, C$3:C$128 = C75), 1),"""")"),40)</f>
        <v>40</v>
      </c>
      <c r="M75" s="13">
        <v>6.1111111111111114E-3</v>
      </c>
      <c r="N75" s="19">
        <f t="shared" si="5"/>
        <v>3.0555555555555557E-3</v>
      </c>
      <c r="O75" s="18">
        <f t="shared" si="26"/>
        <v>64</v>
      </c>
      <c r="P75" s="18">
        <f ca="1">IFERROR(__xludf.DUMMYFUNCTION("IF( M75,RANK(M75, FILTER(M$3:M$128, C$3:C$128 = C75), 1),"""")"),30)</f>
        <v>30</v>
      </c>
      <c r="Q75" s="19">
        <f t="shared" si="7"/>
        <v>1.9375E-2</v>
      </c>
      <c r="R75" s="20">
        <f t="shared" si="8"/>
        <v>1.9375E-2</v>
      </c>
      <c r="S75" s="21">
        <f t="shared" si="27"/>
        <v>72</v>
      </c>
      <c r="T75" s="22">
        <f ca="1">IFERROR(__xludf.DUMMYFUNCTION("IF (S75 ,IF(S75 &gt; 3, RANK(Q75, FILTER(R$3:R$128, C$3:C$128 = C75,S$3:S$128 &gt; 3), 1),""""),"""")"),32)</f>
        <v>32</v>
      </c>
      <c r="U75" s="41" t="str">
        <f t="shared" si="28"/>
        <v>Жигалов Юрий</v>
      </c>
      <c r="V75" s="43">
        <f t="shared" si="29"/>
        <v>3.8888888888888888E-3</v>
      </c>
      <c r="W75" s="43">
        <f t="shared" si="30"/>
        <v>1.3263888888888888E-2</v>
      </c>
      <c r="X75" s="43">
        <f t="shared" si="31"/>
        <v>1.9375E-2</v>
      </c>
      <c r="Y75" s="42">
        <f t="shared" si="32"/>
        <v>0</v>
      </c>
      <c r="Z75" s="43">
        <f>Table1[[#Totals],[После плавания]]-V75</f>
        <v>4.8263888888888896E-3</v>
      </c>
      <c r="AA75" s="43">
        <f>Table1[[#Totals],[После вело]]-W75</f>
        <v>6.9791666666666682E-3</v>
      </c>
      <c r="AB75" s="43">
        <f>Table1[[#Totals],[После бега]]-X75</f>
        <v>1.0902777777777779E-2</v>
      </c>
      <c r="AC75" s="40" t="s">
        <v>192</v>
      </c>
      <c r="AD75" s="45">
        <f>TIME(0,40,0)-Table1[[#This Row],[После вело]]</f>
        <v>1.4513888888888889E-2</v>
      </c>
    </row>
    <row r="76" spans="1:30" ht="13" x14ac:dyDescent="0.15">
      <c r="A76" s="10">
        <v>29</v>
      </c>
      <c r="B76" s="11" t="s">
        <v>97</v>
      </c>
      <c r="C76" s="12" t="s">
        <v>26</v>
      </c>
      <c r="D76" s="13">
        <v>4.1087962962962962E-3</v>
      </c>
      <c r="E76" s="14">
        <f t="shared" si="0"/>
        <v>1.3695987654320986E-3</v>
      </c>
      <c r="F76" s="15">
        <f t="shared" si="24"/>
        <v>86</v>
      </c>
      <c r="G76" s="15">
        <f ca="1">IFERROR(__xludf.DUMMYFUNCTION("IF( D76,RANK(D76, FILTER(D$3:D$128, C$3:C$128 = C76), 1),"""")"),38)</f>
        <v>38</v>
      </c>
      <c r="H76" s="13">
        <v>9.6527777777777775E-3</v>
      </c>
      <c r="I76" s="16">
        <f t="shared" si="2"/>
        <v>0.23166666666666666</v>
      </c>
      <c r="J76" s="17">
        <f t="shared" si="3"/>
        <v>34.532374100719423</v>
      </c>
      <c r="K76" s="18">
        <f t="shared" si="25"/>
        <v>93</v>
      </c>
      <c r="L76" s="18">
        <f ca="1">IFERROR(__xludf.DUMMYFUNCTION("IF( H76,RANK(H76, FILTER(H$3:H$128, C$3:C$128 = C76), 1),"""")"),44)</f>
        <v>44</v>
      </c>
      <c r="M76" s="13">
        <v>5.6365740740740742E-3</v>
      </c>
      <c r="N76" s="19">
        <f t="shared" si="5"/>
        <v>2.8182870370370371E-3</v>
      </c>
      <c r="O76" s="18">
        <f t="shared" si="26"/>
        <v>41</v>
      </c>
      <c r="P76" s="18">
        <f ca="1">IFERROR(__xludf.DUMMYFUNCTION("IF( M76,RANK(M76, FILTER(M$3:M$128, C$3:C$128 = C76), 1),"""")"),20)</f>
        <v>20</v>
      </c>
      <c r="Q76" s="19">
        <f t="shared" si="7"/>
        <v>1.9398148148148147E-2</v>
      </c>
      <c r="R76" s="20">
        <f t="shared" si="8"/>
        <v>1.9398148148148147E-2</v>
      </c>
      <c r="S76" s="21">
        <f t="shared" si="27"/>
        <v>74</v>
      </c>
      <c r="T76" s="22">
        <f ca="1">IFERROR(__xludf.DUMMYFUNCTION("IF (S76 ,IF(S76 &gt; 3, RANK(Q76, FILTER(R$3:R$128, C$3:C$128 = C76,S$3:S$128 &gt; 3), 1),""""),"""")"),33)</f>
        <v>33</v>
      </c>
      <c r="U76" s="41" t="str">
        <f t="shared" si="28"/>
        <v>Иванов Олег</v>
      </c>
      <c r="V76" s="43">
        <f t="shared" si="29"/>
        <v>4.1087962962962962E-3</v>
      </c>
      <c r="W76" s="43">
        <f t="shared" si="30"/>
        <v>1.3761574074074074E-2</v>
      </c>
      <c r="X76" s="43">
        <f t="shared" si="31"/>
        <v>1.9398148148148147E-2</v>
      </c>
      <c r="Y76" s="42">
        <f t="shared" si="32"/>
        <v>0</v>
      </c>
      <c r="Z76" s="43">
        <f>Table1[[#Totals],[После плавания]]-V76</f>
        <v>4.6064814814814822E-3</v>
      </c>
      <c r="AA76" s="43">
        <f>Table1[[#Totals],[После вело]]-W76</f>
        <v>6.4814814814814822E-3</v>
      </c>
      <c r="AB76" s="43">
        <f>Table1[[#Totals],[После бега]]-X76</f>
        <v>1.0879629629629631E-2</v>
      </c>
      <c r="AC76" s="40" t="s">
        <v>192</v>
      </c>
      <c r="AD76" s="45">
        <f>TIME(0,40,0)-Table1[[#This Row],[После вело]]</f>
        <v>1.4016203703703703E-2</v>
      </c>
    </row>
    <row r="77" spans="1:30" ht="13" x14ac:dyDescent="0.15">
      <c r="A77" s="10">
        <v>7</v>
      </c>
      <c r="B77" s="11" t="s">
        <v>98</v>
      </c>
      <c r="C77" s="12" t="s">
        <v>26</v>
      </c>
      <c r="D77" s="13">
        <v>3.3333333333333335E-3</v>
      </c>
      <c r="E77" s="14">
        <f t="shared" si="0"/>
        <v>1.1111111111111111E-3</v>
      </c>
      <c r="F77" s="15">
        <f t="shared" si="24"/>
        <v>34</v>
      </c>
      <c r="G77" s="15">
        <f ca="1">IFERROR(__xludf.DUMMYFUNCTION("IF( D77,RANK(D77, FILTER(D$3:D$128, C$3:C$128 = C77), 1),"""")"),16)</f>
        <v>16</v>
      </c>
      <c r="H77" s="13">
        <v>9.6643518518518511E-3</v>
      </c>
      <c r="I77" s="16">
        <f t="shared" si="2"/>
        <v>0.23194444444444443</v>
      </c>
      <c r="J77" s="17">
        <f t="shared" si="3"/>
        <v>34.491017964071858</v>
      </c>
      <c r="K77" s="18">
        <f t="shared" si="25"/>
        <v>94</v>
      </c>
      <c r="L77" s="18">
        <f ca="1">IFERROR(__xludf.DUMMYFUNCTION("IF( H77,RANK(H77, FILTER(H$3:H$128, C$3:C$128 = C77), 1),"""")"),45)</f>
        <v>45</v>
      </c>
      <c r="M77" s="13">
        <v>6.5046296296296293E-3</v>
      </c>
      <c r="N77" s="19">
        <f t="shared" si="5"/>
        <v>3.2523148148148147E-3</v>
      </c>
      <c r="O77" s="18">
        <f t="shared" si="26"/>
        <v>79</v>
      </c>
      <c r="P77" s="18">
        <f ca="1">IFERROR(__xludf.DUMMYFUNCTION("IF( M77,RANK(M77, FILTER(M$3:M$128, C$3:C$128 = C77), 1),"""")"),37)</f>
        <v>37</v>
      </c>
      <c r="Q77" s="19">
        <f t="shared" si="7"/>
        <v>1.9502314814814813E-2</v>
      </c>
      <c r="R77" s="20">
        <f t="shared" si="8"/>
        <v>1.9502314814814813E-2</v>
      </c>
      <c r="S77" s="21">
        <f t="shared" si="27"/>
        <v>75</v>
      </c>
      <c r="T77" s="22">
        <f ca="1">IFERROR(__xludf.DUMMYFUNCTION("IF (S77 ,IF(S77 &gt; 3, RANK(Q77, FILTER(R$3:R$128, C$3:C$128 = C77,S$3:S$128 &gt; 3), 1),""""),"""")"),34)</f>
        <v>34</v>
      </c>
      <c r="U77" s="41" t="str">
        <f t="shared" si="28"/>
        <v>Kurata Kenneth</v>
      </c>
      <c r="V77" s="43">
        <f t="shared" si="29"/>
        <v>3.3333333333333335E-3</v>
      </c>
      <c r="W77" s="43">
        <f t="shared" si="30"/>
        <v>1.2997685185185185E-2</v>
      </c>
      <c r="X77" s="43">
        <f t="shared" si="31"/>
        <v>1.9502314814814813E-2</v>
      </c>
      <c r="Y77" s="42">
        <f t="shared" si="32"/>
        <v>0</v>
      </c>
      <c r="Z77" s="43">
        <f>Table1[[#Totals],[После плавания]]-V77</f>
        <v>5.3819444444444444E-3</v>
      </c>
      <c r="AA77" s="43">
        <f>Table1[[#Totals],[После вело]]-W77</f>
        <v>7.2453703703703708E-3</v>
      </c>
      <c r="AB77" s="43">
        <f>Table1[[#Totals],[После бега]]-X77</f>
        <v>1.0775462962962966E-2</v>
      </c>
      <c r="AC77" s="40" t="s">
        <v>192</v>
      </c>
      <c r="AD77" s="45">
        <f>TIME(0,40,0)-Table1[[#This Row],[После вело]]</f>
        <v>1.4780092592592591E-2</v>
      </c>
    </row>
    <row r="78" spans="1:30" ht="13" x14ac:dyDescent="0.15">
      <c r="A78" s="10">
        <v>13</v>
      </c>
      <c r="B78" s="11" t="s">
        <v>99</v>
      </c>
      <c r="C78" s="12" t="s">
        <v>23</v>
      </c>
      <c r="D78" s="13">
        <v>4.363425925925926E-3</v>
      </c>
      <c r="E78" s="14">
        <f t="shared" si="0"/>
        <v>1.4544753086419753E-3</v>
      </c>
      <c r="F78" s="15">
        <f t="shared" si="24"/>
        <v>100</v>
      </c>
      <c r="G78" s="15">
        <f ca="1">IFERROR(__xludf.DUMMYFUNCTION("IF( D78,RANK(D78, FILTER(D$3:D$128, C$3:C$128 = C78), 1),"""")"),55)</f>
        <v>55</v>
      </c>
      <c r="H78" s="13">
        <v>9.2939814814814812E-3</v>
      </c>
      <c r="I78" s="16">
        <f t="shared" si="2"/>
        <v>0.22305555555555556</v>
      </c>
      <c r="J78" s="17">
        <f t="shared" si="3"/>
        <v>35.865504358655045</v>
      </c>
      <c r="K78" s="18">
        <f t="shared" si="25"/>
        <v>72</v>
      </c>
      <c r="L78" s="18">
        <f ca="1">IFERROR(__xludf.DUMMYFUNCTION("IF( H78,RANK(H78, FILTER(H$3:H$128, C$3:C$128 = C78), 1),"""")"),37)</f>
        <v>37</v>
      </c>
      <c r="M78" s="13">
        <v>5.8449074074074072E-3</v>
      </c>
      <c r="N78" s="19">
        <f t="shared" si="5"/>
        <v>2.9224537037037036E-3</v>
      </c>
      <c r="O78" s="18">
        <f t="shared" si="26"/>
        <v>49</v>
      </c>
      <c r="P78" s="18">
        <f ca="1">IFERROR(__xludf.DUMMYFUNCTION("IF( M78,RANK(M78, FILTER(M$3:M$128, C$3:C$128 = C78), 1),"""")"),27)</f>
        <v>27</v>
      </c>
      <c r="Q78" s="19">
        <f t="shared" si="7"/>
        <v>1.9502314814814813E-2</v>
      </c>
      <c r="R78" s="20">
        <f t="shared" si="8"/>
        <v>1.9502314814814813E-2</v>
      </c>
      <c r="S78" s="21">
        <f t="shared" si="27"/>
        <v>75</v>
      </c>
      <c r="T78" s="22">
        <f ca="1">IFERROR(__xludf.DUMMYFUNCTION("IF (S78 ,IF(S78 &gt; 3, RANK(Q78, FILTER(R$3:R$128, C$3:C$128 = C78,S$3:S$128 &gt; 3), 1),""""),"""")"),39)</f>
        <v>39</v>
      </c>
      <c r="U78" s="41" t="str">
        <f t="shared" si="28"/>
        <v>Ивченко Павел</v>
      </c>
      <c r="V78" s="43">
        <f t="shared" si="29"/>
        <v>4.363425925925926E-3</v>
      </c>
      <c r="W78" s="43">
        <f t="shared" si="30"/>
        <v>1.3657407407407406E-2</v>
      </c>
      <c r="X78" s="43">
        <f t="shared" si="31"/>
        <v>1.9502314814814813E-2</v>
      </c>
      <c r="Y78" s="42">
        <f t="shared" si="32"/>
        <v>0</v>
      </c>
      <c r="Z78" s="43">
        <f>Table1[[#Totals],[После плавания]]-V78</f>
        <v>4.3518518518518524E-3</v>
      </c>
      <c r="AA78" s="43">
        <f>Table1[[#Totals],[После вело]]-W78</f>
        <v>6.5856481481481495E-3</v>
      </c>
      <c r="AB78" s="43">
        <f>Table1[[#Totals],[После бега]]-X78</f>
        <v>1.0775462962962966E-2</v>
      </c>
      <c r="AC78" s="40" t="s">
        <v>192</v>
      </c>
      <c r="AD78" s="45">
        <f>TIME(0,40,0)-Table1[[#This Row],[После вело]]</f>
        <v>1.412037037037037E-2</v>
      </c>
    </row>
    <row r="79" spans="1:30" ht="13" x14ac:dyDescent="0.15">
      <c r="A79" s="10">
        <v>28</v>
      </c>
      <c r="B79" s="11" t="s">
        <v>100</v>
      </c>
      <c r="C79" s="12" t="s">
        <v>26</v>
      </c>
      <c r="D79" s="13">
        <v>3.2523148148148147E-3</v>
      </c>
      <c r="E79" s="14">
        <f t="shared" si="0"/>
        <v>1.084104938271605E-3</v>
      </c>
      <c r="F79" s="15">
        <f t="shared" si="24"/>
        <v>29</v>
      </c>
      <c r="G79" s="15">
        <f ca="1">IFERROR(__xludf.DUMMYFUNCTION("IF( D79,RANK(D79, FILTER(D$3:D$128, C$3:C$128 = C79), 1),"""")"),12)</f>
        <v>12</v>
      </c>
      <c r="H79" s="13">
        <v>9.3287037037037036E-3</v>
      </c>
      <c r="I79" s="16">
        <f t="shared" si="2"/>
        <v>0.22388888888888889</v>
      </c>
      <c r="J79" s="17">
        <f t="shared" si="3"/>
        <v>35.732009925558316</v>
      </c>
      <c r="K79" s="18">
        <f t="shared" si="25"/>
        <v>79</v>
      </c>
      <c r="L79" s="18">
        <f ca="1">IFERROR(__xludf.DUMMYFUNCTION("IF( H79,RANK(H79, FILTER(H$3:H$128, C$3:C$128 = C79), 1),"""")"),39)</f>
        <v>39</v>
      </c>
      <c r="M79" s="13">
        <v>7.037037037037037E-3</v>
      </c>
      <c r="N79" s="19">
        <f t="shared" si="5"/>
        <v>3.5185185185185185E-3</v>
      </c>
      <c r="O79" s="18">
        <f t="shared" si="26"/>
        <v>96</v>
      </c>
      <c r="P79" s="18">
        <f ca="1">IFERROR(__xludf.DUMMYFUNCTION("IF( M79,RANK(M79, FILTER(M$3:M$128, C$3:C$128 = C79), 1),"""")"),43)</f>
        <v>43</v>
      </c>
      <c r="Q79" s="19">
        <f t="shared" si="7"/>
        <v>1.9618055555555555E-2</v>
      </c>
      <c r="R79" s="20">
        <f t="shared" si="8"/>
        <v>1.9618055555555555E-2</v>
      </c>
      <c r="S79" s="21">
        <f t="shared" si="27"/>
        <v>77</v>
      </c>
      <c r="T79" s="22">
        <f ca="1">IFERROR(__xludf.DUMMYFUNCTION("IF (S79 ,IF(S79 &gt; 3, RANK(Q79, FILTER(R$3:R$128, C$3:C$128 = C79,S$3:S$128 &gt; 3), 1),""""),"""")"),35)</f>
        <v>35</v>
      </c>
      <c r="U79" s="41" t="str">
        <f t="shared" si="28"/>
        <v>Храмов Виталий</v>
      </c>
      <c r="V79" s="43">
        <f t="shared" si="29"/>
        <v>3.2523148148148147E-3</v>
      </c>
      <c r="W79" s="43">
        <f t="shared" si="30"/>
        <v>1.2581018518518519E-2</v>
      </c>
      <c r="X79" s="43">
        <f t="shared" si="31"/>
        <v>1.9618055555555555E-2</v>
      </c>
      <c r="Y79" s="42">
        <f t="shared" si="32"/>
        <v>0</v>
      </c>
      <c r="Z79" s="43">
        <f>Table1[[#Totals],[После плавания]]-V79</f>
        <v>5.4629629629629637E-3</v>
      </c>
      <c r="AA79" s="43">
        <f>Table1[[#Totals],[После вело]]-W79</f>
        <v>7.6620370370370366E-3</v>
      </c>
      <c r="AB79" s="43">
        <f>Table1[[#Totals],[После бега]]-X79</f>
        <v>1.0659722222222223E-2</v>
      </c>
      <c r="AC79" s="40" t="s">
        <v>192</v>
      </c>
      <c r="AD79" s="45">
        <f>TIME(0,40,0)-Table1[[#This Row],[После вело]]</f>
        <v>1.5196759259259257E-2</v>
      </c>
    </row>
    <row r="80" spans="1:30" ht="13" x14ac:dyDescent="0.15">
      <c r="A80" s="10">
        <v>42</v>
      </c>
      <c r="B80" s="11" t="s">
        <v>101</v>
      </c>
      <c r="C80" s="12" t="s">
        <v>26</v>
      </c>
      <c r="D80" s="13">
        <v>3.8078703703703703E-3</v>
      </c>
      <c r="E80" s="14">
        <f t="shared" si="0"/>
        <v>1.2692901234567901E-3</v>
      </c>
      <c r="F80" s="15">
        <f t="shared" si="24"/>
        <v>60</v>
      </c>
      <c r="G80" s="15">
        <f ca="1">IFERROR(__xludf.DUMMYFUNCTION("IF( D80,RANK(D80, FILTER(D$3:D$128, C$3:C$128 = C80), 1),"""")"),28)</f>
        <v>28</v>
      </c>
      <c r="H80" s="13">
        <v>9.2824074074074076E-3</v>
      </c>
      <c r="I80" s="16">
        <f t="shared" si="2"/>
        <v>0.2227777777777778</v>
      </c>
      <c r="J80" s="17">
        <f t="shared" si="3"/>
        <v>35.910224438902738</v>
      </c>
      <c r="K80" s="18">
        <f t="shared" si="25"/>
        <v>71</v>
      </c>
      <c r="L80" s="18">
        <f ca="1">IFERROR(__xludf.DUMMYFUNCTION("IF( H80,RANK(H80, FILTER(H$3:H$128, C$3:C$128 = C80), 1),"""")"),35)</f>
        <v>35</v>
      </c>
      <c r="M80" s="13">
        <v>6.5624999999999998E-3</v>
      </c>
      <c r="N80" s="19">
        <f t="shared" si="5"/>
        <v>3.2812499999999999E-3</v>
      </c>
      <c r="O80" s="18">
        <f t="shared" si="26"/>
        <v>82</v>
      </c>
      <c r="P80" s="18">
        <f ca="1">IFERROR(__xludf.DUMMYFUNCTION("IF( M80,RANK(M80, FILTER(M$3:M$128, C$3:C$128 = C80), 1),"""")"),38)</f>
        <v>38</v>
      </c>
      <c r="Q80" s="19">
        <f t="shared" si="7"/>
        <v>1.9652777777777776E-2</v>
      </c>
      <c r="R80" s="20">
        <f t="shared" si="8"/>
        <v>1.9652777777777776E-2</v>
      </c>
      <c r="S80" s="21">
        <f t="shared" si="27"/>
        <v>78</v>
      </c>
      <c r="T80" s="22">
        <f ca="1">IFERROR(__xludf.DUMMYFUNCTION("IF (S80 ,IF(S80 &gt; 3, RANK(Q80, FILTER(R$3:R$128, C$3:C$128 = C80,S$3:S$128 &gt; 3), 1),""""),"""")"),36)</f>
        <v>36</v>
      </c>
      <c r="U80" s="41" t="str">
        <f t="shared" si="28"/>
        <v>Гуленин Юрий</v>
      </c>
      <c r="V80" s="43">
        <f t="shared" si="29"/>
        <v>3.8078703703703703E-3</v>
      </c>
      <c r="W80" s="43">
        <f t="shared" si="30"/>
        <v>1.3090277777777777E-2</v>
      </c>
      <c r="X80" s="43">
        <f t="shared" si="31"/>
        <v>1.9652777777777776E-2</v>
      </c>
      <c r="Y80" s="42">
        <f t="shared" si="32"/>
        <v>0</v>
      </c>
      <c r="Z80" s="43">
        <f>Table1[[#Totals],[После плавания]]-V80</f>
        <v>4.9074074074074081E-3</v>
      </c>
      <c r="AA80" s="43">
        <f>Table1[[#Totals],[После вело]]-W80</f>
        <v>7.1527777777777787E-3</v>
      </c>
      <c r="AB80" s="43">
        <f>Table1[[#Totals],[После бега]]-X80</f>
        <v>1.0625000000000002E-2</v>
      </c>
      <c r="AC80" s="40" t="s">
        <v>192</v>
      </c>
      <c r="AD80" s="45">
        <f>TIME(0,40,0)-Table1[[#This Row],[После вело]]</f>
        <v>1.4687499999999999E-2</v>
      </c>
    </row>
    <row r="81" spans="1:30" ht="13" x14ac:dyDescent="0.15">
      <c r="A81" s="10">
        <v>114</v>
      </c>
      <c r="B81" s="11" t="s">
        <v>102</v>
      </c>
      <c r="C81" s="12" t="s">
        <v>23</v>
      </c>
      <c r="D81" s="13">
        <v>2.9513888888888888E-3</v>
      </c>
      <c r="E81" s="14">
        <f t="shared" si="0"/>
        <v>9.837962962962962E-4</v>
      </c>
      <c r="F81" s="15">
        <f t="shared" si="24"/>
        <v>11</v>
      </c>
      <c r="G81" s="15">
        <f ca="1">IFERROR(__xludf.DUMMYFUNCTION("IF( D81,RANK(D81, FILTER(D$3:D$128, C$3:C$128 = C81), 1),"""")"),7)</f>
        <v>7</v>
      </c>
      <c r="H81" s="13">
        <v>9.9884259259259266E-3</v>
      </c>
      <c r="I81" s="16">
        <f t="shared" si="2"/>
        <v>0.23972222222222223</v>
      </c>
      <c r="J81" s="17">
        <f t="shared" si="3"/>
        <v>33.371958285052145</v>
      </c>
      <c r="K81" s="18">
        <f t="shared" si="25"/>
        <v>102</v>
      </c>
      <c r="L81" s="18">
        <f ca="1">IFERROR(__xludf.DUMMYFUNCTION("IF( H81,RANK(H81, FILTER(H$3:H$128, C$3:C$128 = C81), 1),"""")"),55)</f>
        <v>55</v>
      </c>
      <c r="M81" s="13">
        <v>6.7592592592592591E-3</v>
      </c>
      <c r="N81" s="19">
        <f t="shared" si="5"/>
        <v>3.3796296296296296E-3</v>
      </c>
      <c r="O81" s="18">
        <f t="shared" si="26"/>
        <v>89</v>
      </c>
      <c r="P81" s="18">
        <f ca="1">IFERROR(__xludf.DUMMYFUNCTION("IF( M81,RANK(M81, FILTER(M$3:M$128, C$3:C$128 = C81), 1),"""")"),50)</f>
        <v>50</v>
      </c>
      <c r="Q81" s="19">
        <f t="shared" si="7"/>
        <v>1.9699074074074074E-2</v>
      </c>
      <c r="R81" s="20">
        <f t="shared" si="8"/>
        <v>1.9699074074074074E-2</v>
      </c>
      <c r="S81" s="21">
        <f t="shared" si="27"/>
        <v>79</v>
      </c>
      <c r="T81" s="22">
        <f ca="1">IFERROR(__xludf.DUMMYFUNCTION("IF (S81 ,IF(S81 &gt; 3, RANK(Q81, FILTER(R$3:R$128, C$3:C$128 = C81,S$3:S$128 &gt; 3), 1),""""),"""")"),40)</f>
        <v>40</v>
      </c>
      <c r="U81" s="41" t="str">
        <f t="shared" si="28"/>
        <v>Буевич Павел</v>
      </c>
      <c r="V81" s="43">
        <f t="shared" si="29"/>
        <v>2.9513888888888888E-3</v>
      </c>
      <c r="W81" s="43">
        <f t="shared" si="30"/>
        <v>1.2939814814814815E-2</v>
      </c>
      <c r="X81" s="43">
        <f t="shared" si="31"/>
        <v>1.9699074074074074E-2</v>
      </c>
      <c r="Y81" s="42">
        <f t="shared" si="32"/>
        <v>0</v>
      </c>
      <c r="Z81" s="43">
        <f>Table1[[#Totals],[После плавания]]-V81</f>
        <v>5.7638888888888896E-3</v>
      </c>
      <c r="AA81" s="43">
        <f>Table1[[#Totals],[После вело]]-W81</f>
        <v>7.3032407407407404E-3</v>
      </c>
      <c r="AB81" s="43">
        <f>Table1[[#Totals],[После бега]]-X81</f>
        <v>1.0578703703703705E-2</v>
      </c>
      <c r="AC81" s="40" t="s">
        <v>192</v>
      </c>
      <c r="AD81" s="45">
        <f>TIME(0,40,0)-Table1[[#This Row],[После вело]]</f>
        <v>1.4837962962962961E-2</v>
      </c>
    </row>
    <row r="82" spans="1:30" ht="13" x14ac:dyDescent="0.15">
      <c r="A82" s="10">
        <v>5</v>
      </c>
      <c r="B82" s="11" t="s">
        <v>103</v>
      </c>
      <c r="C82" s="12" t="s">
        <v>23</v>
      </c>
      <c r="D82" s="13">
        <v>5.347222222222222E-3</v>
      </c>
      <c r="E82" s="14">
        <f t="shared" si="0"/>
        <v>1.7824074074074072E-3</v>
      </c>
      <c r="F82" s="15">
        <f t="shared" si="24"/>
        <v>112</v>
      </c>
      <c r="G82" s="15">
        <f ca="1">IFERROR(__xludf.DUMMYFUNCTION("IF( D82,RANK(D82, FILTER(D$3:D$128, C$3:C$128 = C82), 1),"""")"),63)</f>
        <v>63</v>
      </c>
      <c r="H82" s="13">
        <v>9.3518518518518525E-3</v>
      </c>
      <c r="I82" s="16">
        <f t="shared" si="2"/>
        <v>0.22444444444444445</v>
      </c>
      <c r="J82" s="17">
        <f t="shared" si="3"/>
        <v>35.643564356435647</v>
      </c>
      <c r="K82" s="18">
        <f t="shared" si="25"/>
        <v>80</v>
      </c>
      <c r="L82" s="18">
        <f ca="1">IFERROR(__xludf.DUMMYFUNCTION("IF( H82,RANK(H82, FILTER(H$3:H$128, C$3:C$128 = C82), 1),"""")"),41)</f>
        <v>41</v>
      </c>
      <c r="M82" s="13">
        <v>5.0115740740740737E-3</v>
      </c>
      <c r="N82" s="19">
        <f t="shared" si="5"/>
        <v>2.5057870370370368E-3</v>
      </c>
      <c r="O82" s="18">
        <f t="shared" si="26"/>
        <v>4</v>
      </c>
      <c r="P82" s="18">
        <f ca="1">IFERROR(__xludf.DUMMYFUNCTION("IF( M82,RANK(M82, FILTER(M$3:M$128, C$3:C$128 = C82), 1),"""")"),3)</f>
        <v>3</v>
      </c>
      <c r="Q82" s="19">
        <f t="shared" si="7"/>
        <v>1.9710648148148147E-2</v>
      </c>
      <c r="R82" s="20">
        <f t="shared" si="8"/>
        <v>1.9710648148148147E-2</v>
      </c>
      <c r="S82" s="21">
        <f t="shared" si="27"/>
        <v>80</v>
      </c>
      <c r="T82" s="22">
        <f ca="1">IFERROR(__xludf.DUMMYFUNCTION("IF (S82 ,IF(S82 &gt; 3, RANK(Q82, FILTER(R$3:R$128, C$3:C$128 = C82,S$3:S$128 &gt; 3), 1),""""),"""")"),41)</f>
        <v>41</v>
      </c>
      <c r="U82" s="41" t="str">
        <f t="shared" si="28"/>
        <v>Выдумчик Александр</v>
      </c>
      <c r="V82" s="43">
        <f t="shared" si="29"/>
        <v>5.347222222222222E-3</v>
      </c>
      <c r="W82" s="43">
        <f t="shared" si="30"/>
        <v>1.4699074074074074E-2</v>
      </c>
      <c r="X82" s="43">
        <f t="shared" si="31"/>
        <v>1.9710648148148147E-2</v>
      </c>
      <c r="Y82" s="42">
        <f t="shared" si="32"/>
        <v>0</v>
      </c>
      <c r="Z82" s="43">
        <f>Table1[[#Totals],[После плавания]]-V82</f>
        <v>3.3680555555555564E-3</v>
      </c>
      <c r="AA82" s="43">
        <f>Table1[[#Totals],[После вело]]-W82</f>
        <v>5.5439814814814813E-3</v>
      </c>
      <c r="AB82" s="43">
        <f>Table1[[#Totals],[После бега]]-X82</f>
        <v>1.0567129629629631E-2</v>
      </c>
      <c r="AC82" s="40" t="s">
        <v>192</v>
      </c>
      <c r="AD82" s="45">
        <f>TIME(0,40,0)-Table1[[#This Row],[После вело]]</f>
        <v>1.3078703703703702E-2</v>
      </c>
    </row>
    <row r="83" spans="1:30" ht="13" x14ac:dyDescent="0.15">
      <c r="A83" s="10">
        <v>43</v>
      </c>
      <c r="B83" s="11" t="s">
        <v>104</v>
      </c>
      <c r="C83" s="12" t="s">
        <v>23</v>
      </c>
      <c r="D83" s="13">
        <v>4.2013888888888891E-3</v>
      </c>
      <c r="E83" s="14">
        <f t="shared" si="0"/>
        <v>1.4004629629629629E-3</v>
      </c>
      <c r="F83" s="15">
        <f t="shared" si="24"/>
        <v>90</v>
      </c>
      <c r="G83" s="15">
        <f ca="1">IFERROR(__xludf.DUMMYFUNCTION("IF( D83,RANK(D83, FILTER(D$3:D$128, C$3:C$128 = C83), 1),"""")"),51)</f>
        <v>51</v>
      </c>
      <c r="H83" s="13">
        <v>9.432870370370371E-3</v>
      </c>
      <c r="I83" s="16">
        <f t="shared" si="2"/>
        <v>0.22638888888888892</v>
      </c>
      <c r="J83" s="17">
        <f t="shared" si="3"/>
        <v>35.337423312883431</v>
      </c>
      <c r="K83" s="18">
        <f t="shared" si="25"/>
        <v>83</v>
      </c>
      <c r="L83" s="18">
        <f ca="1">IFERROR(__xludf.DUMMYFUNCTION("IF( H83,RANK(H83, FILTER(H$3:H$128, C$3:C$128 = C83), 1),"""")"),43)</f>
        <v>43</v>
      </c>
      <c r="M83" s="13">
        <v>6.1342592592592594E-3</v>
      </c>
      <c r="N83" s="19">
        <f t="shared" si="5"/>
        <v>3.0671296296296297E-3</v>
      </c>
      <c r="O83" s="18">
        <f t="shared" si="26"/>
        <v>66</v>
      </c>
      <c r="P83" s="18">
        <f ca="1">IFERROR(__xludf.DUMMYFUNCTION("IF( M83,RANK(M83, FILTER(M$3:M$128, C$3:C$128 = C83), 1),"""")"),36)</f>
        <v>36</v>
      </c>
      <c r="Q83" s="19">
        <f t="shared" si="7"/>
        <v>1.9768518518518519E-2</v>
      </c>
      <c r="R83" s="20">
        <f t="shared" si="8"/>
        <v>1.9768518518518519E-2</v>
      </c>
      <c r="S83" s="21">
        <f t="shared" si="27"/>
        <v>81</v>
      </c>
      <c r="T83" s="22">
        <f ca="1">IFERROR(__xludf.DUMMYFUNCTION("IF (S83 ,IF(S83 &gt; 3, RANK(Q83, FILTER(R$3:R$128, C$3:C$128 = C83,S$3:S$128 &gt; 3), 1),""""),"""")"),42)</f>
        <v>42</v>
      </c>
      <c r="U83" s="41" t="str">
        <f t="shared" si="28"/>
        <v>Коляго Антон</v>
      </c>
      <c r="V83" s="43">
        <f t="shared" si="29"/>
        <v>4.2013888888888891E-3</v>
      </c>
      <c r="W83" s="43">
        <f t="shared" si="30"/>
        <v>1.3634259259259259E-2</v>
      </c>
      <c r="X83" s="43">
        <f t="shared" si="31"/>
        <v>1.9768518518518519E-2</v>
      </c>
      <c r="Y83" s="42">
        <f t="shared" si="32"/>
        <v>0</v>
      </c>
      <c r="Z83" s="43">
        <f>Table1[[#Totals],[После плавания]]-V83</f>
        <v>4.5138888888888893E-3</v>
      </c>
      <c r="AA83" s="43">
        <f>Table1[[#Totals],[После вело]]-W83</f>
        <v>6.6087962962962966E-3</v>
      </c>
      <c r="AB83" s="43">
        <f>Table1[[#Totals],[После бега]]-X83</f>
        <v>1.050925925925926E-2</v>
      </c>
      <c r="AC83" s="40" t="s">
        <v>192</v>
      </c>
      <c r="AD83" s="45">
        <f>TIME(0,40,0)-Table1[[#This Row],[После вело]]</f>
        <v>1.4143518518518517E-2</v>
      </c>
    </row>
    <row r="84" spans="1:30" ht="13" x14ac:dyDescent="0.15">
      <c r="A84" s="10">
        <v>16</v>
      </c>
      <c r="B84" s="11" t="s">
        <v>105</v>
      </c>
      <c r="C84" s="12" t="s">
        <v>23</v>
      </c>
      <c r="D84" s="13">
        <v>3.9120370370370368E-3</v>
      </c>
      <c r="E84" s="14">
        <f t="shared" si="0"/>
        <v>1.3040123456790123E-3</v>
      </c>
      <c r="F84" s="15">
        <f t="shared" si="24"/>
        <v>70</v>
      </c>
      <c r="G84" s="15">
        <f ca="1">IFERROR(__xludf.DUMMYFUNCTION("IF( D84,RANK(D84, FILTER(D$3:D$128, C$3:C$128 = C84), 1),"""")"),39)</f>
        <v>39</v>
      </c>
      <c r="H84" s="13">
        <v>9.6874999999999999E-3</v>
      </c>
      <c r="I84" s="16">
        <f t="shared" si="2"/>
        <v>0.23249999999999998</v>
      </c>
      <c r="J84" s="17">
        <f t="shared" si="3"/>
        <v>34.408602150537639</v>
      </c>
      <c r="K84" s="18">
        <f t="shared" si="25"/>
        <v>96</v>
      </c>
      <c r="L84" s="18">
        <f ca="1">IFERROR(__xludf.DUMMYFUNCTION("IF( H84,RANK(H84, FILTER(H$3:H$128, C$3:C$128 = C84), 1),"""")"),51)</f>
        <v>51</v>
      </c>
      <c r="M84" s="13">
        <v>6.2268518518518515E-3</v>
      </c>
      <c r="N84" s="19">
        <f t="shared" si="5"/>
        <v>3.1134259259259257E-3</v>
      </c>
      <c r="O84" s="18">
        <f t="shared" si="26"/>
        <v>71</v>
      </c>
      <c r="P84" s="18">
        <f ca="1">IFERROR(__xludf.DUMMYFUNCTION("IF( M84,RANK(M84, FILTER(M$3:M$128, C$3:C$128 = C84), 1),"""")"),38)</f>
        <v>38</v>
      </c>
      <c r="Q84" s="19">
        <f t="shared" si="7"/>
        <v>1.9826388888888886E-2</v>
      </c>
      <c r="R84" s="20">
        <f t="shared" si="8"/>
        <v>1.9826388888888886E-2</v>
      </c>
      <c r="S84" s="21">
        <f t="shared" si="27"/>
        <v>82</v>
      </c>
      <c r="T84" s="22">
        <f ca="1">IFERROR(__xludf.DUMMYFUNCTION("IF (S84 ,IF(S84 &gt; 3, RANK(Q84, FILTER(R$3:R$128, C$3:C$128 = C84,S$3:S$128 &gt; 3), 1),""""),"""")"),43)</f>
        <v>43</v>
      </c>
      <c r="U84" s="41" t="str">
        <f t="shared" si="28"/>
        <v>Чикун Андрей</v>
      </c>
      <c r="V84" s="43">
        <f t="shared" si="29"/>
        <v>3.9120370370370368E-3</v>
      </c>
      <c r="W84" s="43">
        <f t="shared" si="30"/>
        <v>1.3599537037037037E-2</v>
      </c>
      <c r="X84" s="43">
        <f t="shared" si="31"/>
        <v>1.9826388888888886E-2</v>
      </c>
      <c r="Y84" s="42">
        <f t="shared" si="32"/>
        <v>0</v>
      </c>
      <c r="Z84" s="43">
        <f>Table1[[#Totals],[После плавания]]-V84</f>
        <v>4.8032407407407416E-3</v>
      </c>
      <c r="AA84" s="43">
        <f>Table1[[#Totals],[После вело]]-W84</f>
        <v>6.6435185185185191E-3</v>
      </c>
      <c r="AB84" s="43">
        <f>Table1[[#Totals],[После бега]]-X84</f>
        <v>1.0451388888888892E-2</v>
      </c>
      <c r="AC84" s="40" t="s">
        <v>192</v>
      </c>
      <c r="AD84" s="45">
        <f>TIME(0,40,0)-Table1[[#This Row],[После вело]]</f>
        <v>1.417824074074074E-2</v>
      </c>
    </row>
    <row r="85" spans="1:30" ht="13" x14ac:dyDescent="0.15">
      <c r="A85" s="10">
        <v>119</v>
      </c>
      <c r="B85" s="11" t="s">
        <v>106</v>
      </c>
      <c r="C85" s="12" t="s">
        <v>26</v>
      </c>
      <c r="D85" s="13">
        <v>4.0972222222222226E-3</v>
      </c>
      <c r="E85" s="14">
        <f t="shared" si="0"/>
        <v>1.3657407407407409E-3</v>
      </c>
      <c r="F85" s="15">
        <f t="shared" si="24"/>
        <v>84</v>
      </c>
      <c r="G85" s="15">
        <f ca="1">IFERROR(__xludf.DUMMYFUNCTION("IF( D85,RANK(D85, FILTER(D$3:D$128, C$3:C$128 = C85), 1),"""")"),37)</f>
        <v>37</v>
      </c>
      <c r="H85" s="13">
        <v>9.3055555555555548E-3</v>
      </c>
      <c r="I85" s="16">
        <f t="shared" si="2"/>
        <v>0.22333333333333333</v>
      </c>
      <c r="J85" s="17">
        <f t="shared" si="3"/>
        <v>35.820895522388064</v>
      </c>
      <c r="K85" s="18">
        <f t="shared" si="25"/>
        <v>74</v>
      </c>
      <c r="L85" s="18">
        <f ca="1">IFERROR(__xludf.DUMMYFUNCTION("IF( H85,RANK(H85, FILTER(H$3:H$128, C$3:C$128 = C85), 1),"""")"),36)</f>
        <v>36</v>
      </c>
      <c r="M85" s="13">
        <v>6.4583333333333333E-3</v>
      </c>
      <c r="N85" s="19">
        <f t="shared" si="5"/>
        <v>3.2291666666666666E-3</v>
      </c>
      <c r="O85" s="18">
        <f t="shared" si="26"/>
        <v>75</v>
      </c>
      <c r="P85" s="18">
        <f ca="1">IFERROR(__xludf.DUMMYFUNCTION("IF( M85,RANK(M85, FILTER(M$3:M$128, C$3:C$128 = C85), 1),"""")"),36)</f>
        <v>36</v>
      </c>
      <c r="Q85" s="19">
        <f t="shared" si="7"/>
        <v>1.9861111111111111E-2</v>
      </c>
      <c r="R85" s="20">
        <f t="shared" si="8"/>
        <v>1.9861111111111111E-2</v>
      </c>
      <c r="S85" s="21">
        <f t="shared" si="27"/>
        <v>83</v>
      </c>
      <c r="T85" s="22">
        <f ca="1">IFERROR(__xludf.DUMMYFUNCTION("IF (S85 ,IF(S85 &gt; 3, RANK(Q85, FILTER(R$3:R$128, C$3:C$128 = C85,S$3:S$128 &gt; 3), 1),""""),"""")"),37)</f>
        <v>37</v>
      </c>
      <c r="U85" s="41" t="str">
        <f t="shared" si="28"/>
        <v>Качаев Олег</v>
      </c>
      <c r="V85" s="43">
        <f t="shared" si="29"/>
        <v>4.0972222222222226E-3</v>
      </c>
      <c r="W85" s="43">
        <f t="shared" si="30"/>
        <v>1.3402777777777777E-2</v>
      </c>
      <c r="X85" s="43">
        <f t="shared" si="31"/>
        <v>1.9861111111111111E-2</v>
      </c>
      <c r="Y85" s="42">
        <f t="shared" si="32"/>
        <v>0</v>
      </c>
      <c r="Z85" s="43">
        <f>Table1[[#Totals],[После плавания]]-V85</f>
        <v>4.6180555555555558E-3</v>
      </c>
      <c r="AA85" s="43">
        <f>Table1[[#Totals],[После вело]]-W85</f>
        <v>6.8402777777777785E-3</v>
      </c>
      <c r="AB85" s="43">
        <f>Table1[[#Totals],[После бега]]-X85</f>
        <v>1.0416666666666668E-2</v>
      </c>
      <c r="AC85" s="40" t="s">
        <v>192</v>
      </c>
      <c r="AD85" s="45">
        <f>TIME(0,40,0)-Table1[[#This Row],[После вело]]</f>
        <v>1.4374999999999999E-2</v>
      </c>
    </row>
    <row r="86" spans="1:30" ht="13" x14ac:dyDescent="0.15">
      <c r="A86" s="10">
        <v>104</v>
      </c>
      <c r="B86" s="11" t="s">
        <v>107</v>
      </c>
      <c r="C86" s="12" t="s">
        <v>23</v>
      </c>
      <c r="D86" s="13">
        <v>4.2824074074074075E-3</v>
      </c>
      <c r="E86" s="14">
        <f t="shared" si="0"/>
        <v>1.4274691358024691E-3</v>
      </c>
      <c r="F86" s="15">
        <f t="shared" si="24"/>
        <v>97</v>
      </c>
      <c r="G86" s="15">
        <f ca="1">IFERROR(__xludf.DUMMYFUNCTION("IF( D86,RANK(D86, FILTER(D$3:D$128, C$3:C$128 = C86), 1),"""")"),52)</f>
        <v>52</v>
      </c>
      <c r="H86" s="13">
        <v>1.0185185185185186E-2</v>
      </c>
      <c r="I86" s="16">
        <f t="shared" si="2"/>
        <v>0.24444444444444446</v>
      </c>
      <c r="J86" s="17">
        <f t="shared" si="3"/>
        <v>32.727272727272727</v>
      </c>
      <c r="K86" s="18">
        <f t="shared" si="25"/>
        <v>108</v>
      </c>
      <c r="L86" s="18">
        <f ca="1">IFERROR(__xludf.DUMMYFUNCTION("IF( H86,RANK(H86, FILTER(H$3:H$128, C$3:C$128 = C86), 1),"""")"),60)</f>
        <v>60</v>
      </c>
      <c r="M86" s="13">
        <v>5.4050925925925924E-3</v>
      </c>
      <c r="N86" s="19">
        <f t="shared" si="5"/>
        <v>2.7025462962962962E-3</v>
      </c>
      <c r="O86" s="18">
        <f t="shared" si="26"/>
        <v>27</v>
      </c>
      <c r="P86" s="18">
        <f ca="1">IFERROR(__xludf.DUMMYFUNCTION("IF( M86,RANK(M86, FILTER(M$3:M$128, C$3:C$128 = C86), 1),"""")"),12)</f>
        <v>12</v>
      </c>
      <c r="Q86" s="19">
        <f t="shared" si="7"/>
        <v>1.9872685185185188E-2</v>
      </c>
      <c r="R86" s="20">
        <f t="shared" si="8"/>
        <v>1.9872685185185188E-2</v>
      </c>
      <c r="S86" s="21">
        <f t="shared" si="27"/>
        <v>84</v>
      </c>
      <c r="T86" s="22">
        <f ca="1">IFERROR(__xludf.DUMMYFUNCTION("IF (S86 ,IF(S86 &gt; 3, RANK(Q86, FILTER(R$3:R$128, C$3:C$128 = C86,S$3:S$128 &gt; 3), 1),""""),"""")"),44)</f>
        <v>44</v>
      </c>
      <c r="U86" s="41" t="str">
        <f t="shared" si="28"/>
        <v>Костюк Алексей</v>
      </c>
      <c r="V86" s="43">
        <f t="shared" si="29"/>
        <v>4.2824074074074075E-3</v>
      </c>
      <c r="W86" s="43">
        <f t="shared" si="30"/>
        <v>1.4467592592592594E-2</v>
      </c>
      <c r="X86" s="43">
        <f t="shared" si="31"/>
        <v>1.9872685185185188E-2</v>
      </c>
      <c r="Y86" s="42">
        <f t="shared" si="32"/>
        <v>0</v>
      </c>
      <c r="Z86" s="43">
        <f>Table1[[#Totals],[После плавания]]-V86</f>
        <v>4.4328703703703709E-3</v>
      </c>
      <c r="AA86" s="43">
        <f>Table1[[#Totals],[После вело]]-W86</f>
        <v>5.7754629629629614E-3</v>
      </c>
      <c r="AB86" s="43">
        <f>Table1[[#Totals],[После бега]]-X86</f>
        <v>1.0405092592592591E-2</v>
      </c>
      <c r="AC86" s="40" t="s">
        <v>192</v>
      </c>
      <c r="AD86" s="45">
        <f>TIME(0,40,0)-Table1[[#This Row],[После вело]]</f>
        <v>1.3310185185185182E-2</v>
      </c>
    </row>
    <row r="87" spans="1:30" ht="13" x14ac:dyDescent="0.15">
      <c r="A87" s="10">
        <v>48</v>
      </c>
      <c r="B87" s="11" t="s">
        <v>108</v>
      </c>
      <c r="C87" s="12" t="s">
        <v>23</v>
      </c>
      <c r="D87" s="13">
        <v>4.340277777777778E-3</v>
      </c>
      <c r="E87" s="14">
        <f t="shared" si="0"/>
        <v>1.4467592592592594E-3</v>
      </c>
      <c r="F87" s="15">
        <f t="shared" si="24"/>
        <v>99</v>
      </c>
      <c r="G87" s="15">
        <f ca="1">IFERROR(__xludf.DUMMYFUNCTION("IF( D87,RANK(D87, FILTER(D$3:D$128, C$3:C$128 = C87), 1),"""")"),54)</f>
        <v>54</v>
      </c>
      <c r="H87" s="13">
        <v>9.9884259259259266E-3</v>
      </c>
      <c r="I87" s="16">
        <f t="shared" si="2"/>
        <v>0.23972222222222223</v>
      </c>
      <c r="J87" s="17">
        <f t="shared" si="3"/>
        <v>33.371958285052145</v>
      </c>
      <c r="K87" s="18">
        <f t="shared" si="25"/>
        <v>102</v>
      </c>
      <c r="L87" s="18">
        <f ca="1">IFERROR(__xludf.DUMMYFUNCTION("IF( H87,RANK(H87, FILTER(H$3:H$128, C$3:C$128 = C87), 1),"""")"),55)</f>
        <v>55</v>
      </c>
      <c r="M87" s="13">
        <v>5.5902777777777773E-3</v>
      </c>
      <c r="N87" s="19">
        <f t="shared" si="5"/>
        <v>2.7951388888888887E-3</v>
      </c>
      <c r="O87" s="18">
        <f t="shared" si="26"/>
        <v>39</v>
      </c>
      <c r="P87" s="18">
        <f ca="1">IFERROR(__xludf.DUMMYFUNCTION("IF( M87,RANK(M87, FILTER(M$3:M$128, C$3:C$128 = C87), 1),"""")"),21)</f>
        <v>21</v>
      </c>
      <c r="Q87" s="19">
        <f t="shared" si="7"/>
        <v>1.9918981481481482E-2</v>
      </c>
      <c r="R87" s="20">
        <f t="shared" si="8"/>
        <v>1.9918981481481482E-2</v>
      </c>
      <c r="S87" s="21">
        <f t="shared" si="27"/>
        <v>85</v>
      </c>
      <c r="T87" s="22">
        <f ca="1">IFERROR(__xludf.DUMMYFUNCTION("IF (S87 ,IF(S87 &gt; 3, RANK(Q87, FILTER(R$3:R$128, C$3:C$128 = C87,S$3:S$128 &gt; 3), 1),""""),"""")"),45)</f>
        <v>45</v>
      </c>
      <c r="U87" s="41" t="str">
        <f t="shared" si="28"/>
        <v>Иван Савицкий</v>
      </c>
      <c r="V87" s="43">
        <f t="shared" si="29"/>
        <v>4.340277777777778E-3</v>
      </c>
      <c r="W87" s="43">
        <f t="shared" si="30"/>
        <v>1.4328703703703705E-2</v>
      </c>
      <c r="X87" s="43">
        <f t="shared" si="31"/>
        <v>1.9918981481481482E-2</v>
      </c>
      <c r="Y87" s="42">
        <f t="shared" si="32"/>
        <v>0</v>
      </c>
      <c r="Z87" s="43">
        <f>Table1[[#Totals],[После плавания]]-V87</f>
        <v>4.3750000000000004E-3</v>
      </c>
      <c r="AA87" s="43">
        <f>Table1[[#Totals],[После вело]]-W87</f>
        <v>5.9143518518518512E-3</v>
      </c>
      <c r="AB87" s="43">
        <f>Table1[[#Totals],[После бега]]-X87</f>
        <v>1.0358796296296297E-2</v>
      </c>
      <c r="AC87" s="40" t="s">
        <v>192</v>
      </c>
      <c r="AD87" s="45">
        <f>TIME(0,40,0)-Table1[[#This Row],[После вело]]</f>
        <v>1.3449074074074072E-2</v>
      </c>
    </row>
    <row r="88" spans="1:30" ht="13" x14ac:dyDescent="0.15">
      <c r="A88" s="10">
        <v>10</v>
      </c>
      <c r="B88" s="11" t="s">
        <v>109</v>
      </c>
      <c r="C88" s="12" t="s">
        <v>23</v>
      </c>
      <c r="D88" s="13">
        <v>3.8194444444444443E-3</v>
      </c>
      <c r="E88" s="14">
        <f t="shared" si="0"/>
        <v>1.273148148148148E-3</v>
      </c>
      <c r="F88" s="15">
        <f t="shared" si="24"/>
        <v>62</v>
      </c>
      <c r="G88" s="15">
        <f ca="1">IFERROR(__xludf.DUMMYFUNCTION("IF( D88,RANK(D88, FILTER(D$3:D$128, C$3:C$128 = C88), 1),"""")"),34)</f>
        <v>34</v>
      </c>
      <c r="H88" s="13">
        <v>9.6296296296296303E-3</v>
      </c>
      <c r="I88" s="16">
        <f t="shared" si="2"/>
        <v>0.23111111111111113</v>
      </c>
      <c r="J88" s="17">
        <f t="shared" si="3"/>
        <v>34.615384615384613</v>
      </c>
      <c r="K88" s="18">
        <f t="shared" si="25"/>
        <v>92</v>
      </c>
      <c r="L88" s="18">
        <f ca="1">IFERROR(__xludf.DUMMYFUNCTION("IF( H88,RANK(H88, FILTER(H$3:H$128, C$3:C$128 = C88), 1),"""")"),49)</f>
        <v>49</v>
      </c>
      <c r="M88" s="13">
        <v>6.5162037037037037E-3</v>
      </c>
      <c r="N88" s="19">
        <f t="shared" si="5"/>
        <v>3.2581018518518519E-3</v>
      </c>
      <c r="O88" s="18">
        <f t="shared" si="26"/>
        <v>80</v>
      </c>
      <c r="P88" s="18">
        <f ca="1">IFERROR(__xludf.DUMMYFUNCTION("IF( M88,RANK(M88, FILTER(M$3:M$128, C$3:C$128 = C88), 1),"""")"),43)</f>
        <v>43</v>
      </c>
      <c r="Q88" s="19">
        <f t="shared" si="7"/>
        <v>1.996527777777778E-2</v>
      </c>
      <c r="R88" s="20">
        <f t="shared" si="8"/>
        <v>1.996527777777778E-2</v>
      </c>
      <c r="S88" s="21">
        <f t="shared" si="27"/>
        <v>86</v>
      </c>
      <c r="T88" s="22">
        <f ca="1">IFERROR(__xludf.DUMMYFUNCTION("IF (S88 ,IF(S88 &gt; 3, RANK(Q88, FILTER(R$3:R$128, C$3:C$128 = C88,S$3:S$128 &gt; 3), 1),""""),"""")"),46)</f>
        <v>46</v>
      </c>
      <c r="U88" s="41" t="str">
        <f t="shared" si="28"/>
        <v>Наранович Евгений</v>
      </c>
      <c r="V88" s="43">
        <f t="shared" si="29"/>
        <v>3.8194444444444443E-3</v>
      </c>
      <c r="W88" s="43">
        <f t="shared" si="30"/>
        <v>1.3449074074074075E-2</v>
      </c>
      <c r="X88" s="43">
        <f t="shared" si="31"/>
        <v>1.996527777777778E-2</v>
      </c>
      <c r="Y88" s="42">
        <f t="shared" si="32"/>
        <v>0</v>
      </c>
      <c r="Z88" s="43">
        <f>Table1[[#Totals],[После плавания]]-V88</f>
        <v>4.8958333333333336E-3</v>
      </c>
      <c r="AA88" s="43">
        <f>Table1[[#Totals],[После вело]]-W88</f>
        <v>6.7939814814814807E-3</v>
      </c>
      <c r="AB88" s="43">
        <f>Table1[[#Totals],[После бега]]-X88</f>
        <v>1.0312499999999999E-2</v>
      </c>
      <c r="AC88" s="40" t="s">
        <v>192</v>
      </c>
      <c r="AD88" s="45">
        <f>TIME(0,40,0)-Table1[[#This Row],[После вело]]</f>
        <v>1.4328703703703701E-2</v>
      </c>
    </row>
    <row r="89" spans="1:30" ht="13" x14ac:dyDescent="0.15">
      <c r="A89" s="10">
        <v>37</v>
      </c>
      <c r="B89" s="11" t="s">
        <v>110</v>
      </c>
      <c r="C89" s="12" t="s">
        <v>23</v>
      </c>
      <c r="D89" s="13">
        <v>3.9120370370370368E-3</v>
      </c>
      <c r="E89" s="14">
        <f t="shared" si="0"/>
        <v>1.3040123456790123E-3</v>
      </c>
      <c r="F89" s="15">
        <f t="shared" si="24"/>
        <v>70</v>
      </c>
      <c r="G89" s="15">
        <f ca="1">IFERROR(__xludf.DUMMYFUNCTION("IF( D89,RANK(D89, FILTER(D$3:D$128, C$3:C$128 = C89), 1),"""")"),39)</f>
        <v>39</v>
      </c>
      <c r="H89" s="13">
        <v>8.3333333333333332E-3</v>
      </c>
      <c r="I89" s="16">
        <f t="shared" si="2"/>
        <v>0.2</v>
      </c>
      <c r="J89" s="17">
        <f t="shared" si="3"/>
        <v>40</v>
      </c>
      <c r="K89" s="18">
        <f t="shared" si="25"/>
        <v>16</v>
      </c>
      <c r="L89" s="18">
        <f ca="1">IFERROR(__xludf.DUMMYFUNCTION("IF( H89,RANK(H89, FILTER(H$3:H$128, C$3:C$128 = C89), 1),"""")"),8)</f>
        <v>8</v>
      </c>
      <c r="M89" s="13">
        <v>7.8125E-3</v>
      </c>
      <c r="N89" s="19">
        <f t="shared" si="5"/>
        <v>3.90625E-3</v>
      </c>
      <c r="O89" s="18">
        <f t="shared" si="26"/>
        <v>109</v>
      </c>
      <c r="P89" s="18">
        <f ca="1">IFERROR(__xludf.DUMMYFUNCTION("IF( M89,RANK(M89, FILTER(M$3:M$128, C$3:C$128 = C89), 1),"""")"),60)</f>
        <v>60</v>
      </c>
      <c r="Q89" s="19">
        <f t="shared" si="7"/>
        <v>2.0057870370370372E-2</v>
      </c>
      <c r="R89" s="20">
        <f t="shared" si="8"/>
        <v>2.0057870370370372E-2</v>
      </c>
      <c r="S89" s="21">
        <f t="shared" si="27"/>
        <v>87</v>
      </c>
      <c r="T89" s="22">
        <f ca="1">IFERROR(__xludf.DUMMYFUNCTION("IF (S89 ,IF(S89 &gt; 3, RANK(Q89, FILTER(R$3:R$128, C$3:C$128 = C89,S$3:S$128 &gt; 3), 1),""""),"""")"),47)</f>
        <v>47</v>
      </c>
      <c r="U89" s="41" t="str">
        <f t="shared" si="28"/>
        <v>Никонюк Михаил</v>
      </c>
      <c r="V89" s="43">
        <f t="shared" si="29"/>
        <v>3.9120370370370368E-3</v>
      </c>
      <c r="W89" s="43">
        <f t="shared" si="30"/>
        <v>1.224537037037037E-2</v>
      </c>
      <c r="X89" s="43">
        <f t="shared" si="31"/>
        <v>2.0057870370370372E-2</v>
      </c>
      <c r="Y89" s="42">
        <f t="shared" si="32"/>
        <v>0</v>
      </c>
      <c r="Z89" s="43">
        <f>Table1[[#Totals],[После плавания]]-V89</f>
        <v>4.8032407407407416E-3</v>
      </c>
      <c r="AA89" s="43">
        <f>Table1[[#Totals],[После вело]]-W89</f>
        <v>7.9976851851851858E-3</v>
      </c>
      <c r="AB89" s="43">
        <f>Table1[[#Totals],[После бега]]-X89</f>
        <v>1.0219907407407407E-2</v>
      </c>
      <c r="AC89" s="40" t="s">
        <v>192</v>
      </c>
      <c r="AD89" s="45">
        <f>TIME(0,40,0)-Table1[[#This Row],[После вело]]</f>
        <v>1.5532407407407406E-2</v>
      </c>
    </row>
    <row r="90" spans="1:30" ht="13" x14ac:dyDescent="0.15">
      <c r="A90" s="10">
        <v>110</v>
      </c>
      <c r="B90" s="11" t="s">
        <v>111</v>
      </c>
      <c r="C90" s="12" t="s">
        <v>23</v>
      </c>
      <c r="D90" s="13">
        <v>4.5370370370370373E-3</v>
      </c>
      <c r="E90" s="14">
        <f t="shared" si="0"/>
        <v>1.5123456790123457E-3</v>
      </c>
      <c r="F90" s="15">
        <f t="shared" si="24"/>
        <v>105</v>
      </c>
      <c r="G90" s="15">
        <f ca="1">IFERROR(__xludf.DUMMYFUNCTION("IF( D90,RANK(D90, FILTER(D$3:D$128, C$3:C$128 = C90), 1),"""")"),58)</f>
        <v>58</v>
      </c>
      <c r="H90" s="13">
        <v>8.9814814814814809E-3</v>
      </c>
      <c r="I90" s="16">
        <f t="shared" si="2"/>
        <v>0.21555555555555556</v>
      </c>
      <c r="J90" s="17">
        <f t="shared" si="3"/>
        <v>37.113402061855673</v>
      </c>
      <c r="K90" s="18">
        <f t="shared" si="25"/>
        <v>57</v>
      </c>
      <c r="L90" s="18">
        <f ca="1">IFERROR(__xludf.DUMMYFUNCTION("IF( H90,RANK(H90, FILTER(H$3:H$128, C$3:C$128 = C90), 1),"""")"),28)</f>
        <v>28</v>
      </c>
      <c r="M90" s="13">
        <v>6.5509259259259262E-3</v>
      </c>
      <c r="N90" s="19">
        <f t="shared" si="5"/>
        <v>3.2754629629629631E-3</v>
      </c>
      <c r="O90" s="18">
        <f t="shared" si="26"/>
        <v>81</v>
      </c>
      <c r="P90" s="18">
        <f ca="1">IFERROR(__xludf.DUMMYFUNCTION("IF( M90,RANK(M90, FILTER(M$3:M$128, C$3:C$128 = C90), 1),"""")"),44)</f>
        <v>44</v>
      </c>
      <c r="Q90" s="19">
        <f t="shared" si="7"/>
        <v>2.0069444444444445E-2</v>
      </c>
      <c r="R90" s="20">
        <f t="shared" si="8"/>
        <v>2.0069444444444445E-2</v>
      </c>
      <c r="S90" s="21">
        <f t="shared" si="27"/>
        <v>88</v>
      </c>
      <c r="T90" s="22">
        <f ca="1">IFERROR(__xludf.DUMMYFUNCTION("IF (S90 ,IF(S90 &gt; 3, RANK(Q90, FILTER(R$3:R$128, C$3:C$128 = C90,S$3:S$128 &gt; 3), 1),""""),"""")"),48)</f>
        <v>48</v>
      </c>
      <c r="U90" s="41" t="str">
        <f t="shared" si="28"/>
        <v>Тычина Антон</v>
      </c>
      <c r="V90" s="43">
        <f t="shared" si="29"/>
        <v>4.5370370370370373E-3</v>
      </c>
      <c r="W90" s="43">
        <f t="shared" si="30"/>
        <v>1.3518518518518518E-2</v>
      </c>
      <c r="X90" s="43">
        <f t="shared" si="31"/>
        <v>2.0069444444444445E-2</v>
      </c>
      <c r="Y90" s="42">
        <f t="shared" si="32"/>
        <v>0</v>
      </c>
      <c r="Z90" s="43">
        <f>Table1[[#Totals],[После плавания]]-V90</f>
        <v>4.178240740740741E-3</v>
      </c>
      <c r="AA90" s="43">
        <f>Table1[[#Totals],[После вело]]-W90</f>
        <v>6.7245370370370375E-3</v>
      </c>
      <c r="AB90" s="43">
        <f>Table1[[#Totals],[После бега]]-X90</f>
        <v>1.0208333333333333E-2</v>
      </c>
      <c r="AC90" s="40" t="s">
        <v>192</v>
      </c>
      <c r="AD90" s="45">
        <f>TIME(0,40,0)-Table1[[#This Row],[После вело]]</f>
        <v>1.4259259259259258E-2</v>
      </c>
    </row>
    <row r="91" spans="1:30" ht="13" x14ac:dyDescent="0.15">
      <c r="A91" s="10">
        <v>107</v>
      </c>
      <c r="B91" s="11" t="s">
        <v>112</v>
      </c>
      <c r="C91" s="12" t="s">
        <v>26</v>
      </c>
      <c r="D91" s="13">
        <v>4.2361111111111115E-3</v>
      </c>
      <c r="E91" s="14">
        <f t="shared" si="0"/>
        <v>1.4120370370370372E-3</v>
      </c>
      <c r="F91" s="15">
        <f t="shared" si="24"/>
        <v>94</v>
      </c>
      <c r="G91" s="15">
        <f ca="1">IFERROR(__xludf.DUMMYFUNCTION("IF( D91,RANK(D91, FILTER(D$3:D$128, C$3:C$128 = C91), 1),"""")"),43)</f>
        <v>43</v>
      </c>
      <c r="H91" s="13">
        <v>9.0277777777777769E-3</v>
      </c>
      <c r="I91" s="16">
        <f t="shared" si="2"/>
        <v>0.21666666666666665</v>
      </c>
      <c r="J91" s="17">
        <f t="shared" si="3"/>
        <v>36.923076923076927</v>
      </c>
      <c r="K91" s="18">
        <f t="shared" si="25"/>
        <v>61</v>
      </c>
      <c r="L91" s="18">
        <f ca="1">IFERROR(__xludf.DUMMYFUNCTION("IF( H91,RANK(H91, FILTER(H$3:H$128, C$3:C$128 = C91), 1),"""")"),31)</f>
        <v>31</v>
      </c>
      <c r="M91" s="13">
        <v>7.013888888888889E-3</v>
      </c>
      <c r="N91" s="19">
        <f t="shared" si="5"/>
        <v>3.5069444444444445E-3</v>
      </c>
      <c r="O91" s="18">
        <f t="shared" si="26"/>
        <v>95</v>
      </c>
      <c r="P91" s="18">
        <f ca="1">IFERROR(__xludf.DUMMYFUNCTION("IF( M91,RANK(M91, FILTER(M$3:M$128, C$3:C$128 = C91), 1),"""")"),42)</f>
        <v>42</v>
      </c>
      <c r="Q91" s="19">
        <f t="shared" si="7"/>
        <v>2.0277777777777777E-2</v>
      </c>
      <c r="R91" s="20">
        <f t="shared" si="8"/>
        <v>2.0277777777777777E-2</v>
      </c>
      <c r="S91" s="21">
        <f t="shared" si="27"/>
        <v>89</v>
      </c>
      <c r="T91" s="22">
        <f ca="1">IFERROR(__xludf.DUMMYFUNCTION("IF (S91 ,IF(S91 &gt; 3, RANK(Q91, FILTER(R$3:R$128, C$3:C$128 = C91,S$3:S$128 &gt; 3), 1),""""),"""")"),38)</f>
        <v>38</v>
      </c>
      <c r="U91" s="41" t="str">
        <f t="shared" si="28"/>
        <v>Мандрик Алексей</v>
      </c>
      <c r="V91" s="43">
        <f t="shared" si="29"/>
        <v>4.2361111111111115E-3</v>
      </c>
      <c r="W91" s="43">
        <f t="shared" si="30"/>
        <v>1.3263888888888888E-2</v>
      </c>
      <c r="X91" s="43">
        <f t="shared" si="31"/>
        <v>2.0277777777777777E-2</v>
      </c>
      <c r="Y91" s="42">
        <f t="shared" si="32"/>
        <v>0</v>
      </c>
      <c r="Z91" s="43">
        <f>Table1[[#Totals],[После плавания]]-V91</f>
        <v>4.4791666666666669E-3</v>
      </c>
      <c r="AA91" s="43">
        <f>Table1[[#Totals],[После вело]]-W91</f>
        <v>6.9791666666666682E-3</v>
      </c>
      <c r="AB91" s="43">
        <f>Table1[[#Totals],[После бега]]-X91</f>
        <v>1.0000000000000002E-2</v>
      </c>
      <c r="AC91" s="40" t="s">
        <v>192</v>
      </c>
      <c r="AD91" s="45">
        <f>TIME(0,40,0)-Table1[[#This Row],[После вело]]</f>
        <v>1.4513888888888889E-2</v>
      </c>
    </row>
    <row r="92" spans="1:30" ht="13" x14ac:dyDescent="0.15">
      <c r="A92" s="10">
        <v>116</v>
      </c>
      <c r="B92" s="11" t="s">
        <v>113</v>
      </c>
      <c r="C92" s="12" t="s">
        <v>23</v>
      </c>
      <c r="D92" s="13">
        <v>3.8657407407407408E-3</v>
      </c>
      <c r="E92" s="14">
        <f t="shared" si="0"/>
        <v>1.2885802469135802E-3</v>
      </c>
      <c r="F92" s="15">
        <f t="shared" si="24"/>
        <v>65</v>
      </c>
      <c r="G92" s="15">
        <f ca="1">IFERROR(__xludf.DUMMYFUNCTION("IF( D92,RANK(D92, FILTER(D$3:D$128, C$3:C$128 = C92), 1),"""")"),36)</f>
        <v>36</v>
      </c>
      <c r="H92" s="13">
        <v>9.7685185185185184E-3</v>
      </c>
      <c r="I92" s="16">
        <f t="shared" si="2"/>
        <v>0.23444444444444446</v>
      </c>
      <c r="J92" s="17">
        <f t="shared" si="3"/>
        <v>34.123222748815166</v>
      </c>
      <c r="K92" s="18">
        <f t="shared" si="25"/>
        <v>97</v>
      </c>
      <c r="L92" s="18">
        <f ca="1">IFERROR(__xludf.DUMMYFUNCTION("IF( H92,RANK(H92, FILTER(H$3:H$128, C$3:C$128 = C92), 1),"""")"),52)</f>
        <v>52</v>
      </c>
      <c r="M92" s="13">
        <v>6.7476851851851856E-3</v>
      </c>
      <c r="N92" s="19">
        <f t="shared" si="5"/>
        <v>3.3738425925925928E-3</v>
      </c>
      <c r="O92" s="18">
        <f t="shared" si="26"/>
        <v>88</v>
      </c>
      <c r="P92" s="18">
        <f ca="1">IFERROR(__xludf.DUMMYFUNCTION("IF( M92,RANK(M92, FILTER(M$3:M$128, C$3:C$128 = C92), 1),"""")"),49)</f>
        <v>49</v>
      </c>
      <c r="Q92" s="19">
        <f t="shared" si="7"/>
        <v>2.0381944444444446E-2</v>
      </c>
      <c r="R92" s="20">
        <f t="shared" si="8"/>
        <v>2.0381944444444446E-2</v>
      </c>
      <c r="S92" s="21">
        <f t="shared" si="27"/>
        <v>90</v>
      </c>
      <c r="T92" s="22">
        <f ca="1">IFERROR(__xludf.DUMMYFUNCTION("IF (S92 ,IF(S92 &gt; 3, RANK(Q92, FILTER(R$3:R$128, C$3:C$128 = C92,S$3:S$128 &gt; 3), 1),""""),"""")"),49)</f>
        <v>49</v>
      </c>
      <c r="U92" s="41" t="str">
        <f t="shared" si="28"/>
        <v>Babakaev Max</v>
      </c>
      <c r="V92" s="43">
        <f t="shared" si="29"/>
        <v>3.8657407407407408E-3</v>
      </c>
      <c r="W92" s="43">
        <f t="shared" si="30"/>
        <v>1.3634259259259259E-2</v>
      </c>
      <c r="X92" s="43">
        <f t="shared" si="31"/>
        <v>2.0381944444444446E-2</v>
      </c>
      <c r="Y92" s="42">
        <f t="shared" si="32"/>
        <v>0</v>
      </c>
      <c r="Z92" s="43">
        <f>Table1[[#Totals],[После плавания]]-V92</f>
        <v>4.8495370370370376E-3</v>
      </c>
      <c r="AA92" s="43">
        <f>Table1[[#Totals],[После вело]]-W92</f>
        <v>6.6087962962962966E-3</v>
      </c>
      <c r="AB92" s="43">
        <f>Table1[[#Totals],[После бега]]-X92</f>
        <v>9.8958333333333329E-3</v>
      </c>
      <c r="AC92" s="40" t="s">
        <v>192</v>
      </c>
      <c r="AD92" s="45">
        <f>TIME(0,40,0)-Table1[[#This Row],[После вело]]</f>
        <v>1.4143518518518517E-2</v>
      </c>
    </row>
    <row r="93" spans="1:30" ht="13" x14ac:dyDescent="0.15">
      <c r="A93" s="10">
        <v>41</v>
      </c>
      <c r="B93" s="11" t="s">
        <v>114</v>
      </c>
      <c r="C93" s="12" t="s">
        <v>23</v>
      </c>
      <c r="D93" s="13">
        <v>3.6342592592592594E-3</v>
      </c>
      <c r="E93" s="14">
        <f t="shared" si="0"/>
        <v>1.2114197530864199E-3</v>
      </c>
      <c r="F93" s="15">
        <f t="shared" si="24"/>
        <v>50</v>
      </c>
      <c r="G93" s="15">
        <f ca="1">IFERROR(__xludf.DUMMYFUNCTION("IF( D93,RANK(D93, FILTER(D$3:D$128, C$3:C$128 = C93), 1),"""")"),27)</f>
        <v>27</v>
      </c>
      <c r="H93" s="13">
        <v>9.9537037037037042E-3</v>
      </c>
      <c r="I93" s="16">
        <f t="shared" si="2"/>
        <v>0.2388888888888889</v>
      </c>
      <c r="J93" s="17">
        <f t="shared" si="3"/>
        <v>33.488372093023251</v>
      </c>
      <c r="K93" s="18">
        <f t="shared" si="25"/>
        <v>101</v>
      </c>
      <c r="L93" s="18">
        <f ca="1">IFERROR(__xludf.DUMMYFUNCTION("IF( H93,RANK(H93, FILTER(H$3:H$128, C$3:C$128 = C93), 1),"""")"),54)</f>
        <v>54</v>
      </c>
      <c r="M93" s="13">
        <v>6.8055555555555551E-3</v>
      </c>
      <c r="N93" s="19">
        <f t="shared" si="5"/>
        <v>3.4027777777777776E-3</v>
      </c>
      <c r="O93" s="18">
        <f t="shared" si="26"/>
        <v>92</v>
      </c>
      <c r="P93" s="18">
        <f ca="1">IFERROR(__xludf.DUMMYFUNCTION("IF( M93,RANK(M93, FILTER(M$3:M$128, C$3:C$128 = C93), 1),"""")"),53)</f>
        <v>53</v>
      </c>
      <c r="Q93" s="19">
        <f t="shared" si="7"/>
        <v>2.0393518518518519E-2</v>
      </c>
      <c r="R93" s="20">
        <f t="shared" si="8"/>
        <v>2.0393518518518519E-2</v>
      </c>
      <c r="S93" s="21">
        <f t="shared" si="27"/>
        <v>91</v>
      </c>
      <c r="T93" s="22">
        <f ca="1">IFERROR(__xludf.DUMMYFUNCTION("IF (S93 ,IF(S93 &gt; 3, RANK(Q93, FILTER(R$3:R$128, C$3:C$128 = C93,S$3:S$128 &gt; 3), 1),""""),"""")"),50)</f>
        <v>50</v>
      </c>
      <c r="U93" s="41" t="str">
        <f t="shared" si="28"/>
        <v>Жуков Сергей</v>
      </c>
      <c r="V93" s="43">
        <f t="shared" si="29"/>
        <v>3.6342592592592594E-3</v>
      </c>
      <c r="W93" s="43">
        <f t="shared" si="30"/>
        <v>1.3587962962962963E-2</v>
      </c>
      <c r="X93" s="43">
        <f t="shared" si="31"/>
        <v>2.0393518518518519E-2</v>
      </c>
      <c r="Y93" s="42">
        <f t="shared" si="32"/>
        <v>0</v>
      </c>
      <c r="Z93" s="43">
        <f>Table1[[#Totals],[После плавания]]-V93</f>
        <v>5.0810185185185194E-3</v>
      </c>
      <c r="AA93" s="43">
        <f>Table1[[#Totals],[После вело]]-W93</f>
        <v>6.6550925925925927E-3</v>
      </c>
      <c r="AB93" s="43">
        <f>Table1[[#Totals],[После бега]]-X93</f>
        <v>9.8842592592592593E-3</v>
      </c>
      <c r="AC93" s="40" t="s">
        <v>192</v>
      </c>
      <c r="AD93" s="45">
        <f>TIME(0,40,0)-Table1[[#This Row],[После вело]]</f>
        <v>1.4189814814814813E-2</v>
      </c>
    </row>
    <row r="94" spans="1:30" ht="13" x14ac:dyDescent="0.15">
      <c r="A94" s="10">
        <v>133</v>
      </c>
      <c r="B94" s="11" t="s">
        <v>115</v>
      </c>
      <c r="C94" s="12" t="s">
        <v>26</v>
      </c>
      <c r="D94" s="13">
        <v>4.2013888888888891E-3</v>
      </c>
      <c r="E94" s="14">
        <f t="shared" si="0"/>
        <v>1.4004629629629629E-3</v>
      </c>
      <c r="F94" s="15">
        <f t="shared" si="24"/>
        <v>90</v>
      </c>
      <c r="G94" s="15">
        <f ca="1">IFERROR(__xludf.DUMMYFUNCTION("IF( D94,RANK(D94, FILTER(D$3:D$128, C$3:C$128 = C94), 1),"""")"),40)</f>
        <v>40</v>
      </c>
      <c r="H94" s="13">
        <v>8.9351851851851849E-3</v>
      </c>
      <c r="I94" s="16">
        <f t="shared" si="2"/>
        <v>0.21444444444444444</v>
      </c>
      <c r="J94" s="17">
        <f t="shared" si="3"/>
        <v>37.30569948186529</v>
      </c>
      <c r="K94" s="18">
        <f t="shared" si="25"/>
        <v>55</v>
      </c>
      <c r="L94" s="18">
        <f ca="1">IFERROR(__xludf.DUMMYFUNCTION("IF( H94,RANK(H94, FILTER(H$3:H$128, C$3:C$128 = C94), 1),"""")"),29)</f>
        <v>29</v>
      </c>
      <c r="M94" s="13">
        <v>7.2685185185185188E-3</v>
      </c>
      <c r="N94" s="19">
        <f t="shared" si="5"/>
        <v>3.6342592592592594E-3</v>
      </c>
      <c r="O94" s="18">
        <f t="shared" si="26"/>
        <v>102</v>
      </c>
      <c r="P94" s="18">
        <f ca="1">IFERROR(__xludf.DUMMYFUNCTION("IF( M94,RANK(M94, FILTER(M$3:M$128, C$3:C$128 = C94), 1),"""")"),46)</f>
        <v>46</v>
      </c>
      <c r="Q94" s="19">
        <f t="shared" si="7"/>
        <v>2.0405092592592593E-2</v>
      </c>
      <c r="R94" s="20">
        <f t="shared" si="8"/>
        <v>2.0405092592592593E-2</v>
      </c>
      <c r="S94" s="21">
        <f t="shared" si="27"/>
        <v>92</v>
      </c>
      <c r="T94" s="22">
        <f ca="1">IFERROR(__xludf.DUMMYFUNCTION("IF (S94 ,IF(S94 &gt; 3, RANK(Q94, FILTER(R$3:R$128, C$3:C$128 = C94,S$3:S$128 &gt; 3), 1),""""),"""")"),39)</f>
        <v>39</v>
      </c>
      <c r="U94" s="41" t="str">
        <f t="shared" si="28"/>
        <v>Стельмацкий Виталий</v>
      </c>
      <c r="V94" s="43">
        <f t="shared" si="29"/>
        <v>4.2013888888888891E-3</v>
      </c>
      <c r="W94" s="43">
        <f t="shared" si="30"/>
        <v>1.3136574074074075E-2</v>
      </c>
      <c r="X94" s="43">
        <f t="shared" si="31"/>
        <v>2.0405092592592593E-2</v>
      </c>
      <c r="Y94" s="42">
        <f t="shared" si="32"/>
        <v>0</v>
      </c>
      <c r="Z94" s="43">
        <f>Table1[[#Totals],[После плавания]]-V94</f>
        <v>4.5138888888888893E-3</v>
      </c>
      <c r="AA94" s="43">
        <f>Table1[[#Totals],[После вело]]-W94</f>
        <v>7.106481481481481E-3</v>
      </c>
      <c r="AB94" s="43">
        <f>Table1[[#Totals],[После бега]]-X94</f>
        <v>9.8726851851851857E-3</v>
      </c>
      <c r="AC94" s="40" t="s">
        <v>192</v>
      </c>
      <c r="AD94" s="45">
        <f>TIME(0,40,0)-Table1[[#This Row],[После вело]]</f>
        <v>1.4641203703703701E-2</v>
      </c>
    </row>
    <row r="95" spans="1:30" ht="13" x14ac:dyDescent="0.15">
      <c r="A95" s="10">
        <v>128</v>
      </c>
      <c r="B95" s="11" t="s">
        <v>116</v>
      </c>
      <c r="C95" s="12" t="s">
        <v>26</v>
      </c>
      <c r="D95" s="13">
        <v>4.8032407407407407E-3</v>
      </c>
      <c r="E95" s="14">
        <f t="shared" si="0"/>
        <v>1.6010802469135802E-3</v>
      </c>
      <c r="F95" s="15">
        <f t="shared" si="24"/>
        <v>108</v>
      </c>
      <c r="G95" s="15">
        <f ca="1">IFERROR(__xludf.DUMMYFUNCTION("IF( D95,RANK(D95, FILTER(D$3:D$128, C$3:C$128 = C95), 1),"""")"),49)</f>
        <v>49</v>
      </c>
      <c r="H95" s="13">
        <v>9.4907407407407406E-3</v>
      </c>
      <c r="I95" s="16">
        <f t="shared" si="2"/>
        <v>0.22777777777777777</v>
      </c>
      <c r="J95" s="17">
        <f t="shared" si="3"/>
        <v>35.121951219512198</v>
      </c>
      <c r="K95" s="18">
        <f t="shared" si="25"/>
        <v>85</v>
      </c>
      <c r="L95" s="18">
        <f ca="1">IFERROR(__xludf.DUMMYFUNCTION("IF( H95,RANK(H95, FILTER(H$3:H$128, C$3:C$128 = C95), 1),"""")"),42)</f>
        <v>42</v>
      </c>
      <c r="M95" s="13">
        <v>6.1574074074074074E-3</v>
      </c>
      <c r="N95" s="19">
        <f t="shared" si="5"/>
        <v>3.0787037037037037E-3</v>
      </c>
      <c r="O95" s="18">
        <f t="shared" si="26"/>
        <v>68</v>
      </c>
      <c r="P95" s="18">
        <f ca="1">IFERROR(__xludf.DUMMYFUNCTION("IF( M95,RANK(M95, FILTER(M$3:M$128, C$3:C$128 = C95), 1),"""")"),32)</f>
        <v>32</v>
      </c>
      <c r="Q95" s="19">
        <f t="shared" si="7"/>
        <v>2.0451388888888887E-2</v>
      </c>
      <c r="R95" s="20">
        <f t="shared" si="8"/>
        <v>2.0451388888888887E-2</v>
      </c>
      <c r="S95" s="21">
        <f t="shared" si="27"/>
        <v>93</v>
      </c>
      <c r="T95" s="22">
        <f ca="1">IFERROR(__xludf.DUMMYFUNCTION("IF (S95 ,IF(S95 &gt; 3, RANK(Q95, FILTER(R$3:R$128, C$3:C$128 = C95,S$3:S$128 &gt; 3), 1),""""),"""")"),40)</f>
        <v>40</v>
      </c>
      <c r="U95" s="41" t="str">
        <f t="shared" si="28"/>
        <v>Ковтунов Роман</v>
      </c>
      <c r="V95" s="43">
        <f t="shared" si="29"/>
        <v>4.8032407407407407E-3</v>
      </c>
      <c r="W95" s="43">
        <f t="shared" si="30"/>
        <v>1.429398148148148E-2</v>
      </c>
      <c r="X95" s="43">
        <f t="shared" si="31"/>
        <v>2.0451388888888887E-2</v>
      </c>
      <c r="Y95" s="42">
        <f t="shared" si="32"/>
        <v>0</v>
      </c>
      <c r="Z95" s="43">
        <f>Table1[[#Totals],[После плавания]]-V95</f>
        <v>3.9120370370370377E-3</v>
      </c>
      <c r="AA95" s="43">
        <f>Table1[[#Totals],[После вело]]-W95</f>
        <v>5.9490740740740754E-3</v>
      </c>
      <c r="AB95" s="43">
        <f>Table1[[#Totals],[После бега]]-X95</f>
        <v>9.8263888888888914E-3</v>
      </c>
      <c r="AC95" s="40" t="s">
        <v>192</v>
      </c>
      <c r="AD95" s="45">
        <f>TIME(0,40,0)-Table1[[#This Row],[После вело]]</f>
        <v>1.3483796296296296E-2</v>
      </c>
    </row>
    <row r="96" spans="1:30" ht="13" x14ac:dyDescent="0.15">
      <c r="A96" s="10">
        <v>4</v>
      </c>
      <c r="B96" s="11" t="s">
        <v>117</v>
      </c>
      <c r="C96" s="12" t="s">
        <v>23</v>
      </c>
      <c r="D96" s="13">
        <v>4.0972222222222226E-3</v>
      </c>
      <c r="E96" s="14">
        <f t="shared" si="0"/>
        <v>1.3657407407407409E-3</v>
      </c>
      <c r="F96" s="15">
        <f t="shared" si="24"/>
        <v>84</v>
      </c>
      <c r="G96" s="15">
        <f ca="1">IFERROR(__xludf.DUMMYFUNCTION("IF( D96,RANK(D96, FILTER(D$3:D$128, C$3:C$128 = C96), 1),"""")"),48)</f>
        <v>48</v>
      </c>
      <c r="H96" s="13">
        <v>1.0011574074074074E-2</v>
      </c>
      <c r="I96" s="16">
        <f t="shared" si="2"/>
        <v>0.24027777777777776</v>
      </c>
      <c r="J96" s="17">
        <f t="shared" si="3"/>
        <v>33.294797687861276</v>
      </c>
      <c r="K96" s="18">
        <f t="shared" si="25"/>
        <v>104</v>
      </c>
      <c r="L96" s="18">
        <f ca="1">IFERROR(__xludf.DUMMYFUNCTION("IF( H96,RANK(H96, FILTER(H$3:H$128, C$3:C$128 = C96), 1),"""")"),57)</f>
        <v>57</v>
      </c>
      <c r="M96" s="13">
        <v>6.3888888888888893E-3</v>
      </c>
      <c r="N96" s="19">
        <f t="shared" si="5"/>
        <v>3.1944444444444446E-3</v>
      </c>
      <c r="O96" s="18">
        <f t="shared" si="26"/>
        <v>74</v>
      </c>
      <c r="P96" s="18">
        <f ca="1">IFERROR(__xludf.DUMMYFUNCTION("IF( M96,RANK(M96, FILTER(M$3:M$128, C$3:C$128 = C96), 1),"""")"),39)</f>
        <v>39</v>
      </c>
      <c r="Q96" s="19">
        <f t="shared" si="7"/>
        <v>2.0497685185185185E-2</v>
      </c>
      <c r="R96" s="20">
        <f t="shared" si="8"/>
        <v>2.0497685185185185E-2</v>
      </c>
      <c r="S96" s="21">
        <f t="shared" si="27"/>
        <v>94</v>
      </c>
      <c r="T96" s="22">
        <f ca="1">IFERROR(__xludf.DUMMYFUNCTION("IF (S96 ,IF(S96 &gt; 3, RANK(Q96, FILTER(R$3:R$128, C$3:C$128 = C96,S$3:S$128 &gt; 3), 1),""""),"""")"),51)</f>
        <v>51</v>
      </c>
      <c r="U96" s="41" t="str">
        <f t="shared" si="28"/>
        <v>Симаков Александр</v>
      </c>
      <c r="V96" s="43">
        <f t="shared" si="29"/>
        <v>4.0972222222222226E-3</v>
      </c>
      <c r="W96" s="43">
        <f t="shared" si="30"/>
        <v>1.4108796296296296E-2</v>
      </c>
      <c r="X96" s="43">
        <f t="shared" si="31"/>
        <v>2.0497685185185185E-2</v>
      </c>
      <c r="Y96" s="42">
        <f t="shared" si="32"/>
        <v>0</v>
      </c>
      <c r="Z96" s="43">
        <f>Table1[[#Totals],[После плавания]]-V96</f>
        <v>4.6180555555555558E-3</v>
      </c>
      <c r="AA96" s="43">
        <f>Table1[[#Totals],[После вело]]-W96</f>
        <v>6.1342592592592594E-3</v>
      </c>
      <c r="AB96" s="43">
        <f>Table1[[#Totals],[После бега]]-X96</f>
        <v>9.7800925925925937E-3</v>
      </c>
      <c r="AC96" s="40" t="s">
        <v>192</v>
      </c>
      <c r="AD96" s="45">
        <f>TIME(0,40,0)-Table1[[#This Row],[После вело]]</f>
        <v>1.366898148148148E-2</v>
      </c>
    </row>
    <row r="97" spans="1:30" ht="13" x14ac:dyDescent="0.15">
      <c r="A97" s="10">
        <v>8</v>
      </c>
      <c r="B97" s="11" t="s">
        <v>118</v>
      </c>
      <c r="C97" s="12" t="s">
        <v>23</v>
      </c>
      <c r="D97" s="13">
        <v>3.7847222222222223E-3</v>
      </c>
      <c r="E97" s="14">
        <f t="shared" si="0"/>
        <v>1.261574074074074E-3</v>
      </c>
      <c r="F97" s="15">
        <f t="shared" si="24"/>
        <v>58</v>
      </c>
      <c r="G97" s="15">
        <f ca="1">IFERROR(__xludf.DUMMYFUNCTION("IF( D97,RANK(D97, FILTER(D$3:D$128, C$3:C$128 = C97), 1),"""")"),31)</f>
        <v>31</v>
      </c>
      <c r="H97" s="13">
        <v>9.6759259259259264E-3</v>
      </c>
      <c r="I97" s="16">
        <f t="shared" si="2"/>
        <v>0.23222222222222222</v>
      </c>
      <c r="J97" s="17">
        <f t="shared" si="3"/>
        <v>34.449760765550238</v>
      </c>
      <c r="K97" s="18">
        <f t="shared" si="25"/>
        <v>95</v>
      </c>
      <c r="L97" s="18">
        <f ca="1">IFERROR(__xludf.DUMMYFUNCTION("IF( H97,RANK(H97, FILTER(H$3:H$128, C$3:C$128 = C97), 1),"""")"),50)</f>
        <v>50</v>
      </c>
      <c r="M97" s="13">
        <v>7.0486111111111114E-3</v>
      </c>
      <c r="N97" s="19">
        <f t="shared" si="5"/>
        <v>3.5243055555555557E-3</v>
      </c>
      <c r="O97" s="18">
        <f t="shared" si="26"/>
        <v>97</v>
      </c>
      <c r="P97" s="18">
        <f ca="1">IFERROR(__xludf.DUMMYFUNCTION("IF( M97,RANK(M97, FILTER(M$3:M$128, C$3:C$128 = C97), 1),"""")"),54)</f>
        <v>54</v>
      </c>
      <c r="Q97" s="19">
        <f t="shared" si="7"/>
        <v>2.0509259259259262E-2</v>
      </c>
      <c r="R97" s="20">
        <f t="shared" si="8"/>
        <v>2.0509259259259262E-2</v>
      </c>
      <c r="S97" s="21">
        <f t="shared" si="27"/>
        <v>95</v>
      </c>
      <c r="T97" s="22">
        <f ca="1">IFERROR(__xludf.DUMMYFUNCTION("IF (S97 ,IF(S97 &gt; 3, RANK(Q97, FILTER(R$3:R$128, C$3:C$128 = C97,S$3:S$128 &gt; 3), 1),""""),"""")"),52)</f>
        <v>52</v>
      </c>
      <c r="U97" s="41" t="str">
        <f t="shared" si="28"/>
        <v>Вильчинский Ромуальд</v>
      </c>
      <c r="V97" s="43">
        <f t="shared" si="29"/>
        <v>3.7847222222222223E-3</v>
      </c>
      <c r="W97" s="43">
        <f t="shared" si="30"/>
        <v>1.3460648148148149E-2</v>
      </c>
      <c r="X97" s="43">
        <f t="shared" si="31"/>
        <v>2.0509259259259262E-2</v>
      </c>
      <c r="Y97" s="42">
        <f t="shared" si="32"/>
        <v>0</v>
      </c>
      <c r="Z97" s="43">
        <f>Table1[[#Totals],[После плавания]]-V97</f>
        <v>4.9305555555555561E-3</v>
      </c>
      <c r="AA97" s="43">
        <f>Table1[[#Totals],[После вело]]-W97</f>
        <v>6.7824074074074071E-3</v>
      </c>
      <c r="AB97" s="43">
        <f>Table1[[#Totals],[После бега]]-X97</f>
        <v>9.7685185185185167E-3</v>
      </c>
      <c r="AC97" s="40" t="s">
        <v>192</v>
      </c>
      <c r="AD97" s="45">
        <f>TIME(0,40,0)-Table1[[#This Row],[После вело]]</f>
        <v>1.4317129629629628E-2</v>
      </c>
    </row>
    <row r="98" spans="1:30" ht="13" x14ac:dyDescent="0.15">
      <c r="A98" s="10">
        <v>15</v>
      </c>
      <c r="B98" s="11" t="s">
        <v>119</v>
      </c>
      <c r="C98" s="12" t="s">
        <v>23</v>
      </c>
      <c r="D98" s="13">
        <v>4.0046296296296297E-3</v>
      </c>
      <c r="E98" s="14">
        <f t="shared" si="0"/>
        <v>1.3348765432098766E-3</v>
      </c>
      <c r="F98" s="15">
        <f t="shared" si="24"/>
        <v>78</v>
      </c>
      <c r="G98" s="15">
        <f ca="1">IFERROR(__xludf.DUMMYFUNCTION("IF( D98,RANK(D98, FILTER(D$3:D$128, C$3:C$128 = C98), 1),"""")"),43)</f>
        <v>43</v>
      </c>
      <c r="H98" s="13">
        <v>9.8032407407407408E-3</v>
      </c>
      <c r="I98" s="16">
        <f t="shared" si="2"/>
        <v>0.23527777777777778</v>
      </c>
      <c r="J98" s="17">
        <f t="shared" si="3"/>
        <v>34.002361275088546</v>
      </c>
      <c r="K98" s="18">
        <f t="shared" si="25"/>
        <v>100</v>
      </c>
      <c r="L98" s="18">
        <f ca="1">IFERROR(__xludf.DUMMYFUNCTION("IF( H98,RANK(H98, FILTER(H$3:H$128, C$3:C$128 = C98), 1),"""")"),53)</f>
        <v>53</v>
      </c>
      <c r="M98" s="13">
        <v>6.7129629629629631E-3</v>
      </c>
      <c r="N98" s="19">
        <f t="shared" si="5"/>
        <v>3.3564814814814816E-3</v>
      </c>
      <c r="O98" s="18">
        <f t="shared" si="26"/>
        <v>87</v>
      </c>
      <c r="P98" s="18">
        <f ca="1">IFERROR(__xludf.DUMMYFUNCTION("IF( M98,RANK(M98, FILTER(M$3:M$128, C$3:C$128 = C98), 1),"""")"),48)</f>
        <v>48</v>
      </c>
      <c r="Q98" s="19">
        <f t="shared" si="7"/>
        <v>2.0520833333333332E-2</v>
      </c>
      <c r="R98" s="20">
        <f t="shared" si="8"/>
        <v>2.0520833333333332E-2</v>
      </c>
      <c r="S98" s="21">
        <f t="shared" si="27"/>
        <v>96</v>
      </c>
      <c r="T98" s="22">
        <f ca="1">IFERROR(__xludf.DUMMYFUNCTION("IF (S98 ,IF(S98 &gt; 3, RANK(Q98, FILTER(R$3:R$128, C$3:C$128 = C98,S$3:S$128 &gt; 3), 1),""""),"""")"),53)</f>
        <v>53</v>
      </c>
      <c r="U98" s="41" t="str">
        <f t="shared" si="28"/>
        <v>Матус Игорь</v>
      </c>
      <c r="V98" s="43">
        <f t="shared" si="29"/>
        <v>4.0046296296296297E-3</v>
      </c>
      <c r="W98" s="43">
        <f t="shared" si="30"/>
        <v>1.380787037037037E-2</v>
      </c>
      <c r="X98" s="43">
        <f t="shared" si="31"/>
        <v>2.0520833333333332E-2</v>
      </c>
      <c r="Y98" s="42">
        <f t="shared" si="32"/>
        <v>0</v>
      </c>
      <c r="Z98" s="43">
        <f>Table1[[#Totals],[После плавания]]-V98</f>
        <v>4.7106481481481487E-3</v>
      </c>
      <c r="AA98" s="43">
        <f>Table1[[#Totals],[После вело]]-W98</f>
        <v>6.4351851851851861E-3</v>
      </c>
      <c r="AB98" s="43">
        <f>Table1[[#Totals],[После бега]]-X98</f>
        <v>9.7569444444444466E-3</v>
      </c>
      <c r="AC98" s="40" t="s">
        <v>192</v>
      </c>
      <c r="AD98" s="45">
        <f>TIME(0,40,0)-Table1[[#This Row],[После вело]]</f>
        <v>1.3969907407407407E-2</v>
      </c>
    </row>
    <row r="99" spans="1:30" ht="13" x14ac:dyDescent="0.15">
      <c r="A99" s="10">
        <v>19</v>
      </c>
      <c r="B99" s="11" t="s">
        <v>120</v>
      </c>
      <c r="C99" s="12" t="s">
        <v>26</v>
      </c>
      <c r="D99" s="13">
        <v>4.2361111111111115E-3</v>
      </c>
      <c r="E99" s="14">
        <f t="shared" si="0"/>
        <v>1.4120370370370372E-3</v>
      </c>
      <c r="F99" s="15">
        <f t="shared" ref="F99:F118" si="33">IF(D99, RANK(D99,$D$3:$D$118,1), "")</f>
        <v>94</v>
      </c>
      <c r="G99" s="15">
        <f ca="1">IFERROR(__xludf.DUMMYFUNCTION("IF( D99,RANK(D99, FILTER(D$3:D$128, C$3:C$128 = C99), 1),"""")"),43)</f>
        <v>43</v>
      </c>
      <c r="H99" s="13">
        <v>8.7962962962962968E-3</v>
      </c>
      <c r="I99" s="16">
        <f t="shared" si="2"/>
        <v>0.21111111111111114</v>
      </c>
      <c r="J99" s="17">
        <f t="shared" si="3"/>
        <v>37.89473684210526</v>
      </c>
      <c r="K99" s="18">
        <f t="shared" ref="K99:K118" si="34">IF(H99, RANK(H99,$H$3:$H$118,1), "")</f>
        <v>43</v>
      </c>
      <c r="L99" s="18">
        <f ca="1">IFERROR(__xludf.DUMMYFUNCTION("IF( H99,RANK(H99, FILTER(H$3:H$128, C$3:C$128 = C99), 1),"""")"),23)</f>
        <v>23</v>
      </c>
      <c r="M99" s="13">
        <v>7.5231481481481477E-3</v>
      </c>
      <c r="N99" s="19">
        <f t="shared" si="5"/>
        <v>3.7615740740740739E-3</v>
      </c>
      <c r="O99" s="18">
        <f t="shared" ref="O99:O118" si="35">IF(M99, RANK(M99,$M$3:$M$118,1), "")</f>
        <v>105</v>
      </c>
      <c r="P99" s="18">
        <f ca="1">IFERROR(__xludf.DUMMYFUNCTION("IF( M99,RANK(M99, FILTER(M$3:M$128, C$3:C$128 = C99), 1),"""")"),47)</f>
        <v>47</v>
      </c>
      <c r="Q99" s="19">
        <f t="shared" si="7"/>
        <v>2.0555555555555556E-2</v>
      </c>
      <c r="R99" s="20">
        <f t="shared" si="8"/>
        <v>2.0555555555555556E-2</v>
      </c>
      <c r="S99" s="21">
        <f t="shared" ref="S99:S130" si="36">IF(R99,RANK(R99,R$3:R$118,1),"")</f>
        <v>97</v>
      </c>
      <c r="T99" s="22">
        <f ca="1">IFERROR(__xludf.DUMMYFUNCTION("IF (S99 ,IF(S99 &gt; 3, RANK(Q99, FILTER(R$3:R$128, C$3:C$128 = C99,S$3:S$128 &gt; 3), 1),""""),"""")"),41)</f>
        <v>41</v>
      </c>
      <c r="U99" s="41" t="str">
        <f t="shared" ref="U99:U130" si="37">B99</f>
        <v>Shirobokov Dmitrii</v>
      </c>
      <c r="V99" s="43">
        <f t="shared" ref="V99:V130" si="38">D99</f>
        <v>4.2361111111111115E-3</v>
      </c>
      <c r="W99" s="43">
        <f t="shared" ref="W99:W130" si="39">SUM(V99,H99)</f>
        <v>1.3032407407407409E-2</v>
      </c>
      <c r="X99" s="43">
        <f t="shared" ref="X99:X130" si="40">SUM(W99,M99)</f>
        <v>2.0555555555555556E-2</v>
      </c>
      <c r="Y99" s="42">
        <f t="shared" ref="Y99:Y130" si="41">TIME(0,0,0)</f>
        <v>0</v>
      </c>
      <c r="Z99" s="43">
        <f>Table1[[#Totals],[После плавания]]-V99</f>
        <v>4.4791666666666669E-3</v>
      </c>
      <c r="AA99" s="43">
        <f>Table1[[#Totals],[После вело]]-W99</f>
        <v>7.2106481481481466E-3</v>
      </c>
      <c r="AB99" s="43">
        <f>Table1[[#Totals],[После бега]]-X99</f>
        <v>9.7222222222222224E-3</v>
      </c>
      <c r="AC99" s="40" t="s">
        <v>192</v>
      </c>
      <c r="AD99" s="45">
        <f>TIME(0,40,0)-Table1[[#This Row],[После вело]]</f>
        <v>1.4745370370370367E-2</v>
      </c>
    </row>
    <row r="100" spans="1:30" ht="13" x14ac:dyDescent="0.15">
      <c r="A100" s="10">
        <v>54</v>
      </c>
      <c r="B100" s="11" t="s">
        <v>121</v>
      </c>
      <c r="C100" s="12" t="s">
        <v>26</v>
      </c>
      <c r="D100" s="13">
        <v>4.2245370370370371E-3</v>
      </c>
      <c r="E100" s="14">
        <f t="shared" si="0"/>
        <v>1.408179012345679E-3</v>
      </c>
      <c r="F100" s="15">
        <f t="shared" si="33"/>
        <v>93</v>
      </c>
      <c r="G100" s="15">
        <f ca="1">IFERROR(__xludf.DUMMYFUNCTION("IF( D100,RANK(D100, FILTER(D$3:D$128, C$3:C$128 = C100), 1),"""")"),42)</f>
        <v>42</v>
      </c>
      <c r="H100" s="13">
        <v>1.0023148148148147E-2</v>
      </c>
      <c r="I100" s="16">
        <f t="shared" si="2"/>
        <v>0.24055555555555552</v>
      </c>
      <c r="J100" s="17">
        <f t="shared" si="3"/>
        <v>33.256351039260977</v>
      </c>
      <c r="K100" s="18">
        <f t="shared" si="34"/>
        <v>106</v>
      </c>
      <c r="L100" s="18">
        <f ca="1">IFERROR(__xludf.DUMMYFUNCTION("IF( H100,RANK(H100, FILTER(H$3:H$128, C$3:C$128 = C100), 1),"""")"),48)</f>
        <v>48</v>
      </c>
      <c r="M100" s="13">
        <v>6.3194444444444444E-3</v>
      </c>
      <c r="N100" s="19">
        <f t="shared" si="5"/>
        <v>3.1597222222222222E-3</v>
      </c>
      <c r="O100" s="18">
        <f t="shared" si="35"/>
        <v>73</v>
      </c>
      <c r="P100" s="18">
        <f ca="1">IFERROR(__xludf.DUMMYFUNCTION("IF( M100,RANK(M100, FILTER(M$3:M$128, C$3:C$128 = C100), 1),"""")"),35)</f>
        <v>35</v>
      </c>
      <c r="Q100" s="19">
        <f t="shared" si="7"/>
        <v>2.056712962962963E-2</v>
      </c>
      <c r="R100" s="20">
        <f t="shared" si="8"/>
        <v>2.056712962962963E-2</v>
      </c>
      <c r="S100" s="21">
        <f t="shared" si="36"/>
        <v>98</v>
      </c>
      <c r="T100" s="22">
        <f ca="1">IFERROR(__xludf.DUMMYFUNCTION("IF (S100 ,IF(S100 &gt; 3, RANK(Q100, FILTER(R$3:R$128, C$3:C$128 = C100,S$3:S$128 &gt; 3), 1),""""),"""")"),42)</f>
        <v>42</v>
      </c>
      <c r="U100" s="41" t="str">
        <f t="shared" si="37"/>
        <v>Бобко Александр</v>
      </c>
      <c r="V100" s="43">
        <f t="shared" si="38"/>
        <v>4.2245370370370371E-3</v>
      </c>
      <c r="W100" s="43">
        <f t="shared" si="39"/>
        <v>1.4247685185185184E-2</v>
      </c>
      <c r="X100" s="43">
        <f t="shared" si="40"/>
        <v>2.056712962962963E-2</v>
      </c>
      <c r="Y100" s="42">
        <f t="shared" si="41"/>
        <v>0</v>
      </c>
      <c r="Z100" s="43">
        <f>Table1[[#Totals],[После плавания]]-V100</f>
        <v>4.4907407407407413E-3</v>
      </c>
      <c r="AA100" s="43">
        <f>Table1[[#Totals],[После вело]]-W100</f>
        <v>5.9953703703703714E-3</v>
      </c>
      <c r="AB100" s="43">
        <f>Table1[[#Totals],[После бега]]-X100</f>
        <v>9.7106481481481488E-3</v>
      </c>
      <c r="AC100" s="40" t="s">
        <v>192</v>
      </c>
      <c r="AD100" s="45">
        <f>TIME(0,40,0)-Table1[[#This Row],[После вело]]</f>
        <v>1.3530092592592592E-2</v>
      </c>
    </row>
    <row r="101" spans="1:30" ht="13" x14ac:dyDescent="0.15">
      <c r="A101" s="10">
        <v>11</v>
      </c>
      <c r="B101" s="11" t="s">
        <v>122</v>
      </c>
      <c r="C101" s="12" t="s">
        <v>26</v>
      </c>
      <c r="D101" s="13">
        <v>4.2013888888888891E-3</v>
      </c>
      <c r="E101" s="14">
        <f t="shared" si="0"/>
        <v>1.4004629629629629E-3</v>
      </c>
      <c r="F101" s="15">
        <f t="shared" si="33"/>
        <v>90</v>
      </c>
      <c r="G101" s="15">
        <f ca="1">IFERROR(__xludf.DUMMYFUNCTION("IF( D101,RANK(D101, FILTER(D$3:D$128, C$3:C$128 = C101), 1),"""")"),40)</f>
        <v>40</v>
      </c>
      <c r="H101" s="13">
        <v>9.432870370370371E-3</v>
      </c>
      <c r="I101" s="16">
        <f t="shared" si="2"/>
        <v>0.22638888888888892</v>
      </c>
      <c r="J101" s="17">
        <f t="shared" si="3"/>
        <v>35.337423312883431</v>
      </c>
      <c r="K101" s="18">
        <f t="shared" si="34"/>
        <v>83</v>
      </c>
      <c r="L101" s="18">
        <f ca="1">IFERROR(__xludf.DUMMYFUNCTION("IF( H101,RANK(H101, FILTER(H$3:H$128, C$3:C$128 = C101), 1),"""")"),41)</f>
        <v>41</v>
      </c>
      <c r="M101" s="13">
        <v>6.9560185185185185E-3</v>
      </c>
      <c r="N101" s="19">
        <f t="shared" si="5"/>
        <v>3.4780092592592592E-3</v>
      </c>
      <c r="O101" s="18">
        <f t="shared" si="35"/>
        <v>94</v>
      </c>
      <c r="P101" s="18">
        <f ca="1">IFERROR(__xludf.DUMMYFUNCTION("IF( M101,RANK(M101, FILTER(M$3:M$128, C$3:C$128 = C101), 1),"""")"),41)</f>
        <v>41</v>
      </c>
      <c r="Q101" s="19">
        <f t="shared" si="7"/>
        <v>2.0590277777777777E-2</v>
      </c>
      <c r="R101" s="20">
        <f t="shared" si="8"/>
        <v>2.0590277777777777E-2</v>
      </c>
      <c r="S101" s="21">
        <f t="shared" si="36"/>
        <v>99</v>
      </c>
      <c r="T101" s="22">
        <f ca="1">IFERROR(__xludf.DUMMYFUNCTION("IF (S101 ,IF(S101 &gt; 3, RANK(Q101, FILTER(R$3:R$128, C$3:C$128 = C101,S$3:S$128 &gt; 3), 1),""""),"""")"),43)</f>
        <v>43</v>
      </c>
      <c r="U101" s="41" t="str">
        <f t="shared" si="37"/>
        <v>Недосейкин Андрей</v>
      </c>
      <c r="V101" s="43">
        <f t="shared" si="38"/>
        <v>4.2013888888888891E-3</v>
      </c>
      <c r="W101" s="43">
        <f t="shared" si="39"/>
        <v>1.3634259259259259E-2</v>
      </c>
      <c r="X101" s="43">
        <f t="shared" si="40"/>
        <v>2.0590277777777777E-2</v>
      </c>
      <c r="Y101" s="42">
        <f t="shared" si="41"/>
        <v>0</v>
      </c>
      <c r="Z101" s="43">
        <f>Table1[[#Totals],[После плавания]]-V101</f>
        <v>4.5138888888888893E-3</v>
      </c>
      <c r="AA101" s="43">
        <f>Table1[[#Totals],[После вело]]-W101</f>
        <v>6.6087962962962966E-3</v>
      </c>
      <c r="AB101" s="43">
        <f>Table1[[#Totals],[После бега]]-X101</f>
        <v>9.6875000000000017E-3</v>
      </c>
      <c r="AC101" s="40" t="s">
        <v>192</v>
      </c>
      <c r="AD101" s="45">
        <f>TIME(0,40,0)-Table1[[#This Row],[После вело]]</f>
        <v>1.4143518518518517E-2</v>
      </c>
    </row>
    <row r="102" spans="1:30" ht="13" x14ac:dyDescent="0.15">
      <c r="A102" s="10">
        <v>38</v>
      </c>
      <c r="B102" s="11" t="s">
        <v>123</v>
      </c>
      <c r="C102" s="12" t="s">
        <v>26</v>
      </c>
      <c r="D102" s="13">
        <v>3.3912037037037036E-3</v>
      </c>
      <c r="E102" s="14">
        <f t="shared" si="0"/>
        <v>1.1304012345679012E-3</v>
      </c>
      <c r="F102" s="15">
        <f t="shared" si="33"/>
        <v>36</v>
      </c>
      <c r="G102" s="15">
        <f ca="1">IFERROR(__xludf.DUMMYFUNCTION("IF( D102,RANK(D102, FILTER(D$3:D$128, C$3:C$128 = C102), 1),"""")"),17)</f>
        <v>17</v>
      </c>
      <c r="H102" s="13">
        <v>1.0185185185185186E-2</v>
      </c>
      <c r="I102" s="16">
        <f t="shared" si="2"/>
        <v>0.24444444444444446</v>
      </c>
      <c r="J102" s="17">
        <f t="shared" si="3"/>
        <v>32.727272727272727</v>
      </c>
      <c r="K102" s="18">
        <f t="shared" si="34"/>
        <v>108</v>
      </c>
      <c r="L102" s="18">
        <f ca="1">IFERROR(__xludf.DUMMYFUNCTION("IF( H102,RANK(H102, FILTER(H$3:H$128, C$3:C$128 = C102), 1),"""")"),49)</f>
        <v>49</v>
      </c>
      <c r="M102" s="13">
        <v>7.060185185185185E-3</v>
      </c>
      <c r="N102" s="19">
        <f t="shared" si="5"/>
        <v>3.5300925925925925E-3</v>
      </c>
      <c r="O102" s="18">
        <f t="shared" si="35"/>
        <v>98</v>
      </c>
      <c r="P102" s="18">
        <f ca="1">IFERROR(__xludf.DUMMYFUNCTION("IF( M102,RANK(M102, FILTER(M$3:M$128, C$3:C$128 = C102), 1),"""")"),44)</f>
        <v>44</v>
      </c>
      <c r="Q102" s="19">
        <f t="shared" si="7"/>
        <v>2.0636574074074075E-2</v>
      </c>
      <c r="R102" s="20">
        <f t="shared" si="8"/>
        <v>2.0636574074074075E-2</v>
      </c>
      <c r="S102" s="21">
        <f t="shared" si="36"/>
        <v>100</v>
      </c>
      <c r="T102" s="22">
        <f ca="1">IFERROR(__xludf.DUMMYFUNCTION("IF (S102 ,IF(S102 &gt; 3, RANK(Q102, FILTER(R$3:R$128, C$3:C$128 = C102,S$3:S$128 &gt; 3), 1),""""),"""")"),44)</f>
        <v>44</v>
      </c>
      <c r="U102" s="41" t="str">
        <f t="shared" si="37"/>
        <v>Сухинин Максим</v>
      </c>
      <c r="V102" s="43">
        <f t="shared" si="38"/>
        <v>3.3912037037037036E-3</v>
      </c>
      <c r="W102" s="43">
        <f t="shared" si="39"/>
        <v>1.357638888888889E-2</v>
      </c>
      <c r="X102" s="43">
        <f t="shared" si="40"/>
        <v>2.0636574074074075E-2</v>
      </c>
      <c r="Y102" s="42">
        <f t="shared" si="41"/>
        <v>0</v>
      </c>
      <c r="Z102" s="43">
        <f>Table1[[#Totals],[После плавания]]-V102</f>
        <v>5.3240740740740748E-3</v>
      </c>
      <c r="AA102" s="43">
        <f>Table1[[#Totals],[После вело]]-W102</f>
        <v>6.6666666666666662E-3</v>
      </c>
      <c r="AB102" s="43">
        <f>Table1[[#Totals],[После бега]]-X102</f>
        <v>9.6412037037037039E-3</v>
      </c>
      <c r="AC102" s="40" t="s">
        <v>192</v>
      </c>
      <c r="AD102" s="45">
        <f>TIME(0,40,0)-Table1[[#This Row],[После вело]]</f>
        <v>1.4201388888888887E-2</v>
      </c>
    </row>
    <row r="103" spans="1:30" ht="13" x14ac:dyDescent="0.15">
      <c r="A103" s="10">
        <v>93</v>
      </c>
      <c r="B103" s="11" t="s">
        <v>124</v>
      </c>
      <c r="C103" s="12" t="s">
        <v>23</v>
      </c>
      <c r="D103" s="13">
        <v>4.2824074074074075E-3</v>
      </c>
      <c r="E103" s="14">
        <f t="shared" si="0"/>
        <v>1.4274691358024691E-3</v>
      </c>
      <c r="F103" s="15">
        <f t="shared" si="33"/>
        <v>97</v>
      </c>
      <c r="G103" s="15">
        <f ca="1">IFERROR(__xludf.DUMMYFUNCTION("IF( D103,RANK(D103, FILTER(D$3:D$128, C$3:C$128 = C103), 1),"""")"),52)</f>
        <v>52</v>
      </c>
      <c r="H103" s="13">
        <v>9.1319444444444443E-3</v>
      </c>
      <c r="I103" s="16">
        <f t="shared" si="2"/>
        <v>0.21916666666666668</v>
      </c>
      <c r="J103" s="17">
        <f t="shared" si="3"/>
        <v>36.50190114068441</v>
      </c>
      <c r="K103" s="18">
        <f t="shared" si="34"/>
        <v>65</v>
      </c>
      <c r="L103" s="18">
        <f ca="1">IFERROR(__xludf.DUMMYFUNCTION("IF( H103,RANK(H103, FILTER(H$3:H$128, C$3:C$128 = C103), 1),"""")"),33)</f>
        <v>33</v>
      </c>
      <c r="M103" s="13">
        <v>7.3842592592592597E-3</v>
      </c>
      <c r="N103" s="19">
        <f t="shared" si="5"/>
        <v>3.6921296296296298E-3</v>
      </c>
      <c r="O103" s="18">
        <f t="shared" si="35"/>
        <v>104</v>
      </c>
      <c r="P103" s="18">
        <f ca="1">IFERROR(__xludf.DUMMYFUNCTION("IF( M103,RANK(M103, FILTER(M$3:M$128, C$3:C$128 = C103), 1),"""")"),58)</f>
        <v>58</v>
      </c>
      <c r="Q103" s="19">
        <f t="shared" si="7"/>
        <v>2.0798611111111111E-2</v>
      </c>
      <c r="R103" s="20">
        <f t="shared" si="8"/>
        <v>2.0798611111111111E-2</v>
      </c>
      <c r="S103" s="21">
        <f t="shared" si="36"/>
        <v>101</v>
      </c>
      <c r="T103" s="22">
        <f ca="1">IFERROR(__xludf.DUMMYFUNCTION("IF (S103 ,IF(S103 &gt; 3, RANK(Q103, FILTER(R$3:R$128, C$3:C$128 = C103,S$3:S$128 &gt; 3), 1),""""),"""")"),54)</f>
        <v>54</v>
      </c>
      <c r="U103" s="41" t="str">
        <f t="shared" si="37"/>
        <v>Петрович Виталий</v>
      </c>
      <c r="V103" s="43">
        <f t="shared" si="38"/>
        <v>4.2824074074074075E-3</v>
      </c>
      <c r="W103" s="43">
        <f t="shared" si="39"/>
        <v>1.3414351851851851E-2</v>
      </c>
      <c r="X103" s="43">
        <f t="shared" si="40"/>
        <v>2.0798611111111111E-2</v>
      </c>
      <c r="Y103" s="42">
        <f t="shared" si="41"/>
        <v>0</v>
      </c>
      <c r="Z103" s="43">
        <f>Table1[[#Totals],[После плавания]]-V103</f>
        <v>4.4328703703703709E-3</v>
      </c>
      <c r="AA103" s="43">
        <f>Table1[[#Totals],[После вело]]-W103</f>
        <v>6.8287037037037049E-3</v>
      </c>
      <c r="AB103" s="43">
        <f>Table1[[#Totals],[После бега]]-X103</f>
        <v>9.479166666666667E-3</v>
      </c>
      <c r="AC103" s="40" t="s">
        <v>192</v>
      </c>
      <c r="AD103" s="45">
        <f>TIME(0,40,0)-Table1[[#This Row],[После вело]]</f>
        <v>1.4363425925925925E-2</v>
      </c>
    </row>
    <row r="104" spans="1:30" ht="13" x14ac:dyDescent="0.15">
      <c r="A104" s="10">
        <v>121</v>
      </c>
      <c r="B104" s="11" t="s">
        <v>125</v>
      </c>
      <c r="C104" s="12" t="s">
        <v>23</v>
      </c>
      <c r="D104" s="13">
        <v>4.0046296296296297E-3</v>
      </c>
      <c r="E104" s="14">
        <f t="shared" si="0"/>
        <v>1.3348765432098766E-3</v>
      </c>
      <c r="F104" s="15">
        <f t="shared" si="33"/>
        <v>78</v>
      </c>
      <c r="G104" s="15">
        <f ca="1">IFERROR(__xludf.DUMMYFUNCTION("IF( D104,RANK(D104, FILTER(D$3:D$128, C$3:C$128 = C104), 1),"""")"),43)</f>
        <v>43</v>
      </c>
      <c r="H104" s="13">
        <v>1.0011574074074074E-2</v>
      </c>
      <c r="I104" s="16">
        <f t="shared" si="2"/>
        <v>0.24027777777777776</v>
      </c>
      <c r="J104" s="17">
        <f t="shared" si="3"/>
        <v>33.294797687861276</v>
      </c>
      <c r="K104" s="18">
        <f t="shared" si="34"/>
        <v>104</v>
      </c>
      <c r="L104" s="18">
        <f ca="1">IFERROR(__xludf.DUMMYFUNCTION("IF( H104,RANK(H104, FILTER(H$3:H$128, C$3:C$128 = C104), 1),"""")"),57)</f>
        <v>57</v>
      </c>
      <c r="M104" s="13">
        <v>7.1180555555555554E-3</v>
      </c>
      <c r="N104" s="19">
        <f t="shared" si="5"/>
        <v>3.5590277777777777E-3</v>
      </c>
      <c r="O104" s="18">
        <f t="shared" si="35"/>
        <v>99</v>
      </c>
      <c r="P104" s="18">
        <f ca="1">IFERROR(__xludf.DUMMYFUNCTION("IF( M104,RANK(M104, FILTER(M$3:M$128, C$3:C$128 = C104), 1),"""")"),55)</f>
        <v>55</v>
      </c>
      <c r="Q104" s="19">
        <f t="shared" si="7"/>
        <v>2.1134259259259259E-2</v>
      </c>
      <c r="R104" s="20">
        <f t="shared" si="8"/>
        <v>2.1134259259259259E-2</v>
      </c>
      <c r="S104" s="21">
        <f t="shared" si="36"/>
        <v>102</v>
      </c>
      <c r="T104" s="22">
        <f ca="1">IFERROR(__xludf.DUMMYFUNCTION("IF (S104 ,IF(S104 &gt; 3, RANK(Q104, FILTER(R$3:R$128, C$3:C$128 = C104,S$3:S$128 &gt; 3), 1),""""),"""")"),55)</f>
        <v>55</v>
      </c>
      <c r="U104" s="41" t="str">
        <f t="shared" si="37"/>
        <v>Разорёнов Валерий</v>
      </c>
      <c r="V104" s="43">
        <f t="shared" si="38"/>
        <v>4.0046296296296297E-3</v>
      </c>
      <c r="W104" s="43">
        <f t="shared" si="39"/>
        <v>1.4016203703703704E-2</v>
      </c>
      <c r="X104" s="43">
        <f t="shared" si="40"/>
        <v>2.1134259259259259E-2</v>
      </c>
      <c r="Y104" s="42">
        <f t="shared" si="41"/>
        <v>0</v>
      </c>
      <c r="Z104" s="43">
        <f>Table1[[#Totals],[После плавания]]-V104</f>
        <v>4.7106481481481487E-3</v>
      </c>
      <c r="AA104" s="43">
        <f>Table1[[#Totals],[После вело]]-W104</f>
        <v>6.2268518518518515E-3</v>
      </c>
      <c r="AB104" s="43">
        <f>Table1[[#Totals],[После бега]]-X104</f>
        <v>9.1435185185185196E-3</v>
      </c>
      <c r="AC104" s="40" t="s">
        <v>192</v>
      </c>
      <c r="AD104" s="45">
        <f>TIME(0,40,0)-Table1[[#This Row],[После вело]]</f>
        <v>1.3761574074074072E-2</v>
      </c>
    </row>
    <row r="105" spans="1:30" ht="13" x14ac:dyDescent="0.15">
      <c r="A105" s="10">
        <v>122</v>
      </c>
      <c r="B105" s="11" t="s">
        <v>126</v>
      </c>
      <c r="C105" s="12" t="s">
        <v>26</v>
      </c>
      <c r="D105" s="13">
        <v>3.9930555555555552E-3</v>
      </c>
      <c r="E105" s="14">
        <f t="shared" si="0"/>
        <v>1.3310185185185185E-3</v>
      </c>
      <c r="F105" s="15">
        <f t="shared" si="33"/>
        <v>77</v>
      </c>
      <c r="G105" s="15">
        <f ca="1">IFERROR(__xludf.DUMMYFUNCTION("IF( D105,RANK(D105, FILTER(D$3:D$128, C$3:C$128 = C105), 1),"""")"),35)</f>
        <v>35</v>
      </c>
      <c r="H105" s="13">
        <v>9.7685185185185184E-3</v>
      </c>
      <c r="I105" s="16">
        <f t="shared" si="2"/>
        <v>0.23444444444444446</v>
      </c>
      <c r="J105" s="17">
        <f t="shared" si="3"/>
        <v>34.123222748815166</v>
      </c>
      <c r="K105" s="18">
        <f t="shared" si="34"/>
        <v>97</v>
      </c>
      <c r="L105" s="18">
        <f ca="1">IFERROR(__xludf.DUMMYFUNCTION("IF( H105,RANK(H105, FILTER(H$3:H$128, C$3:C$128 = C105), 1),"""")"),46)</f>
        <v>46</v>
      </c>
      <c r="M105" s="13">
        <v>7.8009259259259256E-3</v>
      </c>
      <c r="N105" s="19">
        <f t="shared" si="5"/>
        <v>3.9004629629629628E-3</v>
      </c>
      <c r="O105" s="18">
        <f t="shared" si="35"/>
        <v>108</v>
      </c>
      <c r="P105" s="18">
        <f ca="1">IFERROR(__xludf.DUMMYFUNCTION("IF( M105,RANK(M105, FILTER(M$3:M$128, C$3:C$128 = C105), 1),"""")"),49)</f>
        <v>49</v>
      </c>
      <c r="Q105" s="19">
        <f t="shared" si="7"/>
        <v>2.1562499999999998E-2</v>
      </c>
      <c r="R105" s="20">
        <f t="shared" si="8"/>
        <v>2.1562499999999998E-2</v>
      </c>
      <c r="S105" s="21">
        <f t="shared" si="36"/>
        <v>103</v>
      </c>
      <c r="T105" s="22">
        <f ca="1">IFERROR(__xludf.DUMMYFUNCTION("IF (S105 ,IF(S105 &gt; 3, RANK(Q105, FILTER(R$3:R$128, C$3:C$128 = C105,S$3:S$128 &gt; 3), 1),""""),"""")"),45)</f>
        <v>45</v>
      </c>
      <c r="U105" s="41" t="str">
        <f t="shared" si="37"/>
        <v>Дмитрий Белянко</v>
      </c>
      <c r="V105" s="43">
        <f t="shared" si="38"/>
        <v>3.9930555555555552E-3</v>
      </c>
      <c r="W105" s="43">
        <f t="shared" si="39"/>
        <v>1.3761574074074074E-2</v>
      </c>
      <c r="X105" s="43">
        <f t="shared" si="40"/>
        <v>2.1562499999999998E-2</v>
      </c>
      <c r="Y105" s="42">
        <f t="shared" si="41"/>
        <v>0</v>
      </c>
      <c r="Z105" s="43">
        <f>Table1[[#Totals],[После плавания]]-V105</f>
        <v>4.7222222222222231E-3</v>
      </c>
      <c r="AA105" s="43">
        <f>Table1[[#Totals],[После вело]]-W105</f>
        <v>6.4814814814814822E-3</v>
      </c>
      <c r="AB105" s="43">
        <f>Table1[[#Totals],[После бега]]-X105</f>
        <v>8.7152777777777801E-3</v>
      </c>
      <c r="AC105" s="40" t="s">
        <v>192</v>
      </c>
      <c r="AD105" s="45">
        <f>TIME(0,40,0)-Table1[[#This Row],[После вело]]</f>
        <v>1.4016203703703703E-2</v>
      </c>
    </row>
    <row r="106" spans="1:30" ht="13" x14ac:dyDescent="0.15">
      <c r="A106" s="10">
        <v>105</v>
      </c>
      <c r="B106" s="11" t="s">
        <v>127</v>
      </c>
      <c r="C106" s="12" t="s">
        <v>23</v>
      </c>
      <c r="D106" s="13">
        <v>5.2546296296296299E-3</v>
      </c>
      <c r="E106" s="14">
        <f t="shared" si="0"/>
        <v>1.7515432098765434E-3</v>
      </c>
      <c r="F106" s="15">
        <f t="shared" si="33"/>
        <v>111</v>
      </c>
      <c r="G106" s="15">
        <f ca="1">IFERROR(__xludf.DUMMYFUNCTION("IF( D106,RANK(D106, FILTER(D$3:D$128, C$3:C$128 = C106), 1),"""")"),62)</f>
        <v>62</v>
      </c>
      <c r="H106" s="13">
        <v>9.6064814814814815E-3</v>
      </c>
      <c r="I106" s="16">
        <f t="shared" si="2"/>
        <v>0.23055555555555557</v>
      </c>
      <c r="J106" s="17">
        <f t="shared" si="3"/>
        <v>34.69879518072289</v>
      </c>
      <c r="K106" s="18">
        <f t="shared" si="34"/>
        <v>90</v>
      </c>
      <c r="L106" s="18">
        <f ca="1">IFERROR(__xludf.DUMMYFUNCTION("IF( H106,RANK(H106, FILTER(H$3:H$128, C$3:C$128 = C106), 1),"""")"),47)</f>
        <v>47</v>
      </c>
      <c r="M106" s="13">
        <v>6.7824074074074071E-3</v>
      </c>
      <c r="N106" s="19">
        <f t="shared" si="5"/>
        <v>3.3912037037037036E-3</v>
      </c>
      <c r="O106" s="18">
        <f t="shared" si="35"/>
        <v>91</v>
      </c>
      <c r="P106" s="18">
        <f ca="1">IFERROR(__xludf.DUMMYFUNCTION("IF( M106,RANK(M106, FILTER(M$3:M$128, C$3:C$128 = C106), 1),"""")"),52)</f>
        <v>52</v>
      </c>
      <c r="Q106" s="19">
        <f t="shared" si="7"/>
        <v>2.164351851851852E-2</v>
      </c>
      <c r="R106" s="20">
        <f t="shared" si="8"/>
        <v>2.164351851851852E-2</v>
      </c>
      <c r="S106" s="21">
        <f t="shared" si="36"/>
        <v>104</v>
      </c>
      <c r="T106" s="22">
        <f ca="1">IFERROR(__xludf.DUMMYFUNCTION("IF (S106 ,IF(S106 &gt; 3, RANK(Q106, FILTER(R$3:R$128, C$3:C$128 = C106,S$3:S$128 &gt; 3), 1),""""),"""")"),56)</f>
        <v>56</v>
      </c>
      <c r="U106" s="41" t="str">
        <f t="shared" si="37"/>
        <v>Антоненко Сергей</v>
      </c>
      <c r="V106" s="43">
        <f t="shared" si="38"/>
        <v>5.2546296296296299E-3</v>
      </c>
      <c r="W106" s="43">
        <f t="shared" si="39"/>
        <v>1.4861111111111111E-2</v>
      </c>
      <c r="X106" s="43">
        <f t="shared" si="40"/>
        <v>2.164351851851852E-2</v>
      </c>
      <c r="Y106" s="42">
        <f t="shared" si="41"/>
        <v>0</v>
      </c>
      <c r="Z106" s="43">
        <f>Table1[[#Totals],[После плавания]]-V106</f>
        <v>3.4606481481481485E-3</v>
      </c>
      <c r="AA106" s="43">
        <f>Table1[[#Totals],[После вело]]-W106</f>
        <v>5.3819444444444444E-3</v>
      </c>
      <c r="AB106" s="43">
        <f>Table1[[#Totals],[После бега]]-X106</f>
        <v>8.6342592592592582E-3</v>
      </c>
      <c r="AC106" s="40" t="s">
        <v>192</v>
      </c>
      <c r="AD106" s="45">
        <f>TIME(0,40,0)-Table1[[#This Row],[После вело]]</f>
        <v>1.2916666666666665E-2</v>
      </c>
    </row>
    <row r="107" spans="1:30" ht="13" x14ac:dyDescent="0.15">
      <c r="A107" s="10">
        <v>102</v>
      </c>
      <c r="B107" s="11" t="s">
        <v>128</v>
      </c>
      <c r="C107" s="12" t="s">
        <v>26</v>
      </c>
      <c r="D107" s="13">
        <v>5.6712962962962967E-3</v>
      </c>
      <c r="E107" s="14">
        <f t="shared" si="0"/>
        <v>1.8904320987654323E-3</v>
      </c>
      <c r="F107" s="15">
        <f t="shared" si="33"/>
        <v>113</v>
      </c>
      <c r="G107" s="15">
        <f ca="1">IFERROR(__xludf.DUMMYFUNCTION("IF( D107,RANK(D107, FILTER(D$3:D$128, C$3:C$128 = C107), 1),"""")"),50)</f>
        <v>50</v>
      </c>
      <c r="H107" s="13">
        <v>8.9004629629629625E-3</v>
      </c>
      <c r="I107" s="16">
        <f t="shared" si="2"/>
        <v>0.21361111111111108</v>
      </c>
      <c r="J107" s="17">
        <f t="shared" si="3"/>
        <v>37.451235370611187</v>
      </c>
      <c r="K107" s="18">
        <f t="shared" si="34"/>
        <v>54</v>
      </c>
      <c r="L107" s="18">
        <f ca="1">IFERROR(__xludf.DUMMYFUNCTION("IF( H107,RANK(H107, FILTER(H$3:H$128, C$3:C$128 = C107), 1),"""")"),28)</f>
        <v>28</v>
      </c>
      <c r="M107" s="13">
        <v>7.2106481481481483E-3</v>
      </c>
      <c r="N107" s="19">
        <f t="shared" si="5"/>
        <v>3.6053240740740742E-3</v>
      </c>
      <c r="O107" s="18">
        <f t="shared" si="35"/>
        <v>101</v>
      </c>
      <c r="P107" s="18">
        <f ca="1">IFERROR(__xludf.DUMMYFUNCTION("IF( M107,RANK(M107, FILTER(M$3:M$128, C$3:C$128 = C107), 1),"""")"),45)</f>
        <v>45</v>
      </c>
      <c r="Q107" s="19">
        <f t="shared" si="7"/>
        <v>2.178240740740741E-2</v>
      </c>
      <c r="R107" s="20">
        <f t="shared" si="8"/>
        <v>2.178240740740741E-2</v>
      </c>
      <c r="S107" s="21">
        <f t="shared" si="36"/>
        <v>105</v>
      </c>
      <c r="T107" s="22">
        <f ca="1">IFERROR(__xludf.DUMMYFUNCTION("IF (S107 ,IF(S107 &gt; 3, RANK(Q107, FILTER(R$3:R$128, C$3:C$128 = C107,S$3:S$128 &gt; 3), 1),""""),"""")"),46)</f>
        <v>46</v>
      </c>
      <c r="U107" s="41" t="str">
        <f t="shared" si="37"/>
        <v>Войтик Михаил</v>
      </c>
      <c r="V107" s="43">
        <f t="shared" si="38"/>
        <v>5.6712962962962967E-3</v>
      </c>
      <c r="W107" s="43">
        <f t="shared" si="39"/>
        <v>1.457175925925926E-2</v>
      </c>
      <c r="X107" s="43">
        <f t="shared" si="40"/>
        <v>2.178240740740741E-2</v>
      </c>
      <c r="Y107" s="42">
        <f t="shared" si="41"/>
        <v>0</v>
      </c>
      <c r="Z107" s="43">
        <f>Table1[[#Totals],[После плавания]]-V107</f>
        <v>3.0439814814814817E-3</v>
      </c>
      <c r="AA107" s="43">
        <f>Table1[[#Totals],[После вело]]-W107</f>
        <v>5.6712962962962958E-3</v>
      </c>
      <c r="AB107" s="43">
        <f>Table1[[#Totals],[После бега]]-X107</f>
        <v>8.4953703703703684E-3</v>
      </c>
      <c r="AC107" s="40" t="s">
        <v>192</v>
      </c>
      <c r="AD107" s="45">
        <f>TIME(0,40,0)-Table1[[#This Row],[После вело]]</f>
        <v>1.3206018518518516E-2</v>
      </c>
    </row>
    <row r="108" spans="1:30" ht="13" x14ac:dyDescent="0.15">
      <c r="A108" s="10">
        <v>112</v>
      </c>
      <c r="B108" s="11" t="s">
        <v>129</v>
      </c>
      <c r="C108" s="12" t="s">
        <v>26</v>
      </c>
      <c r="D108" s="13">
        <v>4.43287037037037E-3</v>
      </c>
      <c r="E108" s="14">
        <f t="shared" si="0"/>
        <v>1.4776234567901233E-3</v>
      </c>
      <c r="F108" s="15">
        <f t="shared" si="33"/>
        <v>101</v>
      </c>
      <c r="G108" s="15">
        <f ca="1">IFERROR(__xludf.DUMMYFUNCTION("IF( D108,RANK(D108, FILTER(D$3:D$128, C$3:C$128 = C108), 1),"""")"),46)</f>
        <v>46</v>
      </c>
      <c r="H108" s="13">
        <v>9.5833333333333326E-3</v>
      </c>
      <c r="I108" s="16">
        <f t="shared" si="2"/>
        <v>0.22999999999999998</v>
      </c>
      <c r="J108" s="17">
        <f t="shared" si="3"/>
        <v>34.782608695652179</v>
      </c>
      <c r="K108" s="18">
        <f t="shared" si="34"/>
        <v>88</v>
      </c>
      <c r="L108" s="18">
        <f ca="1">IFERROR(__xludf.DUMMYFUNCTION("IF( H108,RANK(H108, FILTER(H$3:H$128, C$3:C$128 = C108), 1),"""")"),43)</f>
        <v>43</v>
      </c>
      <c r="M108" s="13">
        <v>7.7777777777777776E-3</v>
      </c>
      <c r="N108" s="19">
        <f t="shared" si="5"/>
        <v>3.8888888888888888E-3</v>
      </c>
      <c r="O108" s="18">
        <f t="shared" si="35"/>
        <v>107</v>
      </c>
      <c r="P108" s="18">
        <f ca="1">IFERROR(__xludf.DUMMYFUNCTION("IF( M108,RANK(M108, FILTER(M$3:M$128, C$3:C$128 = C108), 1),"""")"),48)</f>
        <v>48</v>
      </c>
      <c r="Q108" s="19">
        <f t="shared" si="7"/>
        <v>2.179398148148148E-2</v>
      </c>
      <c r="R108" s="20">
        <f t="shared" si="8"/>
        <v>2.179398148148148E-2</v>
      </c>
      <c r="S108" s="21">
        <f t="shared" si="36"/>
        <v>106</v>
      </c>
      <c r="T108" s="22">
        <f ca="1">IFERROR(__xludf.DUMMYFUNCTION("IF (S108 ,IF(S108 &gt; 3, RANK(Q108, FILTER(R$3:R$128, C$3:C$128 = C108,S$3:S$128 &gt; 3), 1),""""),"""")"),47)</f>
        <v>47</v>
      </c>
      <c r="U108" s="41" t="str">
        <f t="shared" si="37"/>
        <v>Афанасьев Владислав</v>
      </c>
      <c r="V108" s="43">
        <f t="shared" si="38"/>
        <v>4.43287037037037E-3</v>
      </c>
      <c r="W108" s="43">
        <f t="shared" si="39"/>
        <v>1.4016203703703703E-2</v>
      </c>
      <c r="X108" s="43">
        <f t="shared" si="40"/>
        <v>2.179398148148148E-2</v>
      </c>
      <c r="Y108" s="42">
        <f t="shared" si="41"/>
        <v>0</v>
      </c>
      <c r="Z108" s="43">
        <f>Table1[[#Totals],[После плавания]]-V108</f>
        <v>4.2824074074074084E-3</v>
      </c>
      <c r="AA108" s="43">
        <f>Table1[[#Totals],[После вело]]-W108</f>
        <v>6.2268518518518532E-3</v>
      </c>
      <c r="AB108" s="43">
        <f>Table1[[#Totals],[После бега]]-X108</f>
        <v>8.4837962962962983E-3</v>
      </c>
      <c r="AC108" s="40" t="s">
        <v>192</v>
      </c>
      <c r="AD108" s="45">
        <f>TIME(0,40,0)-Table1[[#This Row],[После вело]]</f>
        <v>1.3761574074074074E-2</v>
      </c>
    </row>
    <row r="109" spans="1:30" ht="13" x14ac:dyDescent="0.15">
      <c r="A109" s="10">
        <v>30</v>
      </c>
      <c r="B109" s="11" t="s">
        <v>130</v>
      </c>
      <c r="C109" s="12" t="s">
        <v>23</v>
      </c>
      <c r="D109" s="13">
        <v>4.6412037037037038E-3</v>
      </c>
      <c r="E109" s="14">
        <f t="shared" si="0"/>
        <v>1.5470679012345679E-3</v>
      </c>
      <c r="F109" s="15">
        <f t="shared" si="33"/>
        <v>107</v>
      </c>
      <c r="G109" s="15">
        <f ca="1">IFERROR(__xludf.DUMMYFUNCTION("IF( D109,RANK(D109, FILTER(D$3:D$128, C$3:C$128 = C109), 1),"""")"),59)</f>
        <v>59</v>
      </c>
      <c r="H109" s="13">
        <v>9.618055555555555E-3</v>
      </c>
      <c r="I109" s="16">
        <f t="shared" si="2"/>
        <v>0.23083333333333333</v>
      </c>
      <c r="J109" s="17">
        <f t="shared" si="3"/>
        <v>34.657039711191338</v>
      </c>
      <c r="K109" s="18">
        <f t="shared" si="34"/>
        <v>91</v>
      </c>
      <c r="L109" s="18">
        <f ca="1">IFERROR(__xludf.DUMMYFUNCTION("IF( H109,RANK(H109, FILTER(H$3:H$128, C$3:C$128 = C109), 1),"""")"),48)</f>
        <v>48</v>
      </c>
      <c r="M109" s="13">
        <v>7.6851851851851855E-3</v>
      </c>
      <c r="N109" s="19">
        <f t="shared" si="5"/>
        <v>3.8425925925925928E-3</v>
      </c>
      <c r="O109" s="18">
        <f t="shared" si="35"/>
        <v>106</v>
      </c>
      <c r="P109" s="18">
        <f ca="1">IFERROR(__xludf.DUMMYFUNCTION("IF( M109,RANK(M109, FILTER(M$3:M$128, C$3:C$128 = C109), 1),"""")"),59)</f>
        <v>59</v>
      </c>
      <c r="Q109" s="19">
        <f t="shared" si="7"/>
        <v>2.1944444444444447E-2</v>
      </c>
      <c r="R109" s="20">
        <f t="shared" si="8"/>
        <v>2.1944444444444447E-2</v>
      </c>
      <c r="S109" s="21">
        <f t="shared" si="36"/>
        <v>107</v>
      </c>
      <c r="T109" s="22">
        <f ca="1">IFERROR(__xludf.DUMMYFUNCTION("IF (S109 ,IF(S109 &gt; 3, RANK(Q109, FILTER(R$3:R$128, C$3:C$128 = C109,S$3:S$128 &gt; 3), 1),""""),"""")"),57)</f>
        <v>57</v>
      </c>
      <c r="U109" s="41" t="str">
        <f t="shared" si="37"/>
        <v>Бордан Георгий</v>
      </c>
      <c r="V109" s="43">
        <f t="shared" si="38"/>
        <v>4.6412037037037038E-3</v>
      </c>
      <c r="W109" s="43">
        <f t="shared" si="39"/>
        <v>1.425925925925926E-2</v>
      </c>
      <c r="X109" s="43">
        <f t="shared" si="40"/>
        <v>2.1944444444444447E-2</v>
      </c>
      <c r="Y109" s="42">
        <f t="shared" si="41"/>
        <v>0</v>
      </c>
      <c r="Z109" s="43">
        <f>Table1[[#Totals],[После плавания]]-V109</f>
        <v>4.0740740740740746E-3</v>
      </c>
      <c r="AA109" s="43">
        <f>Table1[[#Totals],[После вело]]-W109</f>
        <v>5.9837962962962961E-3</v>
      </c>
      <c r="AB109" s="43">
        <f>Table1[[#Totals],[После бега]]-X109</f>
        <v>8.3333333333333315E-3</v>
      </c>
      <c r="AC109" s="40" t="s">
        <v>192</v>
      </c>
      <c r="AD109" s="45">
        <f>TIME(0,40,0)-Table1[[#This Row],[После вело]]</f>
        <v>1.3518518518518517E-2</v>
      </c>
    </row>
    <row r="110" spans="1:30" ht="13" x14ac:dyDescent="0.15">
      <c r="A110" s="10">
        <v>53</v>
      </c>
      <c r="B110" s="11" t="s">
        <v>131</v>
      </c>
      <c r="C110" s="12" t="s">
        <v>26</v>
      </c>
      <c r="D110" s="13">
        <v>4.5370370370370373E-3</v>
      </c>
      <c r="E110" s="14">
        <f t="shared" si="0"/>
        <v>1.5123456790123457E-3</v>
      </c>
      <c r="F110" s="15">
        <f t="shared" si="33"/>
        <v>105</v>
      </c>
      <c r="G110" s="15">
        <f ca="1">IFERROR(__xludf.DUMMYFUNCTION("IF( D110,RANK(D110, FILTER(D$3:D$128, C$3:C$128 = C110), 1),"""")"),48)</f>
        <v>48</v>
      </c>
      <c r="H110" s="13">
        <v>8.9930555555555562E-3</v>
      </c>
      <c r="I110" s="16">
        <f t="shared" si="2"/>
        <v>0.21583333333333335</v>
      </c>
      <c r="J110" s="17">
        <f t="shared" si="3"/>
        <v>37.065637065637063</v>
      </c>
      <c r="K110" s="18">
        <f t="shared" si="34"/>
        <v>60</v>
      </c>
      <c r="L110" s="18">
        <f ca="1">IFERROR(__xludf.DUMMYFUNCTION("IF( H110,RANK(H110, FILTER(H$3:H$128, C$3:C$128 = C110), 1),"""")"),30)</f>
        <v>30</v>
      </c>
      <c r="M110" s="13">
        <v>8.4953703703703701E-3</v>
      </c>
      <c r="N110" s="19">
        <f t="shared" si="5"/>
        <v>4.2476851851851851E-3</v>
      </c>
      <c r="O110" s="18">
        <f t="shared" si="35"/>
        <v>110</v>
      </c>
      <c r="P110" s="18">
        <f ca="1">IFERROR(__xludf.DUMMYFUNCTION("IF( M110,RANK(M110, FILTER(M$3:M$128, C$3:C$128 = C110), 1),"""")"),50)</f>
        <v>50</v>
      </c>
      <c r="Q110" s="19">
        <f t="shared" si="7"/>
        <v>2.2025462962962962E-2</v>
      </c>
      <c r="R110" s="20">
        <f t="shared" si="8"/>
        <v>2.2025462962962962E-2</v>
      </c>
      <c r="S110" s="21">
        <f t="shared" si="36"/>
        <v>108</v>
      </c>
      <c r="T110" s="22">
        <f ca="1">IFERROR(__xludf.DUMMYFUNCTION("IF (S110 ,IF(S110 &gt; 3, RANK(Q110, FILTER(R$3:R$128, C$3:C$128 = C110,S$3:S$128 &gt; 3), 1),""""),"""")"),48)</f>
        <v>48</v>
      </c>
      <c r="U110" s="41" t="str">
        <f t="shared" si="37"/>
        <v>Самкович Виталий</v>
      </c>
      <c r="V110" s="43">
        <f t="shared" si="38"/>
        <v>4.5370370370370373E-3</v>
      </c>
      <c r="W110" s="43">
        <f t="shared" si="39"/>
        <v>1.3530092592592594E-2</v>
      </c>
      <c r="X110" s="43">
        <f t="shared" si="40"/>
        <v>2.2025462962962962E-2</v>
      </c>
      <c r="Y110" s="42">
        <f t="shared" si="41"/>
        <v>0</v>
      </c>
      <c r="Z110" s="43">
        <f>Table1[[#Totals],[После плавания]]-V110</f>
        <v>4.178240740740741E-3</v>
      </c>
      <c r="AA110" s="43">
        <f>Table1[[#Totals],[После вело]]-W110</f>
        <v>6.7129629629629622E-3</v>
      </c>
      <c r="AB110" s="43">
        <f>Table1[[#Totals],[После бега]]-X110</f>
        <v>8.2523148148148165E-3</v>
      </c>
      <c r="AC110" s="40" t="s">
        <v>192</v>
      </c>
      <c r="AD110" s="45">
        <f>TIME(0,40,0)-Table1[[#This Row],[После вело]]</f>
        <v>1.4247685185185183E-2</v>
      </c>
    </row>
    <row r="111" spans="1:30" ht="13" x14ac:dyDescent="0.15">
      <c r="A111" s="10">
        <v>101</v>
      </c>
      <c r="B111" s="11" t="s">
        <v>132</v>
      </c>
      <c r="C111" s="12" t="s">
        <v>26</v>
      </c>
      <c r="D111" s="13">
        <v>4.4444444444444444E-3</v>
      </c>
      <c r="E111" s="14">
        <f t="shared" si="0"/>
        <v>1.4814814814814814E-3</v>
      </c>
      <c r="F111" s="15">
        <f t="shared" si="33"/>
        <v>102</v>
      </c>
      <c r="G111" s="15">
        <f ca="1">IFERROR(__xludf.DUMMYFUNCTION("IF( D111,RANK(D111, FILTER(D$3:D$128, C$3:C$128 = C111), 1),"""")"),47)</f>
        <v>47</v>
      </c>
      <c r="H111" s="13">
        <v>1.0902777777777779E-2</v>
      </c>
      <c r="I111" s="16">
        <f t="shared" si="2"/>
        <v>0.26166666666666671</v>
      </c>
      <c r="J111" s="17">
        <f t="shared" si="3"/>
        <v>30.573248407643305</v>
      </c>
      <c r="K111" s="18">
        <f t="shared" si="34"/>
        <v>113</v>
      </c>
      <c r="L111" s="18">
        <f ca="1">IFERROR(__xludf.DUMMYFUNCTION("IF( H111,RANK(H111, FILTER(H$3:H$128, C$3:C$128 = C111), 1),"""")"),53)</f>
        <v>53</v>
      </c>
      <c r="M111" s="13">
        <v>6.875E-3</v>
      </c>
      <c r="N111" s="19">
        <f t="shared" si="5"/>
        <v>3.4375E-3</v>
      </c>
      <c r="O111" s="18">
        <f t="shared" si="35"/>
        <v>93</v>
      </c>
      <c r="P111" s="18">
        <f ca="1">IFERROR(__xludf.DUMMYFUNCTION("IF( M111,RANK(M111, FILTER(M$3:M$128, C$3:C$128 = C111), 1),"""")"),40)</f>
        <v>40</v>
      </c>
      <c r="Q111" s="19">
        <f t="shared" si="7"/>
        <v>2.2222222222222223E-2</v>
      </c>
      <c r="R111" s="20">
        <f t="shared" si="8"/>
        <v>2.2222222222222223E-2</v>
      </c>
      <c r="S111" s="21">
        <f t="shared" si="36"/>
        <v>109</v>
      </c>
      <c r="T111" s="22">
        <f ca="1">IFERROR(__xludf.DUMMYFUNCTION("IF (S111 ,IF(S111 &gt; 3, RANK(Q111, FILTER(R$3:R$128, C$3:C$128 = C111,S$3:S$128 &gt; 3), 1),""""),"""")"),49)</f>
        <v>49</v>
      </c>
      <c r="U111" s="41" t="str">
        <f t="shared" si="37"/>
        <v>Сыманюк Дмитрий</v>
      </c>
      <c r="V111" s="43">
        <f t="shared" si="38"/>
        <v>4.4444444444444444E-3</v>
      </c>
      <c r="W111" s="43">
        <f t="shared" si="39"/>
        <v>1.5347222222222224E-2</v>
      </c>
      <c r="X111" s="43">
        <f t="shared" si="40"/>
        <v>2.2222222222222223E-2</v>
      </c>
      <c r="Y111" s="42">
        <f t="shared" si="41"/>
        <v>0</v>
      </c>
      <c r="Z111" s="43">
        <f>Table1[[#Totals],[После плавания]]-V111</f>
        <v>4.2708333333333339E-3</v>
      </c>
      <c r="AA111" s="43">
        <f>Table1[[#Totals],[После вело]]-W111</f>
        <v>4.8958333333333319E-3</v>
      </c>
      <c r="AB111" s="43">
        <f>Table1[[#Totals],[После бега]]-X111</f>
        <v>8.0555555555555554E-3</v>
      </c>
      <c r="AC111" s="40" t="s">
        <v>192</v>
      </c>
      <c r="AD111" s="45">
        <f>TIME(0,40,0)-Table1[[#This Row],[После вело]]</f>
        <v>1.2430555555555552E-2</v>
      </c>
    </row>
    <row r="112" spans="1:30" ht="13" x14ac:dyDescent="0.15">
      <c r="A112" s="10">
        <v>3</v>
      </c>
      <c r="B112" s="11" t="s">
        <v>133</v>
      </c>
      <c r="C112" s="12" t="s">
        <v>23</v>
      </c>
      <c r="D112" s="13">
        <v>3.5532407407407409E-3</v>
      </c>
      <c r="E112" s="14">
        <f t="shared" si="0"/>
        <v>1.1844135802469137E-3</v>
      </c>
      <c r="F112" s="15">
        <f t="shared" si="33"/>
        <v>44</v>
      </c>
      <c r="G112" s="15">
        <f ca="1">IFERROR(__xludf.DUMMYFUNCTION("IF( D112,RANK(D112, FILTER(D$3:D$128, C$3:C$128 = C112), 1),"""")"),23)</f>
        <v>23</v>
      </c>
      <c r="H112" s="13">
        <v>1.1574074074074073E-2</v>
      </c>
      <c r="I112" s="16">
        <f t="shared" si="2"/>
        <v>0.27777777777777779</v>
      </c>
      <c r="J112" s="17">
        <f t="shared" si="3"/>
        <v>28.799999999999997</v>
      </c>
      <c r="K112" s="18">
        <f t="shared" si="34"/>
        <v>115</v>
      </c>
      <c r="L112" s="18">
        <f ca="1">IFERROR(__xludf.DUMMYFUNCTION("IF( H112,RANK(H112, FILTER(H$3:H$128, C$3:C$128 = C112), 1),"""")"),62)</f>
        <v>62</v>
      </c>
      <c r="M112" s="13">
        <v>7.3611111111111108E-3</v>
      </c>
      <c r="N112" s="19">
        <f t="shared" si="5"/>
        <v>3.6805555555555554E-3</v>
      </c>
      <c r="O112" s="18">
        <f t="shared" si="35"/>
        <v>103</v>
      </c>
      <c r="P112" s="18">
        <f ca="1">IFERROR(__xludf.DUMMYFUNCTION("IF( M112,RANK(M112, FILTER(M$3:M$128, C$3:C$128 = C112), 1),"""")"),57)</f>
        <v>57</v>
      </c>
      <c r="Q112" s="19">
        <f t="shared" si="7"/>
        <v>2.2488425925925926E-2</v>
      </c>
      <c r="R112" s="20">
        <f t="shared" si="8"/>
        <v>2.2488425925925926E-2</v>
      </c>
      <c r="S112" s="21">
        <f t="shared" si="36"/>
        <v>110</v>
      </c>
      <c r="T112" s="22">
        <f ca="1">IFERROR(__xludf.DUMMYFUNCTION("IF (S112 ,IF(S112 &gt; 3, RANK(Q112, FILTER(R$3:R$128, C$3:C$128 = C112,S$3:S$128 &gt; 3), 1),""""),"""")"),58)</f>
        <v>58</v>
      </c>
      <c r="U112" s="41" t="str">
        <f t="shared" si="37"/>
        <v>Судас Александр</v>
      </c>
      <c r="V112" s="43">
        <f t="shared" si="38"/>
        <v>3.5532407407407409E-3</v>
      </c>
      <c r="W112" s="43">
        <f t="shared" si="39"/>
        <v>1.5127314814814814E-2</v>
      </c>
      <c r="X112" s="43">
        <f t="shared" si="40"/>
        <v>2.2488425925925926E-2</v>
      </c>
      <c r="Y112" s="42">
        <f t="shared" si="41"/>
        <v>0</v>
      </c>
      <c r="Z112" s="43">
        <f>Table1[[#Totals],[После плавания]]-V112</f>
        <v>5.1620370370370379E-3</v>
      </c>
      <c r="AA112" s="43">
        <f>Table1[[#Totals],[После вело]]-W112</f>
        <v>5.1157407407407419E-3</v>
      </c>
      <c r="AB112" s="43">
        <f>Table1[[#Totals],[После бега]]-X112</f>
        <v>7.7893518518518529E-3</v>
      </c>
      <c r="AC112" s="40" t="s">
        <v>192</v>
      </c>
      <c r="AD112" s="45">
        <f>TIME(0,40,0)-Table1[[#This Row],[После вело]]</f>
        <v>1.2650462962962962E-2</v>
      </c>
    </row>
    <row r="113" spans="1:30" ht="13" x14ac:dyDescent="0.15">
      <c r="A113" s="10">
        <v>115</v>
      </c>
      <c r="B113" s="11" t="s">
        <v>134</v>
      </c>
      <c r="C113" s="12" t="s">
        <v>23</v>
      </c>
      <c r="D113" s="13">
        <v>4.8379629629629632E-3</v>
      </c>
      <c r="E113" s="14">
        <f t="shared" si="0"/>
        <v>1.6126543209876545E-3</v>
      </c>
      <c r="F113" s="15">
        <f t="shared" si="33"/>
        <v>109</v>
      </c>
      <c r="G113" s="15">
        <f ca="1">IFERROR(__xludf.DUMMYFUNCTION("IF( D113,RANK(D113, FILTER(D$3:D$128, C$3:C$128 = C113), 1),"""")"),60)</f>
        <v>60</v>
      </c>
      <c r="H113" s="13">
        <v>1.0127314814814815E-2</v>
      </c>
      <c r="I113" s="16">
        <f t="shared" si="2"/>
        <v>0.24305555555555555</v>
      </c>
      <c r="J113" s="17">
        <f t="shared" si="3"/>
        <v>32.914285714285718</v>
      </c>
      <c r="K113" s="18">
        <f t="shared" si="34"/>
        <v>107</v>
      </c>
      <c r="L113" s="18">
        <f ca="1">IFERROR(__xludf.DUMMYFUNCTION("IF( H113,RANK(H113, FILTER(H$3:H$128, C$3:C$128 = C113), 1),"""")"),59)</f>
        <v>59</v>
      </c>
      <c r="M113" s="13">
        <v>9.9189814814814817E-3</v>
      </c>
      <c r="N113" s="19">
        <f t="shared" si="5"/>
        <v>4.9594907407407409E-3</v>
      </c>
      <c r="O113" s="18">
        <f t="shared" si="35"/>
        <v>113</v>
      </c>
      <c r="P113" s="18">
        <f ca="1">IFERROR(__xludf.DUMMYFUNCTION("IF( M113,RANK(M113, FILTER(M$3:M$128, C$3:C$128 = C113), 1),"""")"),62)</f>
        <v>62</v>
      </c>
      <c r="Q113" s="19">
        <f t="shared" si="7"/>
        <v>2.4884259259259259E-2</v>
      </c>
      <c r="R113" s="20">
        <f t="shared" si="8"/>
        <v>2.4884259259259259E-2</v>
      </c>
      <c r="S113" s="21">
        <f t="shared" si="36"/>
        <v>111</v>
      </c>
      <c r="T113" s="22">
        <f ca="1">IFERROR(__xludf.DUMMYFUNCTION("IF (S113 ,IF(S113 &gt; 3, RANK(Q113, FILTER(R$3:R$128, C$3:C$128 = C113,S$3:S$128 &gt; 3), 1),""""),"""")"),59)</f>
        <v>59</v>
      </c>
      <c r="U113" s="41" t="str">
        <f t="shared" si="37"/>
        <v>Лапицкий Александр</v>
      </c>
      <c r="V113" s="43">
        <f t="shared" si="38"/>
        <v>4.8379629629629632E-3</v>
      </c>
      <c r="W113" s="43">
        <f t="shared" si="39"/>
        <v>1.4965277777777779E-2</v>
      </c>
      <c r="X113" s="43">
        <f t="shared" si="40"/>
        <v>2.4884259259259259E-2</v>
      </c>
      <c r="Y113" s="42">
        <f t="shared" si="41"/>
        <v>0</v>
      </c>
      <c r="Z113" s="43">
        <f>Table1[[#Totals],[После плавания]]-V113</f>
        <v>3.8773148148148152E-3</v>
      </c>
      <c r="AA113" s="43">
        <f>Table1[[#Totals],[После вело]]-W113</f>
        <v>5.2777777777777771E-3</v>
      </c>
      <c r="AB113" s="43">
        <f>Table1[[#Totals],[После бега]]-X113</f>
        <v>5.3935185185185197E-3</v>
      </c>
      <c r="AC113" s="40" t="s">
        <v>192</v>
      </c>
      <c r="AD113" s="45">
        <f>TIME(0,40,0)-Table1[[#This Row],[После вело]]</f>
        <v>1.2812499999999998E-2</v>
      </c>
    </row>
    <row r="114" spans="1:30" ht="13" x14ac:dyDescent="0.15">
      <c r="A114" s="10">
        <v>90</v>
      </c>
      <c r="B114" s="11" t="s">
        <v>135</v>
      </c>
      <c r="C114" s="12" t="s">
        <v>23</v>
      </c>
      <c r="D114" s="13">
        <v>4.8958333333333336E-3</v>
      </c>
      <c r="E114" s="14">
        <f t="shared" si="0"/>
        <v>1.6319444444444445E-3</v>
      </c>
      <c r="F114" s="15">
        <f t="shared" si="33"/>
        <v>110</v>
      </c>
      <c r="G114" s="15">
        <f ca="1">IFERROR(__xludf.DUMMYFUNCTION("IF( D114,RANK(D114, FILTER(D$3:D$128, C$3:C$128 = C114), 1),"""")"),61)</f>
        <v>61</v>
      </c>
      <c r="H114" s="13">
        <v>1.1087962962962963E-2</v>
      </c>
      <c r="I114" s="16">
        <f t="shared" si="2"/>
        <v>0.26611111111111108</v>
      </c>
      <c r="J114" s="17">
        <f t="shared" si="3"/>
        <v>30.062630480167019</v>
      </c>
      <c r="K114" s="18">
        <f t="shared" si="34"/>
        <v>114</v>
      </c>
      <c r="L114" s="18">
        <f ca="1">IFERROR(__xludf.DUMMYFUNCTION("IF( H114,RANK(H114, FILTER(H$3:H$128, C$3:C$128 = C114), 1),"""")"),61)</f>
        <v>61</v>
      </c>
      <c r="M114" s="13">
        <v>8.9699074074074073E-3</v>
      </c>
      <c r="N114" s="19">
        <f t="shared" si="5"/>
        <v>4.4849537037037037E-3</v>
      </c>
      <c r="O114" s="18">
        <f t="shared" si="35"/>
        <v>112</v>
      </c>
      <c r="P114" s="18">
        <f ca="1">IFERROR(__xludf.DUMMYFUNCTION("IF( M114,RANK(M114, FILTER(M$3:M$128, C$3:C$128 = C114), 1),"""")"),61)</f>
        <v>61</v>
      </c>
      <c r="Q114" s="19">
        <f t="shared" si="7"/>
        <v>2.49537037037037E-2</v>
      </c>
      <c r="R114" s="20">
        <f t="shared" si="8"/>
        <v>2.49537037037037E-2</v>
      </c>
      <c r="S114" s="21">
        <f t="shared" si="36"/>
        <v>112</v>
      </c>
      <c r="T114" s="22">
        <f ca="1">IFERROR(__xludf.DUMMYFUNCTION("IF (S114 ,IF(S114 &gt; 3, RANK(Q114, FILTER(R$3:R$128, C$3:C$128 = C114,S$3:S$128 &gt; 3), 1),""""),"""")"),60)</f>
        <v>60</v>
      </c>
      <c r="U114" s="41" t="str">
        <f t="shared" si="37"/>
        <v>Бондарев Иван</v>
      </c>
      <c r="V114" s="43">
        <f t="shared" si="38"/>
        <v>4.8958333333333336E-3</v>
      </c>
      <c r="W114" s="43">
        <f t="shared" si="39"/>
        <v>1.5983796296296295E-2</v>
      </c>
      <c r="X114" s="43">
        <f t="shared" si="40"/>
        <v>2.49537037037037E-2</v>
      </c>
      <c r="Y114" s="42">
        <f t="shared" si="41"/>
        <v>0</v>
      </c>
      <c r="Z114" s="43">
        <f>Table1[[#Totals],[После плавания]]-V114</f>
        <v>3.8194444444444448E-3</v>
      </c>
      <c r="AA114" s="43">
        <f>Table1[[#Totals],[После вело]]-W114</f>
        <v>4.2592592592592612E-3</v>
      </c>
      <c r="AB114" s="43">
        <f>Table1[[#Totals],[После бега]]-X114</f>
        <v>5.3240740740740783E-3</v>
      </c>
      <c r="AC114" s="40" t="s">
        <v>192</v>
      </c>
      <c r="AD114" s="45">
        <f>TIME(0,40,0)-Table1[[#This Row],[После вело]]</f>
        <v>1.1793981481481482E-2</v>
      </c>
    </row>
    <row r="115" spans="1:30" ht="13" x14ac:dyDescent="0.15">
      <c r="A115" s="10">
        <v>35</v>
      </c>
      <c r="B115" s="11" t="s">
        <v>136</v>
      </c>
      <c r="C115" s="12" t="s">
        <v>23</v>
      </c>
      <c r="D115" s="13">
        <v>4.0625000000000001E-3</v>
      </c>
      <c r="E115" s="14">
        <f t="shared" si="0"/>
        <v>1.3541666666666667E-3</v>
      </c>
      <c r="F115" s="15">
        <f t="shared" si="33"/>
        <v>83</v>
      </c>
      <c r="G115" s="15">
        <f ca="1">IFERROR(__xludf.DUMMYFUNCTION("IF( D115,RANK(D115, FILTER(D$3:D$128, C$3:C$128 = C115), 1),"""")"),47)</f>
        <v>47</v>
      </c>
      <c r="H115" s="13">
        <v>1.1631944444444445E-2</v>
      </c>
      <c r="I115" s="16">
        <f t="shared" si="2"/>
        <v>0.27916666666666667</v>
      </c>
      <c r="J115" s="17">
        <f t="shared" si="3"/>
        <v>28.656716417910449</v>
      </c>
      <c r="K115" s="18">
        <f t="shared" si="34"/>
        <v>116</v>
      </c>
      <c r="L115" s="18">
        <f ca="1">IFERROR(__xludf.DUMMYFUNCTION("IF( H115,RANK(H115, FILTER(H$3:H$128, C$3:C$128 = C115), 1),"""")"),63)</f>
        <v>63</v>
      </c>
      <c r="M115" s="13">
        <v>1.0266203703703704E-2</v>
      </c>
      <c r="N115" s="19">
        <f t="shared" si="5"/>
        <v>5.1331018518518522E-3</v>
      </c>
      <c r="O115" s="18">
        <f t="shared" si="35"/>
        <v>114</v>
      </c>
      <c r="P115" s="18">
        <f ca="1">IFERROR(__xludf.DUMMYFUNCTION("IF( M115,RANK(M115, FILTER(M$3:M$128, C$3:C$128 = C115), 1),"""")"),63)</f>
        <v>63</v>
      </c>
      <c r="Q115" s="19">
        <f t="shared" si="7"/>
        <v>2.5960648148148149E-2</v>
      </c>
      <c r="R115" s="20">
        <f t="shared" si="8"/>
        <v>2.5960648148148149E-2</v>
      </c>
      <c r="S115" s="21">
        <f t="shared" si="36"/>
        <v>113</v>
      </c>
      <c r="T115" s="22">
        <f ca="1">IFERROR(__xludf.DUMMYFUNCTION("IF (S115 ,IF(S115 &gt; 3, RANK(Q115, FILTER(R$3:R$128, C$3:C$128 = C115,S$3:S$128 &gt; 3), 1),""""),"""")"),61)</f>
        <v>61</v>
      </c>
      <c r="U115" s="41" t="str">
        <f t="shared" si="37"/>
        <v>Андрианов Константин</v>
      </c>
      <c r="V115" s="43">
        <f t="shared" si="38"/>
        <v>4.0625000000000001E-3</v>
      </c>
      <c r="W115" s="43">
        <f t="shared" si="39"/>
        <v>1.5694444444444445E-2</v>
      </c>
      <c r="X115" s="43">
        <f t="shared" si="40"/>
        <v>2.5960648148148149E-2</v>
      </c>
      <c r="Y115" s="42">
        <f t="shared" si="41"/>
        <v>0</v>
      </c>
      <c r="Z115" s="43">
        <f>Table1[[#Totals],[После плавания]]-V115</f>
        <v>4.6527777777777782E-3</v>
      </c>
      <c r="AA115" s="43">
        <f>Table1[[#Totals],[После вело]]-W115</f>
        <v>4.5486111111111109E-3</v>
      </c>
      <c r="AB115" s="43">
        <f>Table1[[#Totals],[После бега]]-X115</f>
        <v>4.3171296296296291E-3</v>
      </c>
      <c r="AC115" s="40" t="s">
        <v>192</v>
      </c>
      <c r="AD115" s="45">
        <f>TIME(0,40,0)-Table1[[#This Row],[После вело]]</f>
        <v>1.2083333333333331E-2</v>
      </c>
    </row>
    <row r="116" spans="1:30" ht="13" x14ac:dyDescent="0.15">
      <c r="A116" s="10">
        <v>27</v>
      </c>
      <c r="B116" s="11" t="s">
        <v>137</v>
      </c>
      <c r="C116" s="12" t="s">
        <v>26</v>
      </c>
      <c r="D116" s="13">
        <v>8.6342592592592599E-3</v>
      </c>
      <c r="E116" s="14">
        <f t="shared" si="0"/>
        <v>2.8780864197530866E-3</v>
      </c>
      <c r="F116" s="15">
        <f t="shared" si="33"/>
        <v>116</v>
      </c>
      <c r="G116" s="15">
        <f ca="1">IFERROR(__xludf.DUMMYFUNCTION("IF( D116,RANK(D116, FILTER(D$3:D$128, C$3:C$128 = C116), 1),"""")"),53)</f>
        <v>53</v>
      </c>
      <c r="H116" s="13">
        <v>1.0462962962962962E-2</v>
      </c>
      <c r="I116" s="16">
        <f t="shared" si="2"/>
        <v>0.25111111111111106</v>
      </c>
      <c r="J116" s="17">
        <f t="shared" si="3"/>
        <v>31.858407079646025</v>
      </c>
      <c r="K116" s="18">
        <f t="shared" si="34"/>
        <v>111</v>
      </c>
      <c r="L116" s="18">
        <f ca="1">IFERROR(__xludf.DUMMYFUNCTION("IF( H116,RANK(H116, FILTER(H$3:H$128, C$3:C$128 = C116), 1),"""")"),51)</f>
        <v>51</v>
      </c>
      <c r="M116" s="13">
        <v>8.5879629629629622E-3</v>
      </c>
      <c r="N116" s="19">
        <f t="shared" si="5"/>
        <v>4.2939814814814811E-3</v>
      </c>
      <c r="O116" s="18">
        <f t="shared" si="35"/>
        <v>111</v>
      </c>
      <c r="P116" s="18">
        <f ca="1">IFERROR(__xludf.DUMMYFUNCTION("IF( M116,RANK(M116, FILTER(M$3:M$128, C$3:C$128 = C116), 1),"""")"),51)</f>
        <v>51</v>
      </c>
      <c r="Q116" s="19">
        <f t="shared" si="7"/>
        <v>2.7685185185185188E-2</v>
      </c>
      <c r="R116" s="20">
        <f t="shared" si="8"/>
        <v>2.7685185185185188E-2</v>
      </c>
      <c r="S116" s="21">
        <f t="shared" si="36"/>
        <v>114</v>
      </c>
      <c r="T116" s="22">
        <f ca="1">IFERROR(__xludf.DUMMYFUNCTION("IF (S116 ,IF(S116 &gt; 3, RANK(Q116, FILTER(R$3:R$128, C$3:C$128 = C116,S$3:S$128 &gt; 3), 1),""""),"""")"),50)</f>
        <v>50</v>
      </c>
      <c r="U116" s="41" t="str">
        <f t="shared" si="37"/>
        <v>Лашкевич Андрей</v>
      </c>
      <c r="V116" s="43">
        <f t="shared" si="38"/>
        <v>8.6342592592592599E-3</v>
      </c>
      <c r="W116" s="43">
        <f t="shared" si="39"/>
        <v>1.9097222222222224E-2</v>
      </c>
      <c r="X116" s="43">
        <f t="shared" si="40"/>
        <v>2.7685185185185188E-2</v>
      </c>
      <c r="Y116" s="42">
        <f t="shared" si="41"/>
        <v>0</v>
      </c>
      <c r="Z116" s="43">
        <f>Table1[[#Totals],[После плавания]]-V116</f>
        <v>8.1018518518518462E-5</v>
      </c>
      <c r="AA116" s="43">
        <f>Table1[[#Totals],[После вело]]-W116</f>
        <v>1.145833333333332E-3</v>
      </c>
      <c r="AB116" s="43">
        <f>Table1[[#Totals],[После бега]]-X116</f>
        <v>2.5925925925925908E-3</v>
      </c>
      <c r="AC116" s="40" t="s">
        <v>192</v>
      </c>
      <c r="AD116" s="45">
        <f>TIME(0,40,0)-Table1[[#This Row],[После вело]]</f>
        <v>8.6805555555555525E-3</v>
      </c>
    </row>
    <row r="117" spans="1:30" ht="13" x14ac:dyDescent="0.15">
      <c r="A117" s="10">
        <v>24</v>
      </c>
      <c r="B117" s="11" t="s">
        <v>138</v>
      </c>
      <c r="C117" s="12" t="s">
        <v>26</v>
      </c>
      <c r="D117" s="13">
        <v>6.030092592592593E-3</v>
      </c>
      <c r="E117" s="14">
        <f t="shared" si="0"/>
        <v>2.0100308641975311E-3</v>
      </c>
      <c r="F117" s="15">
        <f t="shared" si="33"/>
        <v>114</v>
      </c>
      <c r="G117" s="15">
        <f ca="1">IFERROR(__xludf.DUMMYFUNCTION("IF( D117,RANK(D117, FILTER(D$3:D$128, C$3:C$128 = C117), 1),"""")"),51)</f>
        <v>51</v>
      </c>
      <c r="H117" s="13">
        <v>1.0497685185185185E-2</v>
      </c>
      <c r="I117" s="16">
        <f t="shared" si="2"/>
        <v>0.25194444444444442</v>
      </c>
      <c r="J117" s="17">
        <f t="shared" si="3"/>
        <v>31.753031973539144</v>
      </c>
      <c r="K117" s="18">
        <f t="shared" si="34"/>
        <v>112</v>
      </c>
      <c r="L117" s="18">
        <f ca="1">IFERROR(__xludf.DUMMYFUNCTION("IF( H117,RANK(H117, FILTER(H$3:H$128, C$3:C$128 = C117), 1),"""")"),52)</f>
        <v>52</v>
      </c>
      <c r="M117" s="13">
        <v>1.119212962962963E-2</v>
      </c>
      <c r="N117" s="19">
        <f t="shared" si="5"/>
        <v>5.596064814814815E-3</v>
      </c>
      <c r="O117" s="18">
        <f t="shared" si="35"/>
        <v>116</v>
      </c>
      <c r="P117" s="18">
        <f ca="1">IFERROR(__xludf.DUMMYFUNCTION("IF( M117,RANK(M117, FILTER(M$3:M$128, C$3:C$128 = C117), 1),"""")"),53)</f>
        <v>53</v>
      </c>
      <c r="Q117" s="19">
        <f t="shared" si="7"/>
        <v>2.7719907407407408E-2</v>
      </c>
      <c r="R117" s="20">
        <f t="shared" si="8"/>
        <v>2.7719907407407408E-2</v>
      </c>
      <c r="S117" s="21">
        <f t="shared" si="36"/>
        <v>115</v>
      </c>
      <c r="T117" s="22">
        <f ca="1">IFERROR(__xludf.DUMMYFUNCTION("IF (S117 ,IF(S117 &gt; 3, RANK(Q117, FILTER(R$3:R$128, C$3:C$128 = C117,S$3:S$128 &gt; 3), 1),""""),"""")"),51)</f>
        <v>51</v>
      </c>
      <c r="U117" s="41" t="str">
        <f t="shared" si="37"/>
        <v>Юрченко Владимир</v>
      </c>
      <c r="V117" s="43">
        <f t="shared" si="38"/>
        <v>6.030092592592593E-3</v>
      </c>
      <c r="W117" s="43">
        <f t="shared" si="39"/>
        <v>1.6527777777777777E-2</v>
      </c>
      <c r="X117" s="43">
        <f t="shared" si="40"/>
        <v>2.7719907407407408E-2</v>
      </c>
      <c r="Y117" s="42">
        <f t="shared" si="41"/>
        <v>0</v>
      </c>
      <c r="Z117" s="43">
        <f>Table1[[#Totals],[После плавания]]-V117</f>
        <v>2.6851851851851854E-3</v>
      </c>
      <c r="AA117" s="43">
        <f>Table1[[#Totals],[После вело]]-W117</f>
        <v>3.7152777777777792E-3</v>
      </c>
      <c r="AB117" s="43">
        <f>Table1[[#Totals],[После бега]]-X117</f>
        <v>2.5578703703703701E-3</v>
      </c>
      <c r="AC117" s="40" t="s">
        <v>192</v>
      </c>
      <c r="AD117" s="45">
        <f>TIME(0,40,0)-Table1[[#This Row],[После вело]]</f>
        <v>1.125E-2</v>
      </c>
    </row>
    <row r="118" spans="1:30" ht="14" thickBot="1" x14ac:dyDescent="0.2">
      <c r="A118" s="23">
        <v>91</v>
      </c>
      <c r="B118" s="24" t="s">
        <v>139</v>
      </c>
      <c r="C118" s="25" t="s">
        <v>26</v>
      </c>
      <c r="D118" s="26">
        <v>8.1597222222222227E-3</v>
      </c>
      <c r="E118" s="27">
        <f t="shared" si="0"/>
        <v>2.7199074074074074E-3</v>
      </c>
      <c r="F118" s="28">
        <f t="shared" si="33"/>
        <v>115</v>
      </c>
      <c r="G118" s="28">
        <f ca="1">IFERROR(__xludf.DUMMYFUNCTION("IF( D118,RANK(D118, FILTER(D$3:D$128, C$3:C$128 = C118), 1),"""")"),52)</f>
        <v>52</v>
      </c>
      <c r="H118" s="26">
        <v>1.0416666666666666E-2</v>
      </c>
      <c r="I118" s="29">
        <f t="shared" si="2"/>
        <v>0.25</v>
      </c>
      <c r="J118" s="30">
        <f t="shared" si="3"/>
        <v>32</v>
      </c>
      <c r="K118" s="31">
        <f t="shared" si="34"/>
        <v>110</v>
      </c>
      <c r="L118" s="31">
        <f ca="1">IFERROR(__xludf.DUMMYFUNCTION("IF( H118,RANK(H118, FILTER(H$3:H$128, C$3:C$128 = C118), 1),"""")"),50)</f>
        <v>50</v>
      </c>
      <c r="M118" s="26">
        <v>1.0347222222222223E-2</v>
      </c>
      <c r="N118" s="32">
        <f t="shared" si="5"/>
        <v>5.1736111111111115E-3</v>
      </c>
      <c r="O118" s="31">
        <f t="shared" si="35"/>
        <v>115</v>
      </c>
      <c r="P118" s="31">
        <f ca="1">IFERROR(__xludf.DUMMYFUNCTION("IF( M118,RANK(M118, FILTER(M$3:M$128, C$3:C$128 = C118), 1),"""")"),52)</f>
        <v>52</v>
      </c>
      <c r="Q118" s="32">
        <f t="shared" si="7"/>
        <v>2.8923611111111112E-2</v>
      </c>
      <c r="R118" s="33">
        <f t="shared" si="8"/>
        <v>2.8923611111111112E-2</v>
      </c>
      <c r="S118" s="34">
        <f t="shared" si="36"/>
        <v>116</v>
      </c>
      <c r="T118" s="35">
        <f ca="1">IFERROR(__xludf.DUMMYFUNCTION("IF (S118 ,IF(S118 &gt; 3, RANK(Q118, FILTER(R$3:R$128, C$3:C$128 = C118,S$3:S$128 &gt; 3), 1),""""),"""")"),52)</f>
        <v>52</v>
      </c>
      <c r="U118" s="41" t="str">
        <f t="shared" si="37"/>
        <v>Сыроежкин Павел</v>
      </c>
      <c r="V118" s="43">
        <f t="shared" si="38"/>
        <v>8.1597222222222227E-3</v>
      </c>
      <c r="W118" s="43">
        <f t="shared" si="39"/>
        <v>1.8576388888888889E-2</v>
      </c>
      <c r="X118" s="43">
        <f t="shared" si="40"/>
        <v>2.8923611111111112E-2</v>
      </c>
      <c r="Y118" s="42">
        <f t="shared" si="41"/>
        <v>0</v>
      </c>
      <c r="Z118" s="43">
        <f>Table1[[#Totals],[После плавания]]-V118</f>
        <v>5.5555555555555566E-4</v>
      </c>
      <c r="AA118" s="43">
        <f>Table1[[#Totals],[После вело]]-W118</f>
        <v>1.666666666666667E-3</v>
      </c>
      <c r="AB118" s="43">
        <f>Table1[[#Totals],[После бега]]-X118</f>
        <v>1.3541666666666667E-3</v>
      </c>
      <c r="AC118" s="40" t="s">
        <v>192</v>
      </c>
      <c r="AD118" s="45">
        <f>TIME(0,40,0)-Table1[[#This Row],[После вело]]</f>
        <v>9.2013888888888874E-3</v>
      </c>
    </row>
    <row r="119" spans="1:30" ht="14" thickTop="1" x14ac:dyDescent="0.15">
      <c r="A119" s="36">
        <v>71</v>
      </c>
      <c r="B119" s="37" t="s">
        <v>140</v>
      </c>
      <c r="C119" s="38" t="s">
        <v>141</v>
      </c>
      <c r="D119" s="39">
        <v>2.685185185185185E-3</v>
      </c>
      <c r="E119" s="14">
        <f t="shared" si="0"/>
        <v>8.9506172839506166E-4</v>
      </c>
      <c r="F119" s="15">
        <f t="shared" ref="F119:F160" si="42">IF(D119, RANK(D119,$D$119:$D$160,1), "")</f>
        <v>1</v>
      </c>
      <c r="G119" s="15">
        <f ca="1">IFERROR(__xludf.DUMMYFUNCTION("IF( D129,RANK(D129, FILTER(D$129:D$171, C$129:C$171 = C129), 1),"""")"),1)</f>
        <v>1</v>
      </c>
      <c r="H119" s="39">
        <v>9.3749999999999997E-3</v>
      </c>
      <c r="I119" s="16">
        <f t="shared" si="2"/>
        <v>0.22499999999999998</v>
      </c>
      <c r="J119" s="17">
        <f t="shared" si="3"/>
        <v>35.555555555555557</v>
      </c>
      <c r="K119" s="18">
        <f t="shared" ref="K119:K160" si="43">IF(H119, RANK(H119,$H$119:$H$160,1), "")</f>
        <v>6</v>
      </c>
      <c r="L119" s="18">
        <f ca="1">IFERROR(__xludf.DUMMYFUNCTION("IF( H129,RANK(H129, FILTER(H$129:H$171, C$129:C$171 = C129), 1),"""")"),2)</f>
        <v>2</v>
      </c>
      <c r="M119" s="39">
        <v>6.145833333333333E-3</v>
      </c>
      <c r="N119" s="19">
        <f t="shared" si="5"/>
        <v>3.0729166666666665E-3</v>
      </c>
      <c r="O119" s="18">
        <f t="shared" ref="O119:O160" si="44">IF(M119, RANK(M119,$M$119:$M$160,1), "")</f>
        <v>5</v>
      </c>
      <c r="P119" s="18">
        <f ca="1">IFERROR(__xludf.DUMMYFUNCTION("IF( M129,RANK(M129, FILTER(M$129:M$171, C$129:C$171 = C129), 1),"""")"),2)</f>
        <v>2</v>
      </c>
      <c r="Q119" s="19">
        <f t="shared" si="7"/>
        <v>1.8206018518518517E-2</v>
      </c>
      <c r="R119" s="20">
        <f t="shared" si="8"/>
        <v>1.8206018518518517E-2</v>
      </c>
      <c r="S119" s="21">
        <f t="shared" ref="S119:S160" si="45">IF(R119,RANK(R119,R$119:R$160,1),"")</f>
        <v>1</v>
      </c>
      <c r="T119" s="22" t="str">
        <f ca="1">IFERROR(__xludf.DUMMYFUNCTION("IF (S129 ,IF(S129 &gt; 3, RANK(Q129, FILTER(R$129:R$171, C$129:C$171 = C129,S$129:S$171 &gt; 3), 1),""""),"""")"),"")</f>
        <v/>
      </c>
      <c r="U119" s="41" t="str">
        <f t="shared" si="37"/>
        <v>Olshevskaya Angelina</v>
      </c>
      <c r="V119" s="43">
        <f t="shared" si="38"/>
        <v>2.685185185185185E-3</v>
      </c>
      <c r="W119" s="43">
        <f t="shared" si="39"/>
        <v>1.2060185185185184E-2</v>
      </c>
      <c r="X119" s="43">
        <f t="shared" si="40"/>
        <v>1.8206018518518517E-2</v>
      </c>
      <c r="Y119" s="42">
        <f t="shared" si="41"/>
        <v>0</v>
      </c>
      <c r="Z119" s="43">
        <f>Table1[[#Totals],[После плавания]]-V119</f>
        <v>6.0300925925925938E-3</v>
      </c>
      <c r="AA119" s="43">
        <f>Table1[[#Totals],[После вело]]-W119</f>
        <v>8.1828703703703716E-3</v>
      </c>
      <c r="AB119" s="43">
        <f>Table1[[#Totals],[После бега]]-X119</f>
        <v>1.2071759259259261E-2</v>
      </c>
      <c r="AC119" s="40" t="s">
        <v>193</v>
      </c>
      <c r="AD119" s="45">
        <f>TIME(0,40,0)-Table1[[#This Row],[После вело]]</f>
        <v>1.5717592592592592E-2</v>
      </c>
    </row>
    <row r="120" spans="1:30" ht="13" x14ac:dyDescent="0.15">
      <c r="A120" s="36">
        <v>144</v>
      </c>
      <c r="B120" s="37" t="s">
        <v>142</v>
      </c>
      <c r="C120" s="38" t="s">
        <v>141</v>
      </c>
      <c r="D120" s="39">
        <v>2.9166666666666668E-3</v>
      </c>
      <c r="E120" s="14">
        <f t="shared" si="0"/>
        <v>9.722222222222223E-4</v>
      </c>
      <c r="F120" s="15">
        <f t="shared" si="42"/>
        <v>3</v>
      </c>
      <c r="G120" s="15">
        <f ca="1">IFERROR(__xludf.DUMMYFUNCTION("IF( D130,RANK(D130, FILTER(D$129:D$171, C$129:C$171 = C130), 1),"""")"),3)</f>
        <v>3</v>
      </c>
      <c r="H120" s="39">
        <v>9.1087962962962971E-3</v>
      </c>
      <c r="I120" s="16">
        <f t="shared" si="2"/>
        <v>0.21861111111111114</v>
      </c>
      <c r="J120" s="17">
        <f t="shared" si="3"/>
        <v>36.594663278271916</v>
      </c>
      <c r="K120" s="18">
        <f t="shared" si="43"/>
        <v>1</v>
      </c>
      <c r="L120" s="18">
        <f ca="1">IFERROR(__xludf.DUMMYFUNCTION("IF( H130,RANK(H130, FILTER(H$129:H$171, C$129:C$171 = C130), 1),"""")"),1)</f>
        <v>1</v>
      </c>
      <c r="M120" s="39">
        <v>6.3425925925925924E-3</v>
      </c>
      <c r="N120" s="19">
        <f t="shared" si="5"/>
        <v>3.1712962962962962E-3</v>
      </c>
      <c r="O120" s="18">
        <f t="shared" si="44"/>
        <v>6</v>
      </c>
      <c r="P120" s="18">
        <f ca="1">IFERROR(__xludf.DUMMYFUNCTION("IF( M130,RANK(M130, FILTER(M$129:M$171, C$129:C$171 = C130), 1),"""")"),3)</f>
        <v>3</v>
      </c>
      <c r="Q120" s="19">
        <f t="shared" si="7"/>
        <v>1.8368055555555554E-2</v>
      </c>
      <c r="R120" s="20">
        <f t="shared" si="8"/>
        <v>1.8368055555555554E-2</v>
      </c>
      <c r="S120" s="21">
        <f t="shared" si="45"/>
        <v>2</v>
      </c>
      <c r="T120" s="22" t="str">
        <f ca="1">IFERROR(__xludf.DUMMYFUNCTION("IF (S130 ,IF(S130 &gt; 3, RANK(Q130, FILTER(R$129:R$171, C$129:C$171 = C130,S$129:S$171 &gt; 3), 1),""""),"""")"),"")</f>
        <v/>
      </c>
      <c r="U120" s="41" t="str">
        <f t="shared" si="37"/>
        <v>Касперович Юлия</v>
      </c>
      <c r="V120" s="43">
        <f t="shared" si="38"/>
        <v>2.9166666666666668E-3</v>
      </c>
      <c r="W120" s="43">
        <f t="shared" si="39"/>
        <v>1.2025462962962963E-2</v>
      </c>
      <c r="X120" s="43">
        <f t="shared" si="40"/>
        <v>1.8368055555555554E-2</v>
      </c>
      <c r="Y120" s="42">
        <f t="shared" si="41"/>
        <v>0</v>
      </c>
      <c r="Z120" s="43">
        <f>Table1[[#Totals],[После плавания]]-V120</f>
        <v>5.798611111111112E-3</v>
      </c>
      <c r="AA120" s="43">
        <f>Table1[[#Totals],[После вело]]-W120</f>
        <v>8.2175925925925923E-3</v>
      </c>
      <c r="AB120" s="43">
        <f>Table1[[#Totals],[После бега]]-X120</f>
        <v>1.1909722222222224E-2</v>
      </c>
      <c r="AC120" s="40" t="s">
        <v>193</v>
      </c>
      <c r="AD120" s="45">
        <f>TIME(0,40,0)-Table1[[#This Row],[После вело]]</f>
        <v>1.5752314814814813E-2</v>
      </c>
    </row>
    <row r="121" spans="1:30" ht="13" x14ac:dyDescent="0.15">
      <c r="A121" s="36">
        <v>149</v>
      </c>
      <c r="B121" s="37" t="s">
        <v>143</v>
      </c>
      <c r="C121" s="38" t="s">
        <v>141</v>
      </c>
      <c r="D121" s="39">
        <v>2.9050925925925928E-3</v>
      </c>
      <c r="E121" s="14">
        <f t="shared" si="0"/>
        <v>9.6836419753086427E-4</v>
      </c>
      <c r="F121" s="15">
        <f t="shared" si="42"/>
        <v>2</v>
      </c>
      <c r="G121" s="15">
        <f ca="1">IFERROR(__xludf.DUMMYFUNCTION("IF( D131,RANK(D131, FILTER(D$129:D$171, C$129:C$171 = C131), 1),"""")"),2)</f>
        <v>2</v>
      </c>
      <c r="H121" s="39">
        <v>9.9074074074074082E-3</v>
      </c>
      <c r="I121" s="16">
        <f t="shared" si="2"/>
        <v>0.23777777777777781</v>
      </c>
      <c r="J121" s="17">
        <f t="shared" si="3"/>
        <v>33.644859813084111</v>
      </c>
      <c r="K121" s="18">
        <f t="shared" si="43"/>
        <v>12</v>
      </c>
      <c r="L121" s="18">
        <f ca="1">IFERROR(__xludf.DUMMYFUNCTION("IF( H131,RANK(H131, FILTER(H$129:H$171, C$129:C$171 = C131), 1),"""")"),5)</f>
        <v>5</v>
      </c>
      <c r="M121" s="39">
        <v>5.6134259259259262E-3</v>
      </c>
      <c r="N121" s="19">
        <f t="shared" si="5"/>
        <v>2.8067129629629631E-3</v>
      </c>
      <c r="O121" s="18">
        <f t="shared" si="44"/>
        <v>3</v>
      </c>
      <c r="P121" s="18">
        <f ca="1">IFERROR(__xludf.DUMMYFUNCTION("IF( M131,RANK(M131, FILTER(M$129:M$171, C$129:C$171 = C131), 1),"""")"),1)</f>
        <v>1</v>
      </c>
      <c r="Q121" s="19">
        <f t="shared" si="7"/>
        <v>1.8425925925925929E-2</v>
      </c>
      <c r="R121" s="20">
        <f t="shared" si="8"/>
        <v>1.8425925925925929E-2</v>
      </c>
      <c r="S121" s="21">
        <f t="shared" si="45"/>
        <v>3</v>
      </c>
      <c r="T121" s="22" t="str">
        <f ca="1">IFERROR(__xludf.DUMMYFUNCTION("IF (S131 ,IF(S131 &gt; 3, RANK(Q131, FILTER(R$129:R$171, C$129:C$171 = C131,S$129:S$171 &gt; 3), 1),""""),"""")"),"")</f>
        <v/>
      </c>
      <c r="U121" s="41" t="str">
        <f t="shared" si="37"/>
        <v>Дахно Татьяна</v>
      </c>
      <c r="V121" s="43">
        <f t="shared" si="38"/>
        <v>2.9050925925925928E-3</v>
      </c>
      <c r="W121" s="43">
        <f t="shared" si="39"/>
        <v>1.2812500000000001E-2</v>
      </c>
      <c r="X121" s="43">
        <f t="shared" si="40"/>
        <v>1.8425925925925929E-2</v>
      </c>
      <c r="Y121" s="42">
        <f t="shared" si="41"/>
        <v>0</v>
      </c>
      <c r="Z121" s="43">
        <f>Table1[[#Totals],[После плавания]]-V121</f>
        <v>5.8101851851851856E-3</v>
      </c>
      <c r="AA121" s="43">
        <f>Table1[[#Totals],[После вело]]-W121</f>
        <v>7.4305555555555548E-3</v>
      </c>
      <c r="AB121" s="43">
        <f>Table1[[#Totals],[После бега]]-X121</f>
        <v>1.185185185185185E-2</v>
      </c>
      <c r="AC121" s="40" t="s">
        <v>193</v>
      </c>
      <c r="AD121" s="45">
        <f>TIME(0,40,0)-Table1[[#This Row],[После вело]]</f>
        <v>1.4965277777777775E-2</v>
      </c>
    </row>
    <row r="122" spans="1:30" ht="13" x14ac:dyDescent="0.15">
      <c r="A122" s="36">
        <v>147</v>
      </c>
      <c r="B122" s="37" t="s">
        <v>144</v>
      </c>
      <c r="C122" s="38" t="s">
        <v>145</v>
      </c>
      <c r="D122" s="39">
        <v>3.6689814814814814E-3</v>
      </c>
      <c r="E122" s="14">
        <f t="shared" si="0"/>
        <v>1.2229938271604939E-3</v>
      </c>
      <c r="F122" s="15">
        <f t="shared" si="42"/>
        <v>8</v>
      </c>
      <c r="G122" s="15">
        <f ca="1">IFERROR(__xludf.DUMMYFUNCTION("IF( D132,RANK(D132, FILTER(D$129:D$171, C$129:C$171 = C132), 1),"""")"),2)</f>
        <v>2</v>
      </c>
      <c r="H122" s="39">
        <v>9.2592592592592587E-3</v>
      </c>
      <c r="I122" s="16">
        <f t="shared" si="2"/>
        <v>0.22222222222222221</v>
      </c>
      <c r="J122" s="17">
        <f t="shared" si="3"/>
        <v>36</v>
      </c>
      <c r="K122" s="18">
        <f t="shared" si="43"/>
        <v>5</v>
      </c>
      <c r="L122" s="18">
        <f ca="1">IFERROR(__xludf.DUMMYFUNCTION("IF( H132,RANK(H132, FILTER(H$129:H$171, C$129:C$171 = C132), 1),"""")"),4)</f>
        <v>4</v>
      </c>
      <c r="M122" s="39">
        <v>5.5787037037037038E-3</v>
      </c>
      <c r="N122" s="19">
        <f t="shared" si="5"/>
        <v>2.7893518518518519E-3</v>
      </c>
      <c r="O122" s="18">
        <f t="shared" si="44"/>
        <v>2</v>
      </c>
      <c r="P122" s="18">
        <f ca="1">IFERROR(__xludf.DUMMYFUNCTION("IF( M132,RANK(M132, FILTER(M$129:M$171, C$129:C$171 = C132), 1),"""")"),2)</f>
        <v>2</v>
      </c>
      <c r="Q122" s="19">
        <f t="shared" si="7"/>
        <v>1.8506944444444444E-2</v>
      </c>
      <c r="R122" s="20">
        <f t="shared" si="8"/>
        <v>1.8506944444444444E-2</v>
      </c>
      <c r="S122" s="21">
        <f t="shared" si="45"/>
        <v>4</v>
      </c>
      <c r="T122" s="22">
        <f ca="1">IFERROR(__xludf.DUMMYFUNCTION("IF (S132 ,IF(S132 &gt; 3, RANK(Q132, FILTER(R$129:R$171, C$129:C$171 = C132,S$129:S$171 &gt; 3), 1),""""),"""")"),1)</f>
        <v>1</v>
      </c>
      <c r="U122" s="41" t="str">
        <f t="shared" si="37"/>
        <v>Urubleuskaya Yuliya</v>
      </c>
      <c r="V122" s="43">
        <f t="shared" si="38"/>
        <v>3.6689814814814814E-3</v>
      </c>
      <c r="W122" s="43">
        <f t="shared" si="39"/>
        <v>1.292824074074074E-2</v>
      </c>
      <c r="X122" s="43">
        <f t="shared" si="40"/>
        <v>1.8506944444444444E-2</v>
      </c>
      <c r="Y122" s="42">
        <f t="shared" si="41"/>
        <v>0</v>
      </c>
      <c r="Z122" s="43">
        <f>Table1[[#Totals],[После плавания]]-V122</f>
        <v>5.046296296296297E-3</v>
      </c>
      <c r="AA122" s="43">
        <f>Table1[[#Totals],[После вело]]-W122</f>
        <v>7.3148148148148157E-3</v>
      </c>
      <c r="AB122" s="43">
        <f>Table1[[#Totals],[После бега]]-X122</f>
        <v>1.1770833333333335E-2</v>
      </c>
      <c r="AC122" s="40" t="s">
        <v>193</v>
      </c>
      <c r="AD122" s="45">
        <f>TIME(0,40,0)-Table1[[#This Row],[После вело]]</f>
        <v>1.4849537037037036E-2</v>
      </c>
    </row>
    <row r="123" spans="1:30" ht="13" x14ac:dyDescent="0.15">
      <c r="A123" s="36">
        <v>146</v>
      </c>
      <c r="B123" s="37" t="s">
        <v>146</v>
      </c>
      <c r="C123" s="38" t="s">
        <v>145</v>
      </c>
      <c r="D123" s="39">
        <v>4.0393518518518521E-3</v>
      </c>
      <c r="E123" s="14">
        <f t="shared" si="0"/>
        <v>1.3464506172839506E-3</v>
      </c>
      <c r="F123" s="15">
        <f t="shared" si="42"/>
        <v>14</v>
      </c>
      <c r="G123" s="15">
        <f ca="1">IFERROR(__xludf.DUMMYFUNCTION("IF( D133,RANK(D133, FILTER(D$129:D$171, C$129:C$171 = C133), 1),"""")"),5)</f>
        <v>5</v>
      </c>
      <c r="H123" s="39">
        <v>9.1319444444444443E-3</v>
      </c>
      <c r="I123" s="16">
        <f t="shared" si="2"/>
        <v>0.21916666666666668</v>
      </c>
      <c r="J123" s="17">
        <f t="shared" si="3"/>
        <v>36.50190114068441</v>
      </c>
      <c r="K123" s="18">
        <f t="shared" si="43"/>
        <v>2</v>
      </c>
      <c r="L123" s="18">
        <f ca="1">IFERROR(__xludf.DUMMYFUNCTION("IF( H133,RANK(H133, FILTER(H$129:H$171, C$129:C$171 = C133), 1),"""")"),1)</f>
        <v>1</v>
      </c>
      <c r="M123" s="39">
        <v>5.37037037037037E-3</v>
      </c>
      <c r="N123" s="19">
        <f t="shared" si="5"/>
        <v>2.685185185185185E-3</v>
      </c>
      <c r="O123" s="18">
        <f t="shared" si="44"/>
        <v>1</v>
      </c>
      <c r="P123" s="18">
        <f ca="1">IFERROR(__xludf.DUMMYFUNCTION("IF( M133,RANK(M133, FILTER(M$129:M$171, C$129:C$171 = C133), 1),"""")"),1)</f>
        <v>1</v>
      </c>
      <c r="Q123" s="19">
        <f t="shared" si="7"/>
        <v>1.8541666666666665E-2</v>
      </c>
      <c r="R123" s="20">
        <f t="shared" si="8"/>
        <v>1.8541666666666665E-2</v>
      </c>
      <c r="S123" s="21">
        <f t="shared" si="45"/>
        <v>5</v>
      </c>
      <c r="T123" s="22">
        <f ca="1">IFERROR(__xludf.DUMMYFUNCTION("IF (S133 ,IF(S133 &gt; 3, RANK(Q133, FILTER(R$129:R$171, C$129:C$171 = C133,S$129:S$171 &gt; 3), 1),""""),"""")"),2)</f>
        <v>2</v>
      </c>
      <c r="U123" s="41" t="str">
        <f t="shared" si="37"/>
        <v>Kudzelko Katsiaryna</v>
      </c>
      <c r="V123" s="43">
        <f t="shared" si="38"/>
        <v>4.0393518518518521E-3</v>
      </c>
      <c r="W123" s="43">
        <f t="shared" si="39"/>
        <v>1.3171296296296296E-2</v>
      </c>
      <c r="X123" s="43">
        <f t="shared" si="40"/>
        <v>1.8541666666666665E-2</v>
      </c>
      <c r="Y123" s="42">
        <f t="shared" si="41"/>
        <v>0</v>
      </c>
      <c r="Z123" s="43">
        <f>Table1[[#Totals],[После плавания]]-V123</f>
        <v>4.6759259259259263E-3</v>
      </c>
      <c r="AA123" s="43">
        <f>Table1[[#Totals],[После вело]]-W123</f>
        <v>7.0717592592592603E-3</v>
      </c>
      <c r="AB123" s="43">
        <f>Table1[[#Totals],[После бега]]-X123</f>
        <v>1.1736111111111114E-2</v>
      </c>
      <c r="AC123" s="40" t="s">
        <v>193</v>
      </c>
      <c r="AD123" s="45">
        <f>TIME(0,40,0)-Table1[[#This Row],[После вело]]</f>
        <v>1.4606481481481481E-2</v>
      </c>
    </row>
    <row r="124" spans="1:30" ht="13" x14ac:dyDescent="0.15">
      <c r="A124" s="36">
        <v>59</v>
      </c>
      <c r="B124" s="37" t="s">
        <v>147</v>
      </c>
      <c r="C124" s="38" t="s">
        <v>145</v>
      </c>
      <c r="D124" s="39">
        <v>3.5532407407407409E-3</v>
      </c>
      <c r="E124" s="14">
        <f t="shared" si="0"/>
        <v>1.1844135802469137E-3</v>
      </c>
      <c r="F124" s="15">
        <f t="shared" si="42"/>
        <v>6</v>
      </c>
      <c r="G124" s="15">
        <f ca="1">IFERROR(__xludf.DUMMYFUNCTION("IF( D134,RANK(D134, FILTER(D$129:D$171, C$129:C$171 = C134), 1),"""")"),1)</f>
        <v>1</v>
      </c>
      <c r="H124" s="39">
        <v>9.479166666666667E-3</v>
      </c>
      <c r="I124" s="16">
        <f t="shared" si="2"/>
        <v>0.22750000000000001</v>
      </c>
      <c r="J124" s="17">
        <f t="shared" si="3"/>
        <v>35.164835164835161</v>
      </c>
      <c r="K124" s="18">
        <f t="shared" si="43"/>
        <v>8</v>
      </c>
      <c r="L124" s="18">
        <f ca="1">IFERROR(__xludf.DUMMYFUNCTION("IF( H134,RANK(H134, FILTER(H$129:H$171, C$129:C$171 = C134), 1),"""")"),6)</f>
        <v>6</v>
      </c>
      <c r="M124" s="39">
        <v>6.9212962962962961E-3</v>
      </c>
      <c r="N124" s="19">
        <f t="shared" si="5"/>
        <v>3.460648148148148E-3</v>
      </c>
      <c r="O124" s="18">
        <f t="shared" si="44"/>
        <v>13</v>
      </c>
      <c r="P124" s="18">
        <f ca="1">IFERROR(__xludf.DUMMYFUNCTION("IF( M134,RANK(M134, FILTER(M$129:M$171, C$129:C$171 = C134), 1),"""")"),8)</f>
        <v>8</v>
      </c>
      <c r="Q124" s="19">
        <f t="shared" si="7"/>
        <v>1.9953703703703703E-2</v>
      </c>
      <c r="R124" s="20">
        <f t="shared" si="8"/>
        <v>1.9953703703703703E-2</v>
      </c>
      <c r="S124" s="21">
        <f t="shared" si="45"/>
        <v>6</v>
      </c>
      <c r="T124" s="22">
        <f ca="1">IFERROR(__xludf.DUMMYFUNCTION("IF (S134 ,IF(S134 &gt; 3, RANK(Q134, FILTER(R$129:R$171, C$129:C$171 = C134,S$129:S$171 &gt; 3), 1),""""),"""")"),3)</f>
        <v>3</v>
      </c>
      <c r="U124" s="41" t="str">
        <f t="shared" si="37"/>
        <v>Лютаревич Александра</v>
      </c>
      <c r="V124" s="43">
        <f t="shared" si="38"/>
        <v>3.5532407407407409E-3</v>
      </c>
      <c r="W124" s="43">
        <f t="shared" si="39"/>
        <v>1.3032407407407407E-2</v>
      </c>
      <c r="X124" s="43">
        <f t="shared" si="40"/>
        <v>1.9953703703703703E-2</v>
      </c>
      <c r="Y124" s="42">
        <f t="shared" si="41"/>
        <v>0</v>
      </c>
      <c r="Z124" s="43">
        <f>Table1[[#Totals],[После плавания]]-V124</f>
        <v>5.1620370370370379E-3</v>
      </c>
      <c r="AA124" s="43">
        <f>Table1[[#Totals],[После вело]]-W124</f>
        <v>7.2106481481481483E-3</v>
      </c>
      <c r="AB124" s="43">
        <f>Table1[[#Totals],[После бега]]-X124</f>
        <v>1.0324074074074076E-2</v>
      </c>
      <c r="AC124" s="40" t="s">
        <v>193</v>
      </c>
      <c r="AD124" s="45">
        <f>TIME(0,40,0)-Table1[[#This Row],[После вело]]</f>
        <v>1.4745370370370369E-2</v>
      </c>
    </row>
    <row r="125" spans="1:30" ht="13" x14ac:dyDescent="0.15">
      <c r="A125" s="36">
        <v>87</v>
      </c>
      <c r="B125" s="37" t="s">
        <v>148</v>
      </c>
      <c r="C125" s="38" t="s">
        <v>145</v>
      </c>
      <c r="D125" s="39">
        <v>3.6805555555555554E-3</v>
      </c>
      <c r="E125" s="14">
        <f t="shared" si="0"/>
        <v>1.2268518518518518E-3</v>
      </c>
      <c r="F125" s="15">
        <f t="shared" si="42"/>
        <v>9</v>
      </c>
      <c r="G125" s="15">
        <f ca="1">IFERROR(__xludf.DUMMYFUNCTION("IF( D135,RANK(D135, FILTER(D$129:D$171, C$129:C$171 = C135), 1),"""")"),3)</f>
        <v>3</v>
      </c>
      <c r="H125" s="39">
        <v>9.3865740740740732E-3</v>
      </c>
      <c r="I125" s="16">
        <f t="shared" si="2"/>
        <v>0.22527777777777774</v>
      </c>
      <c r="J125" s="17">
        <f t="shared" si="3"/>
        <v>35.511713933415542</v>
      </c>
      <c r="K125" s="18">
        <f t="shared" si="43"/>
        <v>7</v>
      </c>
      <c r="L125" s="18">
        <f ca="1">IFERROR(__xludf.DUMMYFUNCTION("IF( H135,RANK(H135, FILTER(H$129:H$171, C$129:C$171 = C135), 1),"""")"),5)</f>
        <v>5</v>
      </c>
      <c r="M125" s="39">
        <v>7.1412037037037034E-3</v>
      </c>
      <c r="N125" s="19">
        <f t="shared" si="5"/>
        <v>3.5706018518518517E-3</v>
      </c>
      <c r="O125" s="18">
        <f t="shared" si="44"/>
        <v>17</v>
      </c>
      <c r="P125" s="18">
        <f ca="1">IFERROR(__xludf.DUMMYFUNCTION("IF( M135,RANK(M135, FILTER(M$129:M$171, C$129:C$171 = C135), 1),"""")"),11)</f>
        <v>11</v>
      </c>
      <c r="Q125" s="19">
        <f t="shared" si="7"/>
        <v>2.0208333333333332E-2</v>
      </c>
      <c r="R125" s="20">
        <f t="shared" si="8"/>
        <v>2.0208333333333332E-2</v>
      </c>
      <c r="S125" s="21">
        <f t="shared" si="45"/>
        <v>7</v>
      </c>
      <c r="T125" s="22">
        <f ca="1">IFERROR(__xludf.DUMMYFUNCTION("IF (S135 ,IF(S135 &gt; 3, RANK(Q135, FILTER(R$129:R$171, C$129:C$171 = C135,S$129:S$171 &gt; 3), 1),""""),"""")"),4)</f>
        <v>4</v>
      </c>
      <c r="U125" s="41" t="str">
        <f t="shared" si="37"/>
        <v>Клебанович Виктория</v>
      </c>
      <c r="V125" s="43">
        <f t="shared" si="38"/>
        <v>3.6805555555555554E-3</v>
      </c>
      <c r="W125" s="43">
        <f t="shared" si="39"/>
        <v>1.3067129629629628E-2</v>
      </c>
      <c r="X125" s="43">
        <f t="shared" si="40"/>
        <v>2.0208333333333332E-2</v>
      </c>
      <c r="Y125" s="42">
        <f t="shared" si="41"/>
        <v>0</v>
      </c>
      <c r="Z125" s="43">
        <f>Table1[[#Totals],[После плавания]]-V125</f>
        <v>5.0347222222222234E-3</v>
      </c>
      <c r="AA125" s="43">
        <f>Table1[[#Totals],[После вело]]-W125</f>
        <v>7.1759259259259276E-3</v>
      </c>
      <c r="AB125" s="43">
        <f>Table1[[#Totals],[После бега]]-X125</f>
        <v>1.0069444444444447E-2</v>
      </c>
      <c r="AC125" s="40" t="s">
        <v>193</v>
      </c>
      <c r="AD125" s="45">
        <f>TIME(0,40,0)-Table1[[#This Row],[После вело]]</f>
        <v>1.4710648148148148E-2</v>
      </c>
    </row>
    <row r="126" spans="1:30" ht="13" x14ac:dyDescent="0.15">
      <c r="A126" s="36">
        <v>86</v>
      </c>
      <c r="B126" s="37" t="s">
        <v>149</v>
      </c>
      <c r="C126" s="38" t="s">
        <v>145</v>
      </c>
      <c r="D126" s="39">
        <v>4.4675925925925924E-3</v>
      </c>
      <c r="E126" s="14">
        <f t="shared" si="0"/>
        <v>1.4891975308641975E-3</v>
      </c>
      <c r="F126" s="15">
        <f t="shared" si="42"/>
        <v>23</v>
      </c>
      <c r="G126" s="15">
        <f ca="1">IFERROR(__xludf.DUMMYFUNCTION("IF( D136,RANK(D136, FILTER(D$129:D$171, C$129:C$171 = C136), 1),"""")"),11)</f>
        <v>11</v>
      </c>
      <c r="H126" s="39">
        <v>9.1319444444444443E-3</v>
      </c>
      <c r="I126" s="16">
        <f t="shared" si="2"/>
        <v>0.21916666666666668</v>
      </c>
      <c r="J126" s="17">
        <f t="shared" si="3"/>
        <v>36.50190114068441</v>
      </c>
      <c r="K126" s="18">
        <f t="shared" si="43"/>
        <v>2</v>
      </c>
      <c r="L126" s="18">
        <f ca="1">IFERROR(__xludf.DUMMYFUNCTION("IF( H136,RANK(H136, FILTER(H$129:H$171, C$129:C$171 = C136), 1),"""")"),1)</f>
        <v>1</v>
      </c>
      <c r="M126" s="39">
        <v>6.6782407407407407E-3</v>
      </c>
      <c r="N126" s="19">
        <f t="shared" si="5"/>
        <v>3.3391203703703703E-3</v>
      </c>
      <c r="O126" s="18">
        <f t="shared" si="44"/>
        <v>9</v>
      </c>
      <c r="P126" s="18">
        <f ca="1">IFERROR(__xludf.DUMMYFUNCTION("IF( M136,RANK(M136, FILTER(M$129:M$171, C$129:C$171 = C136), 1),"""")"),4)</f>
        <v>4</v>
      </c>
      <c r="Q126" s="19">
        <f t="shared" si="7"/>
        <v>2.0277777777777777E-2</v>
      </c>
      <c r="R126" s="20">
        <f t="shared" si="8"/>
        <v>2.0277777777777777E-2</v>
      </c>
      <c r="S126" s="21">
        <f t="shared" si="45"/>
        <v>8</v>
      </c>
      <c r="T126" s="22">
        <f ca="1">IFERROR(__xludf.DUMMYFUNCTION("IF (S136 ,IF(S136 &gt; 3, RANK(Q136, FILTER(R$129:R$171, C$129:C$171 = C136,S$129:S$171 &gt; 3), 1),""""),"""")"),5)</f>
        <v>5</v>
      </c>
      <c r="U126" s="41" t="str">
        <f t="shared" si="37"/>
        <v>Вечорко Елена</v>
      </c>
      <c r="V126" s="43">
        <f t="shared" si="38"/>
        <v>4.4675925925925924E-3</v>
      </c>
      <c r="W126" s="43">
        <f t="shared" si="39"/>
        <v>1.3599537037037037E-2</v>
      </c>
      <c r="X126" s="43">
        <f t="shared" si="40"/>
        <v>2.0277777777777777E-2</v>
      </c>
      <c r="Y126" s="42">
        <f t="shared" si="41"/>
        <v>0</v>
      </c>
      <c r="Z126" s="43">
        <f>Table1[[#Totals],[После плавания]]-V126</f>
        <v>4.2476851851851859E-3</v>
      </c>
      <c r="AA126" s="43">
        <f>Table1[[#Totals],[После вело]]-W126</f>
        <v>6.6435185185185191E-3</v>
      </c>
      <c r="AB126" s="43">
        <f>Table1[[#Totals],[После бега]]-X126</f>
        <v>1.0000000000000002E-2</v>
      </c>
      <c r="AC126" s="40" t="s">
        <v>193</v>
      </c>
      <c r="AD126" s="45">
        <f>TIME(0,40,0)-Table1[[#This Row],[После вело]]</f>
        <v>1.417824074074074E-2</v>
      </c>
    </row>
    <row r="127" spans="1:30" ht="13" x14ac:dyDescent="0.15">
      <c r="A127" s="36">
        <v>145</v>
      </c>
      <c r="B127" s="37" t="s">
        <v>150</v>
      </c>
      <c r="C127" s="38" t="s">
        <v>141</v>
      </c>
      <c r="D127" s="39">
        <v>4.2129629629629626E-3</v>
      </c>
      <c r="E127" s="14">
        <f t="shared" si="0"/>
        <v>1.4043209876543209E-3</v>
      </c>
      <c r="F127" s="15">
        <f t="shared" si="42"/>
        <v>17</v>
      </c>
      <c r="G127" s="15">
        <f ca="1">IFERROR(__xludf.DUMMYFUNCTION("IF( D137,RANK(D137, FILTER(D$129:D$171, C$129:C$171 = C137), 1),"""")"),11)</f>
        <v>11</v>
      </c>
      <c r="H127" s="39">
        <v>9.8495370370370369E-3</v>
      </c>
      <c r="I127" s="16">
        <f t="shared" si="2"/>
        <v>0.23638888888888887</v>
      </c>
      <c r="J127" s="17">
        <f t="shared" si="3"/>
        <v>33.84253819036428</v>
      </c>
      <c r="K127" s="18">
        <f t="shared" si="43"/>
        <v>11</v>
      </c>
      <c r="L127" s="18">
        <f ca="1">IFERROR(__xludf.DUMMYFUNCTION("IF( H137,RANK(H137, FILTER(H$129:H$171, C$129:C$171 = C137), 1),"""")"),4)</f>
        <v>4</v>
      </c>
      <c r="M127" s="39">
        <v>6.5277777777777782E-3</v>
      </c>
      <c r="N127" s="19">
        <f t="shared" si="5"/>
        <v>3.2638888888888891E-3</v>
      </c>
      <c r="O127" s="18">
        <f t="shared" si="44"/>
        <v>8</v>
      </c>
      <c r="P127" s="18">
        <f ca="1">IFERROR(__xludf.DUMMYFUNCTION("IF( M137,RANK(M137, FILTER(M$129:M$171, C$129:C$171 = C137), 1),"""")"),5)</f>
        <v>5</v>
      </c>
      <c r="Q127" s="19">
        <f t="shared" si="7"/>
        <v>2.0590277777777777E-2</v>
      </c>
      <c r="R127" s="20">
        <f t="shared" si="8"/>
        <v>2.0590277777777777E-2</v>
      </c>
      <c r="S127" s="21">
        <f t="shared" si="45"/>
        <v>9</v>
      </c>
      <c r="T127" s="22">
        <f ca="1">IFERROR(__xludf.DUMMYFUNCTION("IF (S137 ,IF(S137 &gt; 3, RANK(Q137, FILTER(R$129:R$171, C$129:C$171 = C137,S$129:S$171 &gt; 3), 1),""""),"""")"),1)</f>
        <v>1</v>
      </c>
      <c r="U127" s="41" t="str">
        <f t="shared" si="37"/>
        <v>Cheremisinova Anna</v>
      </c>
      <c r="V127" s="43">
        <f t="shared" si="38"/>
        <v>4.2129629629629626E-3</v>
      </c>
      <c r="W127" s="43">
        <f t="shared" si="39"/>
        <v>1.4062499999999999E-2</v>
      </c>
      <c r="X127" s="43">
        <f t="shared" si="40"/>
        <v>2.0590277777777777E-2</v>
      </c>
      <c r="Y127" s="42">
        <f t="shared" si="41"/>
        <v>0</v>
      </c>
      <c r="Z127" s="43">
        <f>Table1[[#Totals],[После плавания]]-V127</f>
        <v>4.5023148148148158E-3</v>
      </c>
      <c r="AA127" s="43">
        <f>Table1[[#Totals],[После вело]]-W127</f>
        <v>6.1805555555555572E-3</v>
      </c>
      <c r="AB127" s="43">
        <f>Table1[[#Totals],[После бега]]-X127</f>
        <v>9.6875000000000017E-3</v>
      </c>
      <c r="AC127" s="40" t="s">
        <v>193</v>
      </c>
      <c r="AD127" s="45">
        <f>TIME(0,40,0)-Table1[[#This Row],[После вело]]</f>
        <v>1.3715277777777778E-2</v>
      </c>
    </row>
    <row r="128" spans="1:30" ht="13" x14ac:dyDescent="0.15">
      <c r="A128" s="36">
        <v>82</v>
      </c>
      <c r="B128" s="37" t="s">
        <v>151</v>
      </c>
      <c r="C128" s="38" t="s">
        <v>145</v>
      </c>
      <c r="D128" s="39">
        <v>4.1550925925925922E-3</v>
      </c>
      <c r="E128" s="14">
        <f t="shared" si="0"/>
        <v>1.3850308641975308E-3</v>
      </c>
      <c r="F128" s="15">
        <f t="shared" si="42"/>
        <v>16</v>
      </c>
      <c r="G128" s="15">
        <f ca="1">IFERROR(__xludf.DUMMYFUNCTION("IF( D138,RANK(D138, FILTER(D$129:D$171, C$129:C$171 = C138), 1),"""")"),6)</f>
        <v>6</v>
      </c>
      <c r="H128" s="39">
        <v>9.7569444444444448E-3</v>
      </c>
      <c r="I128" s="16">
        <f t="shared" si="2"/>
        <v>0.23416666666666669</v>
      </c>
      <c r="J128" s="17">
        <f t="shared" si="3"/>
        <v>34.163701067615655</v>
      </c>
      <c r="K128" s="18">
        <f t="shared" si="43"/>
        <v>10</v>
      </c>
      <c r="L128" s="18">
        <f ca="1">IFERROR(__xludf.DUMMYFUNCTION("IF( H138,RANK(H138, FILTER(H$129:H$171, C$129:C$171 = C138), 1),"""")"),7)</f>
        <v>7</v>
      </c>
      <c r="M128" s="39">
        <v>6.828703703703704E-3</v>
      </c>
      <c r="N128" s="19">
        <f t="shared" si="5"/>
        <v>3.414351851851852E-3</v>
      </c>
      <c r="O128" s="18">
        <f t="shared" si="44"/>
        <v>11</v>
      </c>
      <c r="P128" s="18">
        <f ca="1">IFERROR(__xludf.DUMMYFUNCTION("IF( M138,RANK(M138, FILTER(M$129:M$171, C$129:C$171 = C138), 1),"""")"),6)</f>
        <v>6</v>
      </c>
      <c r="Q128" s="19">
        <f t="shared" si="7"/>
        <v>2.074074074074074E-2</v>
      </c>
      <c r="R128" s="20">
        <f t="shared" si="8"/>
        <v>2.074074074074074E-2</v>
      </c>
      <c r="S128" s="21">
        <f t="shared" si="45"/>
        <v>10</v>
      </c>
      <c r="T128" s="22">
        <f ca="1">IFERROR(__xludf.DUMMYFUNCTION("IF (S138 ,IF(S138 &gt; 3, RANK(Q138, FILTER(R$129:R$171, C$129:C$171 = C138,S$129:S$171 &gt; 3), 1),""""),"""")"),6)</f>
        <v>6</v>
      </c>
      <c r="U128" s="41" t="str">
        <f t="shared" si="37"/>
        <v>Викентьева Елена</v>
      </c>
      <c r="V128" s="43">
        <f t="shared" si="38"/>
        <v>4.1550925925925922E-3</v>
      </c>
      <c r="W128" s="43">
        <f t="shared" si="39"/>
        <v>1.3912037037037037E-2</v>
      </c>
      <c r="X128" s="43">
        <f t="shared" si="40"/>
        <v>2.074074074074074E-2</v>
      </c>
      <c r="Y128" s="42">
        <f t="shared" si="41"/>
        <v>0</v>
      </c>
      <c r="Z128" s="43">
        <f>Table1[[#Totals],[После плавания]]-V128</f>
        <v>4.5601851851851862E-3</v>
      </c>
      <c r="AA128" s="43">
        <f>Table1[[#Totals],[После вело]]-W128</f>
        <v>6.3310185185185188E-3</v>
      </c>
      <c r="AB128" s="43">
        <f>Table1[[#Totals],[После бега]]-X128</f>
        <v>9.5370370370370383E-3</v>
      </c>
      <c r="AC128" s="40" t="s">
        <v>193</v>
      </c>
      <c r="AD128" s="45">
        <f>TIME(0,40,0)-Table1[[#This Row],[После вело]]</f>
        <v>1.3865740740740739E-2</v>
      </c>
    </row>
    <row r="129" spans="1:30" ht="13" x14ac:dyDescent="0.15">
      <c r="A129" s="36">
        <v>72</v>
      </c>
      <c r="B129" s="37" t="s">
        <v>152</v>
      </c>
      <c r="C129" s="38" t="s">
        <v>145</v>
      </c>
      <c r="D129" s="39">
        <v>4.8263888888888887E-3</v>
      </c>
      <c r="E129" s="14">
        <f t="shared" si="0"/>
        <v>1.6087962962962963E-3</v>
      </c>
      <c r="F129" s="15">
        <f t="shared" si="42"/>
        <v>31</v>
      </c>
      <c r="G129" s="15">
        <f ca="1">IFERROR(__xludf.DUMMYFUNCTION("IF( D139,RANK(D139, FILTER(D$129:D$171, C$129:C$171 = C139), 1),"""")"),14)</f>
        <v>14</v>
      </c>
      <c r="H129" s="39">
        <v>9.1898148148148156E-3</v>
      </c>
      <c r="I129" s="16">
        <f t="shared" si="2"/>
        <v>0.22055555555555556</v>
      </c>
      <c r="J129" s="17">
        <f t="shared" si="3"/>
        <v>36.272040302267001</v>
      </c>
      <c r="K129" s="18">
        <f t="shared" si="43"/>
        <v>4</v>
      </c>
      <c r="L129" s="18">
        <f ca="1">IFERROR(__xludf.DUMMYFUNCTION("IF( H139,RANK(H139, FILTER(H$129:H$171, C$129:C$171 = C139), 1),"""")"),3)</f>
        <v>3</v>
      </c>
      <c r="M129" s="39">
        <v>6.875E-3</v>
      </c>
      <c r="N129" s="19">
        <f t="shared" si="5"/>
        <v>3.4375E-3</v>
      </c>
      <c r="O129" s="18">
        <f t="shared" si="44"/>
        <v>12</v>
      </c>
      <c r="P129" s="18">
        <f ca="1">IFERROR(__xludf.DUMMYFUNCTION("IF( M139,RANK(M139, FILTER(M$129:M$171, C$129:C$171 = C139), 1),"""")"),7)</f>
        <v>7</v>
      </c>
      <c r="Q129" s="19">
        <f t="shared" si="7"/>
        <v>2.0891203703703703E-2</v>
      </c>
      <c r="R129" s="20">
        <f t="shared" si="8"/>
        <v>2.0891203703703703E-2</v>
      </c>
      <c r="S129" s="21">
        <f t="shared" si="45"/>
        <v>11</v>
      </c>
      <c r="T129" s="22">
        <f ca="1">IFERROR(__xludf.DUMMYFUNCTION("IF (S139 ,IF(S139 &gt; 3, RANK(Q139, FILTER(R$129:R$171, C$129:C$171 = C139,S$129:S$171 &gt; 3), 1),""""),"""")"),7)</f>
        <v>7</v>
      </c>
      <c r="U129" s="41" t="str">
        <f t="shared" si="37"/>
        <v>Михайлова Татьяна</v>
      </c>
      <c r="V129" s="43">
        <f t="shared" si="38"/>
        <v>4.8263888888888887E-3</v>
      </c>
      <c r="W129" s="43">
        <f t="shared" si="39"/>
        <v>1.4016203703703704E-2</v>
      </c>
      <c r="X129" s="43">
        <f t="shared" si="40"/>
        <v>2.0891203703703703E-2</v>
      </c>
      <c r="Y129" s="42">
        <f t="shared" si="41"/>
        <v>0</v>
      </c>
      <c r="Z129" s="43">
        <f>Table1[[#Totals],[После плавания]]-V129</f>
        <v>3.8888888888888896E-3</v>
      </c>
      <c r="AA129" s="43">
        <f>Table1[[#Totals],[После вело]]-W129</f>
        <v>6.2268518518518515E-3</v>
      </c>
      <c r="AB129" s="43">
        <f>Table1[[#Totals],[После бега]]-X129</f>
        <v>9.386574074074075E-3</v>
      </c>
      <c r="AC129" s="40" t="s">
        <v>193</v>
      </c>
      <c r="AD129" s="45">
        <f>TIME(0,40,0)-Table1[[#This Row],[После вело]]</f>
        <v>1.3761574074074072E-2</v>
      </c>
    </row>
    <row r="130" spans="1:30" ht="13" x14ac:dyDescent="0.15">
      <c r="A130" s="36">
        <v>73</v>
      </c>
      <c r="B130" s="37" t="s">
        <v>153</v>
      </c>
      <c r="C130" s="38" t="s">
        <v>141</v>
      </c>
      <c r="D130" s="39">
        <v>4.1203703703703706E-3</v>
      </c>
      <c r="E130" s="14">
        <f t="shared" si="0"/>
        <v>1.3734567901234568E-3</v>
      </c>
      <c r="F130" s="15">
        <f t="shared" si="42"/>
        <v>15</v>
      </c>
      <c r="G130" s="15">
        <f ca="1">IFERROR(__xludf.DUMMYFUNCTION("IF( D140,RANK(D140, FILTER(D$129:D$171, C$129:C$171 = C140), 1),"""")"),10)</f>
        <v>10</v>
      </c>
      <c r="H130" s="39">
        <v>9.525462962962963E-3</v>
      </c>
      <c r="I130" s="16">
        <f t="shared" si="2"/>
        <v>0.2286111111111111</v>
      </c>
      <c r="J130" s="17">
        <f t="shared" si="3"/>
        <v>34.993924665856625</v>
      </c>
      <c r="K130" s="18">
        <f t="shared" si="43"/>
        <v>9</v>
      </c>
      <c r="L130" s="18">
        <f ca="1">IFERROR(__xludf.DUMMYFUNCTION("IF( H140,RANK(H140, FILTER(H$129:H$171, C$129:C$171 = C140), 1),"""")"),3)</f>
        <v>3</v>
      </c>
      <c r="M130" s="39">
        <v>7.4421296296296293E-3</v>
      </c>
      <c r="N130" s="19">
        <f t="shared" si="5"/>
        <v>3.7210648148148146E-3</v>
      </c>
      <c r="O130" s="18">
        <f t="shared" si="44"/>
        <v>23</v>
      </c>
      <c r="P130" s="18">
        <f ca="1">IFERROR(__xludf.DUMMYFUNCTION("IF( M140,RANK(M140, FILTER(M$129:M$171, C$129:C$171 = C140), 1),"""")"),10)</f>
        <v>10</v>
      </c>
      <c r="Q130" s="19">
        <f t="shared" si="7"/>
        <v>2.1087962962962961E-2</v>
      </c>
      <c r="R130" s="20">
        <f t="shared" si="8"/>
        <v>2.1087962962962961E-2</v>
      </c>
      <c r="S130" s="21">
        <f t="shared" si="45"/>
        <v>12</v>
      </c>
      <c r="T130" s="22">
        <f ca="1">IFERROR(__xludf.DUMMYFUNCTION("IF (S140 ,IF(S140 &gt; 3, RANK(Q140, FILTER(R$129:R$171, C$129:C$171 = C140,S$129:S$171 &gt; 3), 1),""""),"""")"),2)</f>
        <v>2</v>
      </c>
      <c r="U130" s="41" t="str">
        <f t="shared" si="37"/>
        <v>Ковалева Диана</v>
      </c>
      <c r="V130" s="43">
        <f t="shared" si="38"/>
        <v>4.1203703703703706E-3</v>
      </c>
      <c r="W130" s="43">
        <f t="shared" si="39"/>
        <v>1.3645833333333333E-2</v>
      </c>
      <c r="X130" s="43">
        <f t="shared" si="40"/>
        <v>2.1087962962962961E-2</v>
      </c>
      <c r="Y130" s="42">
        <f t="shared" si="41"/>
        <v>0</v>
      </c>
      <c r="Z130" s="43">
        <f>Table1[[#Totals],[После плавания]]-V130</f>
        <v>4.5949074074074078E-3</v>
      </c>
      <c r="AA130" s="43">
        <f>Table1[[#Totals],[После вело]]-W130</f>
        <v>6.5972222222222231E-3</v>
      </c>
      <c r="AB130" s="43">
        <f>Table1[[#Totals],[После бега]]-X130</f>
        <v>9.1898148148148173E-3</v>
      </c>
      <c r="AC130" s="40" t="s">
        <v>193</v>
      </c>
      <c r="AD130" s="45">
        <f>TIME(0,40,0)-Table1[[#This Row],[После вело]]</f>
        <v>1.4131944444444444E-2</v>
      </c>
    </row>
    <row r="131" spans="1:30" ht="13" x14ac:dyDescent="0.15">
      <c r="A131" s="36">
        <v>58</v>
      </c>
      <c r="B131" s="37" t="s">
        <v>154</v>
      </c>
      <c r="C131" s="38" t="s">
        <v>141</v>
      </c>
      <c r="D131" s="39">
        <v>4.340277777777778E-3</v>
      </c>
      <c r="E131" s="14">
        <f t="shared" si="0"/>
        <v>1.4467592592592594E-3</v>
      </c>
      <c r="F131" s="15">
        <f t="shared" si="42"/>
        <v>19</v>
      </c>
      <c r="G131" s="15">
        <f ca="1">IFERROR(__xludf.DUMMYFUNCTION("IF( D141,RANK(D141, FILTER(D$129:D$171, C$129:C$171 = C141), 1),"""")"),12)</f>
        <v>12</v>
      </c>
      <c r="H131" s="39">
        <v>1.0347222222222223E-2</v>
      </c>
      <c r="I131" s="16">
        <f t="shared" si="2"/>
        <v>0.24833333333333335</v>
      </c>
      <c r="J131" s="17">
        <f t="shared" si="3"/>
        <v>32.214765100671137</v>
      </c>
      <c r="K131" s="18">
        <f t="shared" si="43"/>
        <v>18</v>
      </c>
      <c r="L131" s="18">
        <f ca="1">IFERROR(__xludf.DUMMYFUNCTION("IF( H141,RANK(H141, FILTER(H$129:H$171, C$129:C$171 = C141), 1),"""")"),9)</f>
        <v>9</v>
      </c>
      <c r="M131" s="39">
        <v>6.4930555555555557E-3</v>
      </c>
      <c r="N131" s="19">
        <f t="shared" si="5"/>
        <v>3.2465277777777779E-3</v>
      </c>
      <c r="O131" s="18">
        <f t="shared" si="44"/>
        <v>7</v>
      </c>
      <c r="P131" s="18">
        <f ca="1">IFERROR(__xludf.DUMMYFUNCTION("IF( M141,RANK(M141, FILTER(M$129:M$171, C$129:C$171 = C141), 1),"""")"),4)</f>
        <v>4</v>
      </c>
      <c r="Q131" s="19">
        <f t="shared" si="7"/>
        <v>2.1180555555555557E-2</v>
      </c>
      <c r="R131" s="20">
        <f t="shared" si="8"/>
        <v>2.1180555555555557E-2</v>
      </c>
      <c r="S131" s="21">
        <f t="shared" si="45"/>
        <v>13</v>
      </c>
      <c r="T131" s="22">
        <f ca="1">IFERROR(__xludf.DUMMYFUNCTION("IF (S141 ,IF(S141 &gt; 3, RANK(Q141, FILTER(R$129:R$171, C$129:C$171 = C141,S$129:S$171 &gt; 3), 1),""""),"""")"),3)</f>
        <v>3</v>
      </c>
      <c r="U131" s="41" t="str">
        <f t="shared" ref="U131:U160" si="46">B131</f>
        <v>Лапко Анастасия</v>
      </c>
      <c r="V131" s="43">
        <f t="shared" ref="V131:V160" si="47">D131</f>
        <v>4.340277777777778E-3</v>
      </c>
      <c r="W131" s="43">
        <f t="shared" ref="W131:W162" si="48">SUM(V131,H131)</f>
        <v>1.4687500000000001E-2</v>
      </c>
      <c r="X131" s="43">
        <f t="shared" ref="X131:X162" si="49">SUM(W131,M131)</f>
        <v>2.1180555555555557E-2</v>
      </c>
      <c r="Y131" s="42">
        <f t="shared" ref="Y131:Y160" si="50">TIME(0,0,0)</f>
        <v>0</v>
      </c>
      <c r="Z131" s="43">
        <f>Table1[[#Totals],[После плавания]]-V131</f>
        <v>4.3750000000000004E-3</v>
      </c>
      <c r="AA131" s="43">
        <f>Table1[[#Totals],[После вело]]-W131</f>
        <v>5.5555555555555549E-3</v>
      </c>
      <c r="AB131" s="43">
        <f>Table1[[#Totals],[После бега]]-X131</f>
        <v>9.0972222222222218E-3</v>
      </c>
      <c r="AC131" s="40" t="s">
        <v>193</v>
      </c>
      <c r="AD131" s="45">
        <f>TIME(0,40,0)-Table1[[#This Row],[После вело]]</f>
        <v>1.3090277777777775E-2</v>
      </c>
    </row>
    <row r="132" spans="1:30" ht="13" x14ac:dyDescent="0.15">
      <c r="A132" s="36">
        <v>84</v>
      </c>
      <c r="B132" s="37" t="s">
        <v>155</v>
      </c>
      <c r="C132" s="38" t="s">
        <v>145</v>
      </c>
      <c r="D132" s="39">
        <v>4.31712962962963E-3</v>
      </c>
      <c r="E132" s="14">
        <f t="shared" si="0"/>
        <v>1.4390432098765433E-3</v>
      </c>
      <c r="F132" s="15">
        <f t="shared" si="42"/>
        <v>18</v>
      </c>
      <c r="G132" s="15">
        <f ca="1">IFERROR(__xludf.DUMMYFUNCTION("IF( D142,RANK(D142, FILTER(D$129:D$171, C$129:C$171 = C142), 1),"""")"),7)</f>
        <v>7</v>
      </c>
      <c r="H132" s="39">
        <v>1.1284722222222222E-2</v>
      </c>
      <c r="I132" s="16">
        <f t="shared" si="2"/>
        <v>0.27083333333333331</v>
      </c>
      <c r="J132" s="17">
        <f t="shared" si="3"/>
        <v>29.53846153846154</v>
      </c>
      <c r="K132" s="18">
        <f t="shared" si="43"/>
        <v>28</v>
      </c>
      <c r="L132" s="18">
        <f ca="1">IFERROR(__xludf.DUMMYFUNCTION("IF( H142,RANK(H142, FILTER(H$129:H$171, C$129:C$171 = C142), 1),"""")"),13)</f>
        <v>13</v>
      </c>
      <c r="M132" s="39">
        <v>5.7638888888888887E-3</v>
      </c>
      <c r="N132" s="19">
        <f t="shared" si="5"/>
        <v>2.8819444444444444E-3</v>
      </c>
      <c r="O132" s="18">
        <f t="shared" si="44"/>
        <v>4</v>
      </c>
      <c r="P132" s="18">
        <f ca="1">IFERROR(__xludf.DUMMYFUNCTION("IF( M142,RANK(M142, FILTER(M$129:M$171, C$129:C$171 = C142), 1),"""")"),3)</f>
        <v>3</v>
      </c>
      <c r="Q132" s="19">
        <f t="shared" si="7"/>
        <v>2.1365740740740741E-2</v>
      </c>
      <c r="R132" s="20">
        <f t="shared" si="8"/>
        <v>2.1365740740740741E-2</v>
      </c>
      <c r="S132" s="21">
        <f t="shared" si="45"/>
        <v>14</v>
      </c>
      <c r="T132" s="22">
        <f ca="1">IFERROR(__xludf.DUMMYFUNCTION("IF (S142 ,IF(S142 &gt; 3, RANK(Q142, FILTER(R$129:R$171, C$129:C$171 = C142,S$129:S$171 &gt; 3), 1),""""),"""")"),8)</f>
        <v>8</v>
      </c>
      <c r="U132" s="41" t="str">
        <f t="shared" si="46"/>
        <v>Зубович Евгения</v>
      </c>
      <c r="V132" s="43">
        <f t="shared" si="47"/>
        <v>4.31712962962963E-3</v>
      </c>
      <c r="W132" s="43">
        <f t="shared" si="48"/>
        <v>1.5601851851851853E-2</v>
      </c>
      <c r="X132" s="43">
        <f t="shared" si="49"/>
        <v>2.1365740740740741E-2</v>
      </c>
      <c r="Y132" s="42">
        <f t="shared" si="50"/>
        <v>0</v>
      </c>
      <c r="Z132" s="43">
        <f>Table1[[#Totals],[После плавания]]-V132</f>
        <v>4.3981481481481484E-3</v>
      </c>
      <c r="AA132" s="43">
        <f>Table1[[#Totals],[После вело]]-W132</f>
        <v>4.6412037037037029E-3</v>
      </c>
      <c r="AB132" s="43">
        <f>Table1[[#Totals],[После бега]]-X132</f>
        <v>8.9120370370370378E-3</v>
      </c>
      <c r="AC132" s="40" t="s">
        <v>193</v>
      </c>
      <c r="AD132" s="45">
        <f>TIME(0,40,0)-Table1[[#This Row],[После вело]]</f>
        <v>1.2175925925925923E-2</v>
      </c>
    </row>
    <row r="133" spans="1:30" ht="13" x14ac:dyDescent="0.15">
      <c r="A133" s="36">
        <v>79</v>
      </c>
      <c r="B133" s="37" t="s">
        <v>156</v>
      </c>
      <c r="C133" s="38" t="s">
        <v>141</v>
      </c>
      <c r="D133" s="39">
        <v>2.9976851851851853E-3</v>
      </c>
      <c r="E133" s="14">
        <f t="shared" si="0"/>
        <v>9.9922839506172835E-4</v>
      </c>
      <c r="F133" s="15">
        <f t="shared" si="42"/>
        <v>4</v>
      </c>
      <c r="G133" s="15">
        <f ca="1">IFERROR(__xludf.DUMMYFUNCTION("IF( D143,RANK(D143, FILTER(D$129:D$171, C$129:C$171 = C143), 1),"""")"),4)</f>
        <v>4</v>
      </c>
      <c r="H133" s="39">
        <v>1.1203703703703704E-2</v>
      </c>
      <c r="I133" s="16">
        <f t="shared" si="2"/>
        <v>0.2688888888888889</v>
      </c>
      <c r="J133" s="17">
        <f t="shared" si="3"/>
        <v>29.75206611570248</v>
      </c>
      <c r="K133" s="18">
        <f t="shared" si="43"/>
        <v>27</v>
      </c>
      <c r="L133" s="18">
        <f ca="1">IFERROR(__xludf.DUMMYFUNCTION("IF( H143,RANK(H143, FILTER(H$129:H$171, C$129:C$171 = C143), 1),"""")"),15)</f>
        <v>15</v>
      </c>
      <c r="M133" s="39">
        <v>7.1759259259259259E-3</v>
      </c>
      <c r="N133" s="19">
        <f t="shared" si="5"/>
        <v>3.5879629629629629E-3</v>
      </c>
      <c r="O133" s="18">
        <f t="shared" si="44"/>
        <v>18</v>
      </c>
      <c r="P133" s="18">
        <f ca="1">IFERROR(__xludf.DUMMYFUNCTION("IF( M143,RANK(M143, FILTER(M$129:M$171, C$129:C$171 = C143), 1),"""")"),7)</f>
        <v>7</v>
      </c>
      <c r="Q133" s="19">
        <f t="shared" si="7"/>
        <v>2.1377314814814814E-2</v>
      </c>
      <c r="R133" s="20">
        <f t="shared" si="8"/>
        <v>2.1377314814814814E-2</v>
      </c>
      <c r="S133" s="21">
        <f t="shared" si="45"/>
        <v>15</v>
      </c>
      <c r="T133" s="22">
        <f ca="1">IFERROR(__xludf.DUMMYFUNCTION("IF (S143 ,IF(S143 &gt; 3, RANK(Q143, FILTER(R$129:R$171, C$129:C$171 = C143,S$129:S$171 &gt; 3), 1),""""),"""")"),4)</f>
        <v>4</v>
      </c>
      <c r="U133" s="41" t="str">
        <f t="shared" si="46"/>
        <v>Корнейчук Александра</v>
      </c>
      <c r="V133" s="43">
        <f t="shared" si="47"/>
        <v>2.9976851851851853E-3</v>
      </c>
      <c r="W133" s="43">
        <f t="shared" si="48"/>
        <v>1.4201388888888888E-2</v>
      </c>
      <c r="X133" s="43">
        <f t="shared" si="49"/>
        <v>2.1377314814814814E-2</v>
      </c>
      <c r="Y133" s="42">
        <f t="shared" si="50"/>
        <v>0</v>
      </c>
      <c r="Z133" s="43">
        <f>Table1[[#Totals],[После плавания]]-V133</f>
        <v>5.7175925925925936E-3</v>
      </c>
      <c r="AA133" s="43">
        <f>Table1[[#Totals],[После вело]]-W133</f>
        <v>6.0416666666666674E-3</v>
      </c>
      <c r="AB133" s="43">
        <f>Table1[[#Totals],[После бега]]-X133</f>
        <v>8.9004629629629642E-3</v>
      </c>
      <c r="AC133" s="40" t="s">
        <v>193</v>
      </c>
      <c r="AD133" s="45">
        <f>TIME(0,40,0)-Table1[[#This Row],[После вело]]</f>
        <v>1.3576388888888888E-2</v>
      </c>
    </row>
    <row r="134" spans="1:30" ht="13" x14ac:dyDescent="0.15">
      <c r="A134" s="36">
        <v>148</v>
      </c>
      <c r="B134" s="37" t="s">
        <v>157</v>
      </c>
      <c r="C134" s="38" t="s">
        <v>141</v>
      </c>
      <c r="D134" s="39">
        <v>3.4953703703703705E-3</v>
      </c>
      <c r="E134" s="14">
        <f t="shared" si="0"/>
        <v>1.1651234567901234E-3</v>
      </c>
      <c r="F134" s="15">
        <f t="shared" si="42"/>
        <v>5</v>
      </c>
      <c r="G134" s="15">
        <f ca="1">IFERROR(__xludf.DUMMYFUNCTION("IF( D144,RANK(D144, FILTER(D$129:D$171, C$129:C$171 = C144), 1),"""")"),5)</f>
        <v>5</v>
      </c>
      <c r="H134" s="39">
        <v>1.1030092592592593E-2</v>
      </c>
      <c r="I134" s="16">
        <f t="shared" si="2"/>
        <v>0.26472222222222225</v>
      </c>
      <c r="J134" s="17">
        <f t="shared" si="3"/>
        <v>30.220356768100732</v>
      </c>
      <c r="K134" s="18">
        <f t="shared" si="43"/>
        <v>25</v>
      </c>
      <c r="L134" s="18">
        <f ca="1">IFERROR(__xludf.DUMMYFUNCTION("IF( H144,RANK(H144, FILTER(H$129:H$171, C$129:C$171 = C144), 1),"""")"),13)</f>
        <v>13</v>
      </c>
      <c r="M134" s="39">
        <v>7.1064814814814819E-3</v>
      </c>
      <c r="N134" s="19">
        <f t="shared" si="5"/>
        <v>3.5532407407407409E-3</v>
      </c>
      <c r="O134" s="18">
        <f t="shared" si="44"/>
        <v>16</v>
      </c>
      <c r="P134" s="18">
        <f ca="1">IFERROR(__xludf.DUMMYFUNCTION("IF( M144,RANK(M144, FILTER(M$129:M$171, C$129:C$171 = C144), 1),"""")"),6)</f>
        <v>6</v>
      </c>
      <c r="Q134" s="19">
        <f t="shared" si="7"/>
        <v>2.1631944444444447E-2</v>
      </c>
      <c r="R134" s="20">
        <f t="shared" si="8"/>
        <v>2.1631944444444447E-2</v>
      </c>
      <c r="S134" s="21">
        <f t="shared" si="45"/>
        <v>16</v>
      </c>
      <c r="T134" s="22">
        <f ca="1">IFERROR(__xludf.DUMMYFUNCTION("IF (S144 ,IF(S144 &gt; 3, RANK(Q144, FILTER(R$129:R$171, C$129:C$171 = C144,S$129:S$171 &gt; 3), 1),""""),"""")"),5)</f>
        <v>5</v>
      </c>
      <c r="U134" s="41" t="str">
        <f t="shared" si="46"/>
        <v>Попко Ульяна</v>
      </c>
      <c r="V134" s="43">
        <f t="shared" si="47"/>
        <v>3.4953703703703705E-3</v>
      </c>
      <c r="W134" s="43">
        <f t="shared" si="48"/>
        <v>1.4525462962962964E-2</v>
      </c>
      <c r="X134" s="43">
        <f t="shared" si="49"/>
        <v>2.1631944444444447E-2</v>
      </c>
      <c r="Y134" s="42">
        <f t="shared" si="50"/>
        <v>0</v>
      </c>
      <c r="Z134" s="43">
        <f>Table1[[#Totals],[После плавания]]-V134</f>
        <v>5.2199074074074075E-3</v>
      </c>
      <c r="AA134" s="43">
        <f>Table1[[#Totals],[После вело]]-W134</f>
        <v>5.7175925925925918E-3</v>
      </c>
      <c r="AB134" s="43">
        <f>Table1[[#Totals],[После бега]]-X134</f>
        <v>8.6458333333333318E-3</v>
      </c>
      <c r="AC134" s="40" t="s">
        <v>193</v>
      </c>
      <c r="AD134" s="45">
        <f>TIME(0,40,0)-Table1[[#This Row],[После вело]]</f>
        <v>1.3252314814814812E-2</v>
      </c>
    </row>
    <row r="135" spans="1:30" ht="13" x14ac:dyDescent="0.15">
      <c r="A135" s="36">
        <v>75</v>
      </c>
      <c r="B135" s="37" t="s">
        <v>158</v>
      </c>
      <c r="C135" s="38" t="s">
        <v>141</v>
      </c>
      <c r="D135" s="39">
        <v>3.9004629629629628E-3</v>
      </c>
      <c r="E135" s="14">
        <f t="shared" si="0"/>
        <v>1.3001543209876542E-3</v>
      </c>
      <c r="F135" s="15">
        <f t="shared" si="42"/>
        <v>12</v>
      </c>
      <c r="G135" s="15">
        <f ca="1">IFERROR(__xludf.DUMMYFUNCTION("IF( D145,RANK(D145, FILTER(D$129:D$171, C$129:C$171 = C145), 1),"""")"),9)</f>
        <v>9</v>
      </c>
      <c r="H135" s="39">
        <v>9.9768518518518513E-3</v>
      </c>
      <c r="I135" s="16">
        <f t="shared" si="2"/>
        <v>0.23944444444444443</v>
      </c>
      <c r="J135" s="17">
        <f t="shared" si="3"/>
        <v>33.410672853828309</v>
      </c>
      <c r="K135" s="18">
        <f t="shared" si="43"/>
        <v>13</v>
      </c>
      <c r="L135" s="18">
        <f ca="1">IFERROR(__xludf.DUMMYFUNCTION("IF( H145,RANK(H145, FILTER(H$129:H$171, C$129:C$171 = C145), 1),"""")"),6)</f>
        <v>6</v>
      </c>
      <c r="M135" s="39">
        <v>8.0902777777777778E-3</v>
      </c>
      <c r="N135" s="19">
        <f t="shared" si="5"/>
        <v>4.0451388888888889E-3</v>
      </c>
      <c r="O135" s="18">
        <f t="shared" si="44"/>
        <v>28</v>
      </c>
      <c r="P135" s="18">
        <f ca="1">IFERROR(__xludf.DUMMYFUNCTION("IF( M145,RANK(M145, FILTER(M$129:M$171, C$129:C$171 = C145), 1),"""")"),12)</f>
        <v>12</v>
      </c>
      <c r="Q135" s="19">
        <f t="shared" si="7"/>
        <v>2.1967592592592594E-2</v>
      </c>
      <c r="R135" s="20">
        <f t="shared" si="8"/>
        <v>2.1967592592592594E-2</v>
      </c>
      <c r="S135" s="21">
        <f t="shared" si="45"/>
        <v>17</v>
      </c>
      <c r="T135" s="22">
        <f ca="1">IFERROR(__xludf.DUMMYFUNCTION("IF (S145 ,IF(S145 &gt; 3, RANK(Q145, FILTER(R$129:R$171, C$129:C$171 = C145,S$129:S$171 &gt; 3), 1),""""),"""")"),6)</f>
        <v>6</v>
      </c>
      <c r="U135" s="41" t="str">
        <f t="shared" si="46"/>
        <v>Дарьина Анна</v>
      </c>
      <c r="V135" s="43">
        <f t="shared" si="47"/>
        <v>3.9004629629629628E-3</v>
      </c>
      <c r="W135" s="43">
        <f t="shared" si="48"/>
        <v>1.3877314814814815E-2</v>
      </c>
      <c r="X135" s="43">
        <f t="shared" si="49"/>
        <v>2.1967592592592594E-2</v>
      </c>
      <c r="Y135" s="42">
        <f t="shared" si="50"/>
        <v>0</v>
      </c>
      <c r="Z135" s="43">
        <f>Table1[[#Totals],[После плавания]]-V135</f>
        <v>4.8148148148148152E-3</v>
      </c>
      <c r="AA135" s="43">
        <f>Table1[[#Totals],[После вело]]-W135</f>
        <v>6.3657407407407413E-3</v>
      </c>
      <c r="AB135" s="43">
        <f>Table1[[#Totals],[После бега]]-X135</f>
        <v>8.3101851851851843E-3</v>
      </c>
      <c r="AC135" s="40" t="s">
        <v>193</v>
      </c>
      <c r="AD135" s="45">
        <f>TIME(0,40,0)-Table1[[#This Row],[После вело]]</f>
        <v>1.3900462962962962E-2</v>
      </c>
    </row>
    <row r="136" spans="1:30" ht="13" x14ac:dyDescent="0.15">
      <c r="A136" s="36">
        <v>83</v>
      </c>
      <c r="B136" s="37" t="s">
        <v>159</v>
      </c>
      <c r="C136" s="38" t="s">
        <v>145</v>
      </c>
      <c r="D136" s="39">
        <v>4.8379629629629632E-3</v>
      </c>
      <c r="E136" s="14">
        <f t="shared" si="0"/>
        <v>1.6126543209876545E-3</v>
      </c>
      <c r="F136" s="15">
        <f t="shared" si="42"/>
        <v>32</v>
      </c>
      <c r="G136" s="15">
        <f ca="1">IFERROR(__xludf.DUMMYFUNCTION("IF( D146,RANK(D146, FILTER(D$129:D$171, C$129:C$171 = C146), 1),"""")"),15)</f>
        <v>15</v>
      </c>
      <c r="H136" s="39">
        <v>1.0185185185185186E-2</v>
      </c>
      <c r="I136" s="16">
        <f t="shared" si="2"/>
        <v>0.24444444444444446</v>
      </c>
      <c r="J136" s="17">
        <f t="shared" si="3"/>
        <v>32.727272727272727</v>
      </c>
      <c r="K136" s="18">
        <f t="shared" si="43"/>
        <v>16</v>
      </c>
      <c r="L136" s="18">
        <f ca="1">IFERROR(__xludf.DUMMYFUNCTION("IF( H146,RANK(H146, FILTER(H$129:H$171, C$129:C$171 = C146), 1),"""")"),8)</f>
        <v>8</v>
      </c>
      <c r="M136" s="39">
        <v>6.9907407407407409E-3</v>
      </c>
      <c r="N136" s="19">
        <f t="shared" si="5"/>
        <v>3.4953703703703705E-3</v>
      </c>
      <c r="O136" s="18">
        <f t="shared" si="44"/>
        <v>14</v>
      </c>
      <c r="P136" s="18">
        <f ca="1">IFERROR(__xludf.DUMMYFUNCTION("IF( M146,RANK(M146, FILTER(M$129:M$171, C$129:C$171 = C146), 1),"""")"),9)</f>
        <v>9</v>
      </c>
      <c r="Q136" s="19">
        <f t="shared" si="7"/>
        <v>2.2013888888888892E-2</v>
      </c>
      <c r="R136" s="20">
        <f t="shared" si="8"/>
        <v>2.2013888888888892E-2</v>
      </c>
      <c r="S136" s="21">
        <f t="shared" si="45"/>
        <v>18</v>
      </c>
      <c r="T136" s="22">
        <f ca="1">IFERROR(__xludf.DUMMYFUNCTION("IF (S146 ,IF(S146 &gt; 3, RANK(Q146, FILTER(R$129:R$171, C$129:C$171 = C146,S$129:S$171 &gt; 3), 1),""""),"""")"),9)</f>
        <v>9</v>
      </c>
      <c r="U136" s="41" t="str">
        <f t="shared" si="46"/>
        <v>Адамович Ирина</v>
      </c>
      <c r="V136" s="43">
        <f t="shared" si="47"/>
        <v>4.8379629629629632E-3</v>
      </c>
      <c r="W136" s="43">
        <f t="shared" si="48"/>
        <v>1.502314814814815E-2</v>
      </c>
      <c r="X136" s="43">
        <f t="shared" si="49"/>
        <v>2.2013888888888892E-2</v>
      </c>
      <c r="Y136" s="42">
        <f t="shared" si="50"/>
        <v>0</v>
      </c>
      <c r="Z136" s="43">
        <f>Table1[[#Totals],[После плавания]]-V136</f>
        <v>3.8773148148148152E-3</v>
      </c>
      <c r="AA136" s="43">
        <f>Table1[[#Totals],[После вело]]-W136</f>
        <v>5.2199074074074057E-3</v>
      </c>
      <c r="AB136" s="43">
        <f>Table1[[#Totals],[После бега]]-X136</f>
        <v>8.2638888888888866E-3</v>
      </c>
      <c r="AC136" s="40" t="s">
        <v>193</v>
      </c>
      <c r="AD136" s="45">
        <f>TIME(0,40,0)-Table1[[#This Row],[После вело]]</f>
        <v>1.2754629629629626E-2</v>
      </c>
    </row>
    <row r="137" spans="1:30" ht="13" x14ac:dyDescent="0.15">
      <c r="A137" s="36">
        <v>57</v>
      </c>
      <c r="B137" s="37" t="s">
        <v>160</v>
      </c>
      <c r="C137" s="38" t="s">
        <v>145</v>
      </c>
      <c r="D137" s="39">
        <v>4.386574074074074E-3</v>
      </c>
      <c r="E137" s="14">
        <f t="shared" si="0"/>
        <v>1.4621913580246913E-3</v>
      </c>
      <c r="F137" s="15">
        <f t="shared" si="42"/>
        <v>20</v>
      </c>
      <c r="G137" s="15">
        <f ca="1">IFERROR(__xludf.DUMMYFUNCTION("IF( D147,RANK(D147, FILTER(D$129:D$171, C$129:C$171 = C147), 1),"""")"),8)</f>
        <v>8</v>
      </c>
      <c r="H137" s="39">
        <v>1.0219907407407407E-2</v>
      </c>
      <c r="I137" s="16">
        <f t="shared" si="2"/>
        <v>0.24527777777777776</v>
      </c>
      <c r="J137" s="17">
        <f t="shared" si="3"/>
        <v>32.616081540203851</v>
      </c>
      <c r="K137" s="18">
        <f t="shared" si="43"/>
        <v>17</v>
      </c>
      <c r="L137" s="18">
        <f ca="1">IFERROR(__xludf.DUMMYFUNCTION("IF( H147,RANK(H147, FILTER(H$129:H$171, C$129:C$171 = C147), 1),"""")"),9)</f>
        <v>9</v>
      </c>
      <c r="M137" s="39">
        <v>7.9976851851851858E-3</v>
      </c>
      <c r="N137" s="19">
        <f t="shared" si="5"/>
        <v>3.9988425925925929E-3</v>
      </c>
      <c r="O137" s="18">
        <f t="shared" si="44"/>
        <v>26</v>
      </c>
      <c r="P137" s="18">
        <f ca="1">IFERROR(__xludf.DUMMYFUNCTION("IF( M147,RANK(M147, FILTER(M$129:M$171, C$129:C$171 = C147), 1),"""")"),15)</f>
        <v>15</v>
      </c>
      <c r="Q137" s="19">
        <f t="shared" si="7"/>
        <v>2.2604166666666668E-2</v>
      </c>
      <c r="R137" s="20">
        <f t="shared" si="8"/>
        <v>2.2604166666666668E-2</v>
      </c>
      <c r="S137" s="21">
        <f t="shared" si="45"/>
        <v>19</v>
      </c>
      <c r="T137" s="22">
        <f ca="1">IFERROR(__xludf.DUMMYFUNCTION("IF (S147 ,IF(S147 &gt; 3, RANK(Q147, FILTER(R$129:R$171, C$129:C$171 = C147,S$129:S$171 &gt; 3), 1),""""),"""")"),10)</f>
        <v>10</v>
      </c>
      <c r="U137" s="41" t="str">
        <f t="shared" si="46"/>
        <v>Матвийко Надежда</v>
      </c>
      <c r="V137" s="43">
        <f t="shared" si="47"/>
        <v>4.386574074074074E-3</v>
      </c>
      <c r="W137" s="43">
        <f t="shared" si="48"/>
        <v>1.4606481481481481E-2</v>
      </c>
      <c r="X137" s="43">
        <f t="shared" si="49"/>
        <v>2.2604166666666668E-2</v>
      </c>
      <c r="Y137" s="42">
        <f t="shared" si="50"/>
        <v>0</v>
      </c>
      <c r="Z137" s="43">
        <f>Table1[[#Totals],[После плавания]]-V137</f>
        <v>4.3287037037037044E-3</v>
      </c>
      <c r="AA137" s="43">
        <f>Table1[[#Totals],[После вело]]-W137</f>
        <v>5.6365740740740751E-3</v>
      </c>
      <c r="AB137" s="43">
        <f>Table1[[#Totals],[После бега]]-X137</f>
        <v>7.6736111111111102E-3</v>
      </c>
      <c r="AC137" s="40" t="s">
        <v>193</v>
      </c>
      <c r="AD137" s="45">
        <f>TIME(0,40,0)-Table1[[#This Row],[После вело]]</f>
        <v>1.3171296296296296E-2</v>
      </c>
    </row>
    <row r="138" spans="1:30" ht="13" x14ac:dyDescent="0.15">
      <c r="A138" s="36">
        <v>65</v>
      </c>
      <c r="B138" s="37" t="s">
        <v>161</v>
      </c>
      <c r="C138" s="38" t="s">
        <v>145</v>
      </c>
      <c r="D138" s="39">
        <v>4.386574074074074E-3</v>
      </c>
      <c r="E138" s="14">
        <f t="shared" si="0"/>
        <v>1.4621913580246913E-3</v>
      </c>
      <c r="F138" s="15">
        <f t="shared" si="42"/>
        <v>20</v>
      </c>
      <c r="G138" s="15">
        <f ca="1">IFERROR(__xludf.DUMMYFUNCTION("IF( D148,RANK(D148, FILTER(D$129:D$171, C$129:C$171 = C148), 1),"""")"),8)</f>
        <v>8</v>
      </c>
      <c r="H138" s="39">
        <v>1.0925925925925926E-2</v>
      </c>
      <c r="I138" s="16">
        <f t="shared" si="2"/>
        <v>0.26222222222222225</v>
      </c>
      <c r="J138" s="17">
        <f t="shared" si="3"/>
        <v>30.508474576271183</v>
      </c>
      <c r="K138" s="18">
        <f t="shared" si="43"/>
        <v>22</v>
      </c>
      <c r="L138" s="18">
        <f ca="1">IFERROR(__xludf.DUMMYFUNCTION("IF( H148,RANK(H148, FILTER(H$129:H$171, C$129:C$171 = C148), 1),"""")"),12)</f>
        <v>12</v>
      </c>
      <c r="M138" s="39">
        <v>7.3379629629629628E-3</v>
      </c>
      <c r="N138" s="19">
        <f t="shared" si="5"/>
        <v>3.6689814814814814E-3</v>
      </c>
      <c r="O138" s="18">
        <f t="shared" si="44"/>
        <v>20</v>
      </c>
      <c r="P138" s="18">
        <f ca="1">IFERROR(__xludf.DUMMYFUNCTION("IF( M148,RANK(M148, FILTER(M$129:M$171, C$129:C$171 = C148), 1),"""")"),12)</f>
        <v>12</v>
      </c>
      <c r="Q138" s="19">
        <f t="shared" si="7"/>
        <v>2.2650462962962963E-2</v>
      </c>
      <c r="R138" s="20">
        <f t="shared" si="8"/>
        <v>2.2650462962962963E-2</v>
      </c>
      <c r="S138" s="21">
        <f t="shared" si="45"/>
        <v>20</v>
      </c>
      <c r="T138" s="22">
        <f ca="1">IFERROR(__xludf.DUMMYFUNCTION("IF (S148 ,IF(S148 &gt; 3, RANK(Q148, FILTER(R$129:R$171, C$129:C$171 = C148,S$129:S$171 &gt; 3), 1),""""),"""")"),11)</f>
        <v>11</v>
      </c>
      <c r="U138" s="41" t="str">
        <f t="shared" si="46"/>
        <v>Ванчук Оксана</v>
      </c>
      <c r="V138" s="43">
        <f t="shared" si="47"/>
        <v>4.386574074074074E-3</v>
      </c>
      <c r="W138" s="43">
        <f t="shared" si="48"/>
        <v>1.53125E-2</v>
      </c>
      <c r="X138" s="43">
        <f t="shared" si="49"/>
        <v>2.2650462962962963E-2</v>
      </c>
      <c r="Y138" s="42">
        <f t="shared" si="50"/>
        <v>0</v>
      </c>
      <c r="Z138" s="43">
        <f>Table1[[#Totals],[После плавания]]-V138</f>
        <v>4.3287037037037044E-3</v>
      </c>
      <c r="AA138" s="43">
        <f>Table1[[#Totals],[После вело]]-W138</f>
        <v>4.9305555555555561E-3</v>
      </c>
      <c r="AB138" s="43">
        <f>Table1[[#Totals],[После бега]]-X138</f>
        <v>7.6273148148148159E-3</v>
      </c>
      <c r="AC138" s="40" t="s">
        <v>193</v>
      </c>
      <c r="AD138" s="45">
        <f>TIME(0,40,0)-Table1[[#This Row],[После вело]]</f>
        <v>1.2465277777777777E-2</v>
      </c>
    </row>
    <row r="139" spans="1:30" ht="13" x14ac:dyDescent="0.15">
      <c r="A139" s="36">
        <v>60</v>
      </c>
      <c r="B139" s="37" t="s">
        <v>162</v>
      </c>
      <c r="C139" s="38" t="s">
        <v>141</v>
      </c>
      <c r="D139" s="39">
        <v>3.8194444444444443E-3</v>
      </c>
      <c r="E139" s="14">
        <f t="shared" si="0"/>
        <v>1.273148148148148E-3</v>
      </c>
      <c r="F139" s="15">
        <f t="shared" si="42"/>
        <v>10</v>
      </c>
      <c r="G139" s="15">
        <f ca="1">IFERROR(__xludf.DUMMYFUNCTION("IF( D149,RANK(D149, FILTER(D$129:D$171, C$129:C$171 = C149), 1),"""")"),7)</f>
        <v>7</v>
      </c>
      <c r="H139" s="39">
        <v>1.0034722222222223E-2</v>
      </c>
      <c r="I139" s="16">
        <f t="shared" si="2"/>
        <v>0.24083333333333334</v>
      </c>
      <c r="J139" s="17">
        <f t="shared" si="3"/>
        <v>33.217993079584772</v>
      </c>
      <c r="K139" s="18">
        <f t="shared" si="43"/>
        <v>15</v>
      </c>
      <c r="L139" s="18">
        <f ca="1">IFERROR(__xludf.DUMMYFUNCTION("IF( H149,RANK(H149, FILTER(H$129:H$171, C$129:C$171 = C149), 1),"""")"),8)</f>
        <v>8</v>
      </c>
      <c r="M139" s="39">
        <v>8.8888888888888889E-3</v>
      </c>
      <c r="N139" s="19">
        <f t="shared" si="5"/>
        <v>4.4444444444444444E-3</v>
      </c>
      <c r="O139" s="18">
        <f t="shared" si="44"/>
        <v>34</v>
      </c>
      <c r="P139" s="18">
        <f ca="1">IFERROR(__xludf.DUMMYFUNCTION("IF( M149,RANK(M149, FILTER(M$129:M$171, C$129:C$171 = C149), 1),"""")"),16)</f>
        <v>16</v>
      </c>
      <c r="Q139" s="19">
        <f t="shared" si="7"/>
        <v>2.2743055555555558E-2</v>
      </c>
      <c r="R139" s="20">
        <f t="shared" si="8"/>
        <v>2.2743055555555558E-2</v>
      </c>
      <c r="S139" s="21">
        <f t="shared" si="45"/>
        <v>21</v>
      </c>
      <c r="T139" s="22">
        <f ca="1">IFERROR(__xludf.DUMMYFUNCTION("IF (S149 ,IF(S149 &gt; 3, RANK(Q149, FILTER(R$129:R$171, C$129:C$171 = C149,S$129:S$171 &gt; 3), 1),""""),"""")"),7)</f>
        <v>7</v>
      </c>
      <c r="U139" s="41" t="str">
        <f t="shared" si="46"/>
        <v>Качан Екатерина</v>
      </c>
      <c r="V139" s="43">
        <f t="shared" si="47"/>
        <v>3.8194444444444443E-3</v>
      </c>
      <c r="W139" s="43">
        <f t="shared" si="48"/>
        <v>1.3854166666666667E-2</v>
      </c>
      <c r="X139" s="43">
        <f t="shared" si="49"/>
        <v>2.2743055555555558E-2</v>
      </c>
      <c r="Y139" s="42">
        <f t="shared" si="50"/>
        <v>0</v>
      </c>
      <c r="Z139" s="43">
        <f>Table1[[#Totals],[После плавания]]-V139</f>
        <v>4.8958333333333336E-3</v>
      </c>
      <c r="AA139" s="43">
        <f>Table1[[#Totals],[После вело]]-W139</f>
        <v>6.3888888888888884E-3</v>
      </c>
      <c r="AB139" s="43">
        <f>Table1[[#Totals],[После бега]]-X139</f>
        <v>7.5347222222222204E-3</v>
      </c>
      <c r="AC139" s="40" t="s">
        <v>193</v>
      </c>
      <c r="AD139" s="45">
        <f>TIME(0,40,0)-Table1[[#This Row],[После вело]]</f>
        <v>1.3923611111111109E-2</v>
      </c>
    </row>
    <row r="140" spans="1:30" ht="13" x14ac:dyDescent="0.15">
      <c r="A140" s="36">
        <v>81</v>
      </c>
      <c r="B140" s="37" t="s">
        <v>163</v>
      </c>
      <c r="C140" s="38" t="s">
        <v>141</v>
      </c>
      <c r="D140" s="39">
        <v>4.5717592592592589E-3</v>
      </c>
      <c r="E140" s="14">
        <f t="shared" si="0"/>
        <v>1.5239197530864197E-3</v>
      </c>
      <c r="F140" s="15">
        <f t="shared" si="42"/>
        <v>27</v>
      </c>
      <c r="G140" s="15">
        <f ca="1">IFERROR(__xludf.DUMMYFUNCTION("IF( D150,RANK(D150, FILTER(D$129:D$171, C$129:C$171 = C150), 1),"""")"),15)</f>
        <v>15</v>
      </c>
      <c r="H140" s="39">
        <v>1.0995370370370371E-2</v>
      </c>
      <c r="I140" s="16">
        <f t="shared" si="2"/>
        <v>0.2638888888888889</v>
      </c>
      <c r="J140" s="17">
        <f t="shared" si="3"/>
        <v>30.315789473684209</v>
      </c>
      <c r="K140" s="18">
        <f t="shared" si="43"/>
        <v>24</v>
      </c>
      <c r="L140" s="18">
        <f ca="1">IFERROR(__xludf.DUMMYFUNCTION("IF( H150,RANK(H150, FILTER(H$129:H$171, C$129:C$171 = C150), 1),"""")"),12)</f>
        <v>12</v>
      </c>
      <c r="M140" s="39">
        <v>7.3611111111111108E-3</v>
      </c>
      <c r="N140" s="19">
        <f t="shared" si="5"/>
        <v>3.6805555555555554E-3</v>
      </c>
      <c r="O140" s="18">
        <f t="shared" si="44"/>
        <v>21</v>
      </c>
      <c r="P140" s="18">
        <f ca="1">IFERROR(__xludf.DUMMYFUNCTION("IF( M150,RANK(M150, FILTER(M$129:M$171, C$129:C$171 = C150), 1),"""")"),9)</f>
        <v>9</v>
      </c>
      <c r="Q140" s="19">
        <f t="shared" si="7"/>
        <v>2.2928240740740739E-2</v>
      </c>
      <c r="R140" s="20">
        <f t="shared" si="8"/>
        <v>2.2928240740740739E-2</v>
      </c>
      <c r="S140" s="21">
        <f t="shared" si="45"/>
        <v>22</v>
      </c>
      <c r="T140" s="22">
        <f ca="1">IFERROR(__xludf.DUMMYFUNCTION("IF (S150 ,IF(S150 &gt; 3, RANK(Q150, FILTER(R$129:R$171, C$129:C$171 = C150,S$129:S$171 &gt; 3), 1),""""),"""")"),8)</f>
        <v>8</v>
      </c>
      <c r="U140" s="41" t="str">
        <f t="shared" si="46"/>
        <v>Цумарева Ксения</v>
      </c>
      <c r="V140" s="43">
        <f t="shared" si="47"/>
        <v>4.5717592592592589E-3</v>
      </c>
      <c r="W140" s="43">
        <f t="shared" si="48"/>
        <v>1.5567129629629629E-2</v>
      </c>
      <c r="X140" s="43">
        <f t="shared" si="49"/>
        <v>2.2928240740740739E-2</v>
      </c>
      <c r="Y140" s="42">
        <f t="shared" si="50"/>
        <v>0</v>
      </c>
      <c r="Z140" s="43">
        <f>Table1[[#Totals],[После плавания]]-V140</f>
        <v>4.1435185185185195E-3</v>
      </c>
      <c r="AA140" s="43">
        <f>Table1[[#Totals],[После вело]]-W140</f>
        <v>4.6759259259259271E-3</v>
      </c>
      <c r="AB140" s="43">
        <f>Table1[[#Totals],[После бега]]-X140</f>
        <v>7.3495370370370398E-3</v>
      </c>
      <c r="AC140" s="40" t="s">
        <v>193</v>
      </c>
      <c r="AD140" s="45">
        <f>TIME(0,40,0)-Table1[[#This Row],[После вело]]</f>
        <v>1.2210648148148148E-2</v>
      </c>
    </row>
    <row r="141" spans="1:30" ht="13" x14ac:dyDescent="0.15">
      <c r="A141" s="36">
        <v>150</v>
      </c>
      <c r="B141" s="37" t="s">
        <v>164</v>
      </c>
      <c r="C141" s="38" t="s">
        <v>141</v>
      </c>
      <c r="D141" s="39">
        <v>4.6874999999999998E-3</v>
      </c>
      <c r="E141" s="14">
        <f t="shared" si="0"/>
        <v>1.5624999999999999E-3</v>
      </c>
      <c r="F141" s="15">
        <f t="shared" si="42"/>
        <v>30</v>
      </c>
      <c r="G141" s="15">
        <f ca="1">IFERROR(__xludf.DUMMYFUNCTION("IF( D151,RANK(D151, FILTER(D$129:D$171, C$129:C$171 = C151), 1),"""")"),17)</f>
        <v>17</v>
      </c>
      <c r="H141" s="39">
        <v>1.0011574074074074E-2</v>
      </c>
      <c r="I141" s="16">
        <f t="shared" si="2"/>
        <v>0.24027777777777776</v>
      </c>
      <c r="J141" s="17">
        <f t="shared" si="3"/>
        <v>33.294797687861276</v>
      </c>
      <c r="K141" s="18">
        <f t="shared" si="43"/>
        <v>14</v>
      </c>
      <c r="L141" s="18">
        <f ca="1">IFERROR(__xludf.DUMMYFUNCTION("IF( H151,RANK(H151, FILTER(H$129:H$171, C$129:C$171 = C151), 1),"""")"),7)</f>
        <v>7</v>
      </c>
      <c r="M141" s="39">
        <v>8.3912037037037045E-3</v>
      </c>
      <c r="N141" s="19">
        <f t="shared" si="5"/>
        <v>4.1956018518518523E-3</v>
      </c>
      <c r="O141" s="18">
        <f t="shared" si="44"/>
        <v>31</v>
      </c>
      <c r="P141" s="18">
        <f ca="1">IFERROR(__xludf.DUMMYFUNCTION("IF( M151,RANK(M151, FILTER(M$129:M$171, C$129:C$171 = C151), 1),"""")"),13)</f>
        <v>13</v>
      </c>
      <c r="Q141" s="19">
        <f t="shared" si="7"/>
        <v>2.3090277777777779E-2</v>
      </c>
      <c r="R141" s="20">
        <f t="shared" si="8"/>
        <v>2.3090277777777779E-2</v>
      </c>
      <c r="S141" s="21">
        <f t="shared" si="45"/>
        <v>23</v>
      </c>
      <c r="T141" s="22">
        <f ca="1">IFERROR(__xludf.DUMMYFUNCTION("IF (S151 ,IF(S151 &gt; 3, RANK(Q151, FILTER(R$129:R$171, C$129:C$171 = C151,S$129:S$171 &gt; 3), 1),""""),"""")"),9)</f>
        <v>9</v>
      </c>
      <c r="U141" s="41" t="str">
        <f t="shared" si="46"/>
        <v>Цацарина Екатерина</v>
      </c>
      <c r="V141" s="43">
        <f t="shared" si="47"/>
        <v>4.6874999999999998E-3</v>
      </c>
      <c r="W141" s="43">
        <f t="shared" si="48"/>
        <v>1.4699074074074073E-2</v>
      </c>
      <c r="X141" s="43">
        <f t="shared" si="49"/>
        <v>2.3090277777777779E-2</v>
      </c>
      <c r="Y141" s="42">
        <f t="shared" si="50"/>
        <v>0</v>
      </c>
      <c r="Z141" s="43">
        <f>Table1[[#Totals],[После плавания]]-V141</f>
        <v>4.0277777777777786E-3</v>
      </c>
      <c r="AA141" s="43">
        <f>Table1[[#Totals],[После вело]]-W141</f>
        <v>5.5439814814814831E-3</v>
      </c>
      <c r="AB141" s="43">
        <f>Table1[[#Totals],[После бега]]-X141</f>
        <v>7.1874999999999994E-3</v>
      </c>
      <c r="AC141" s="40" t="s">
        <v>193</v>
      </c>
      <c r="AD141" s="45">
        <f>TIME(0,40,0)-Table1[[#This Row],[После вело]]</f>
        <v>1.3078703703703703E-2</v>
      </c>
    </row>
    <row r="142" spans="1:30" ht="13" x14ac:dyDescent="0.15">
      <c r="A142" s="36">
        <v>62</v>
      </c>
      <c r="B142" s="37" t="s">
        <v>165</v>
      </c>
      <c r="C142" s="38" t="s">
        <v>145</v>
      </c>
      <c r="D142" s="39">
        <v>4.5601851851851853E-3</v>
      </c>
      <c r="E142" s="14">
        <f t="shared" si="0"/>
        <v>1.5200617283950618E-3</v>
      </c>
      <c r="F142" s="15">
        <f t="shared" si="42"/>
        <v>25</v>
      </c>
      <c r="G142" s="15">
        <f ca="1">IFERROR(__xludf.DUMMYFUNCTION("IF( D152,RANK(D152, FILTER(D$129:D$171, C$129:C$171 = C152), 1),"""")"),12)</f>
        <v>12</v>
      </c>
      <c r="H142" s="39">
        <v>1.0868055555555556E-2</v>
      </c>
      <c r="I142" s="16">
        <f t="shared" si="2"/>
        <v>0.26083333333333336</v>
      </c>
      <c r="J142" s="17">
        <f t="shared" si="3"/>
        <v>30.670926517571882</v>
      </c>
      <c r="K142" s="18">
        <f t="shared" si="43"/>
        <v>19</v>
      </c>
      <c r="L142" s="18">
        <f ca="1">IFERROR(__xludf.DUMMYFUNCTION("IF( H152,RANK(H152, FILTER(H$129:H$171, C$129:C$171 = C152), 1),"""")"),10)</f>
        <v>10</v>
      </c>
      <c r="M142" s="39">
        <v>7.9976851851851858E-3</v>
      </c>
      <c r="N142" s="19">
        <f t="shared" si="5"/>
        <v>3.9988425925925929E-3</v>
      </c>
      <c r="O142" s="18">
        <f t="shared" si="44"/>
        <v>26</v>
      </c>
      <c r="P142" s="18">
        <f ca="1">IFERROR(__xludf.DUMMYFUNCTION("IF( M152,RANK(M152, FILTER(M$129:M$171, C$129:C$171 = C152), 1),"""")"),15)</f>
        <v>15</v>
      </c>
      <c r="Q142" s="19">
        <f t="shared" si="7"/>
        <v>2.3425925925925926E-2</v>
      </c>
      <c r="R142" s="20">
        <f t="shared" si="8"/>
        <v>2.3425925925925926E-2</v>
      </c>
      <c r="S142" s="21">
        <f t="shared" si="45"/>
        <v>24</v>
      </c>
      <c r="T142" s="22">
        <f ca="1">IFERROR(__xludf.DUMMYFUNCTION("IF (S152 ,IF(S152 &gt; 3, RANK(Q152, FILTER(R$129:R$171, C$129:C$171 = C152,S$129:S$171 &gt; 3), 1),""""),"""")"),12)</f>
        <v>12</v>
      </c>
      <c r="U142" s="41" t="str">
        <f t="shared" si="46"/>
        <v>Gavrilova Alla</v>
      </c>
      <c r="V142" s="43">
        <f t="shared" si="47"/>
        <v>4.5601851851851853E-3</v>
      </c>
      <c r="W142" s="43">
        <f t="shared" si="48"/>
        <v>1.5428240740740742E-2</v>
      </c>
      <c r="X142" s="43">
        <f t="shared" si="49"/>
        <v>2.3425925925925926E-2</v>
      </c>
      <c r="Y142" s="42">
        <f t="shared" si="50"/>
        <v>0</v>
      </c>
      <c r="Z142" s="43">
        <f>Table1[[#Totals],[После плавания]]-V142</f>
        <v>4.155092592592593E-3</v>
      </c>
      <c r="AA142" s="43">
        <f>Table1[[#Totals],[После вело]]-W142</f>
        <v>4.8148148148148134E-3</v>
      </c>
      <c r="AB142" s="43">
        <f>Table1[[#Totals],[После бега]]-X142</f>
        <v>6.851851851851852E-3</v>
      </c>
      <c r="AC142" s="40" t="s">
        <v>193</v>
      </c>
      <c r="AD142" s="45">
        <f>TIME(0,40,0)-Table1[[#This Row],[После вело]]</f>
        <v>1.2349537037037034E-2</v>
      </c>
    </row>
    <row r="143" spans="1:30" ht="13" x14ac:dyDescent="0.15">
      <c r="A143" s="36">
        <v>66</v>
      </c>
      <c r="B143" s="37" t="s">
        <v>166</v>
      </c>
      <c r="C143" s="38" t="s">
        <v>141</v>
      </c>
      <c r="D143" s="39">
        <v>5.0810185185185186E-3</v>
      </c>
      <c r="E143" s="14">
        <f t="shared" si="0"/>
        <v>1.6936728395061729E-3</v>
      </c>
      <c r="F143" s="15">
        <f t="shared" si="42"/>
        <v>34</v>
      </c>
      <c r="G143" s="15">
        <f ca="1">IFERROR(__xludf.DUMMYFUNCTION("IF( D153,RANK(D153, FILTER(D$129:D$171, C$129:C$171 = C153), 1),"""")"),19)</f>
        <v>19</v>
      </c>
      <c r="H143" s="39">
        <v>1.087962962962963E-2</v>
      </c>
      <c r="I143" s="16">
        <f t="shared" si="2"/>
        <v>0.26111111111111113</v>
      </c>
      <c r="J143" s="17">
        <f t="shared" si="3"/>
        <v>30.638297872340424</v>
      </c>
      <c r="K143" s="18">
        <f t="shared" si="43"/>
        <v>21</v>
      </c>
      <c r="L143" s="18">
        <f ca="1">IFERROR(__xludf.DUMMYFUNCTION("IF( H153,RANK(H153, FILTER(H$129:H$171, C$129:C$171 = C153), 1),"""")"),10)</f>
        <v>10</v>
      </c>
      <c r="M143" s="39">
        <v>7.789351851851852E-3</v>
      </c>
      <c r="N143" s="19">
        <f t="shared" si="5"/>
        <v>3.894675925925926E-3</v>
      </c>
      <c r="O143" s="18">
        <f t="shared" si="44"/>
        <v>24</v>
      </c>
      <c r="P143" s="18">
        <f ca="1">IFERROR(__xludf.DUMMYFUNCTION("IF( M153,RANK(M153, FILTER(M$129:M$171, C$129:C$171 = C153), 1),"""")"),11)</f>
        <v>11</v>
      </c>
      <c r="Q143" s="19">
        <f t="shared" si="7"/>
        <v>2.375E-2</v>
      </c>
      <c r="R143" s="20">
        <f t="shared" si="8"/>
        <v>2.375E-2</v>
      </c>
      <c r="S143" s="21">
        <f t="shared" si="45"/>
        <v>25</v>
      </c>
      <c r="T143" s="22">
        <f ca="1">IFERROR(__xludf.DUMMYFUNCTION("IF (S153 ,IF(S153 &gt; 3, RANK(Q153, FILTER(R$129:R$171, C$129:C$171 = C153,S$129:S$171 &gt; 3), 1),""""),"""")"),10)</f>
        <v>10</v>
      </c>
      <c r="U143" s="41" t="str">
        <f t="shared" si="46"/>
        <v>Ющенко Полина</v>
      </c>
      <c r="V143" s="43">
        <f t="shared" si="47"/>
        <v>5.0810185185185186E-3</v>
      </c>
      <c r="W143" s="43">
        <f t="shared" si="48"/>
        <v>1.5960648148148147E-2</v>
      </c>
      <c r="X143" s="43">
        <f t="shared" si="49"/>
        <v>2.375E-2</v>
      </c>
      <c r="Y143" s="42">
        <f t="shared" si="50"/>
        <v>0</v>
      </c>
      <c r="Z143" s="43">
        <f>Table1[[#Totals],[После плавания]]-V143</f>
        <v>3.6342592592592598E-3</v>
      </c>
      <c r="AA143" s="43">
        <f>Table1[[#Totals],[После вело]]-W143</f>
        <v>4.2824074074074084E-3</v>
      </c>
      <c r="AB143" s="43">
        <f>Table1[[#Totals],[После бега]]-X143</f>
        <v>6.5277777777777782E-3</v>
      </c>
      <c r="AC143" s="40" t="s">
        <v>193</v>
      </c>
      <c r="AD143" s="45">
        <f>TIME(0,40,0)-Table1[[#This Row],[После вело]]</f>
        <v>1.1817129629629629E-2</v>
      </c>
    </row>
    <row r="144" spans="1:30" ht="13" x14ac:dyDescent="0.15">
      <c r="A144" s="36">
        <v>61</v>
      </c>
      <c r="B144" s="37" t="s">
        <v>167</v>
      </c>
      <c r="C144" s="38" t="s">
        <v>145</v>
      </c>
      <c r="D144" s="39">
        <v>4.3981481481481484E-3</v>
      </c>
      <c r="E144" s="14">
        <f t="shared" si="0"/>
        <v>1.4660493827160495E-3</v>
      </c>
      <c r="F144" s="15">
        <f t="shared" si="42"/>
        <v>22</v>
      </c>
      <c r="G144" s="15">
        <f ca="1">IFERROR(__xludf.DUMMYFUNCTION("IF( D154,RANK(D154, FILTER(D$129:D$171, C$129:C$171 = C154), 1),"""")"),10)</f>
        <v>10</v>
      </c>
      <c r="H144" s="39">
        <v>1.2442129629629629E-2</v>
      </c>
      <c r="I144" s="16">
        <f t="shared" si="2"/>
        <v>0.2986111111111111</v>
      </c>
      <c r="J144" s="17">
        <f t="shared" si="3"/>
        <v>26.790697674418606</v>
      </c>
      <c r="K144" s="18">
        <f t="shared" si="43"/>
        <v>38</v>
      </c>
      <c r="L144" s="18">
        <f ca="1">IFERROR(__xludf.DUMMYFUNCTION("IF( H154,RANK(H154, FILTER(H$129:H$171, C$129:C$171 = C154), 1),"""")"),19)</f>
        <v>19</v>
      </c>
      <c r="M144" s="39">
        <v>6.9907407407407409E-3</v>
      </c>
      <c r="N144" s="19">
        <f t="shared" si="5"/>
        <v>3.4953703703703705E-3</v>
      </c>
      <c r="O144" s="18">
        <f t="shared" si="44"/>
        <v>14</v>
      </c>
      <c r="P144" s="18">
        <f ca="1">IFERROR(__xludf.DUMMYFUNCTION("IF( M154,RANK(M154, FILTER(M$129:M$171, C$129:C$171 = C154), 1),"""")"),9)</f>
        <v>9</v>
      </c>
      <c r="Q144" s="19">
        <f t="shared" si="7"/>
        <v>2.3831018518518519E-2</v>
      </c>
      <c r="R144" s="20">
        <f t="shared" si="8"/>
        <v>2.3831018518518519E-2</v>
      </c>
      <c r="S144" s="21">
        <f t="shared" si="45"/>
        <v>26</v>
      </c>
      <c r="T144" s="22">
        <f ca="1">IFERROR(__xludf.DUMMYFUNCTION("IF (S154 ,IF(S154 &gt; 3, RANK(Q154, FILTER(R$129:R$171, C$129:C$171 = C154,S$129:S$171 &gt; 3), 1),""""),"""")"),13)</f>
        <v>13</v>
      </c>
      <c r="U144" s="41" t="str">
        <f t="shared" si="46"/>
        <v>Синицина Дарья</v>
      </c>
      <c r="V144" s="43">
        <f t="shared" si="47"/>
        <v>4.3981481481481484E-3</v>
      </c>
      <c r="W144" s="43">
        <f t="shared" si="48"/>
        <v>1.6840277777777777E-2</v>
      </c>
      <c r="X144" s="43">
        <f t="shared" si="49"/>
        <v>2.3831018518518519E-2</v>
      </c>
      <c r="Y144" s="42">
        <f t="shared" si="50"/>
        <v>0</v>
      </c>
      <c r="Z144" s="43">
        <f>Table1[[#Totals],[После плавания]]-V144</f>
        <v>4.31712962962963E-3</v>
      </c>
      <c r="AA144" s="43">
        <f>Table1[[#Totals],[После вело]]-W144</f>
        <v>3.4027777777777789E-3</v>
      </c>
      <c r="AB144" s="43">
        <f>Table1[[#Totals],[После бега]]-X144</f>
        <v>6.4467592592592597E-3</v>
      </c>
      <c r="AC144" s="40" t="s">
        <v>193</v>
      </c>
      <c r="AD144" s="45">
        <f>TIME(0,40,0)-Table1[[#This Row],[После вело]]</f>
        <v>1.0937499999999999E-2</v>
      </c>
    </row>
    <row r="145" spans="1:30" ht="13" x14ac:dyDescent="0.15">
      <c r="A145" s="36">
        <v>76</v>
      </c>
      <c r="B145" s="37" t="s">
        <v>168</v>
      </c>
      <c r="C145" s="38" t="s">
        <v>141</v>
      </c>
      <c r="D145" s="39">
        <v>4.5370370370370373E-3</v>
      </c>
      <c r="E145" s="14">
        <f t="shared" si="0"/>
        <v>1.5123456790123457E-3</v>
      </c>
      <c r="F145" s="15">
        <f t="shared" si="42"/>
        <v>24</v>
      </c>
      <c r="G145" s="15">
        <f ca="1">IFERROR(__xludf.DUMMYFUNCTION("IF( D155,RANK(D155, FILTER(D$129:D$171, C$129:C$171 = C155), 1),"""")"),13)</f>
        <v>13</v>
      </c>
      <c r="H145" s="39">
        <v>1.0949074074074075E-2</v>
      </c>
      <c r="I145" s="16">
        <f t="shared" si="2"/>
        <v>0.26277777777777778</v>
      </c>
      <c r="J145" s="17">
        <f t="shared" si="3"/>
        <v>30.443974630021142</v>
      </c>
      <c r="K145" s="18">
        <f t="shared" si="43"/>
        <v>23</v>
      </c>
      <c r="L145" s="18">
        <f ca="1">IFERROR(__xludf.DUMMYFUNCTION("IF( H155,RANK(H155, FILTER(H$129:H$171, C$129:C$171 = C155), 1),"""")"),11)</f>
        <v>11</v>
      </c>
      <c r="M145" s="39">
        <v>8.4375000000000006E-3</v>
      </c>
      <c r="N145" s="19">
        <f t="shared" si="5"/>
        <v>4.2187500000000003E-3</v>
      </c>
      <c r="O145" s="18">
        <f t="shared" si="44"/>
        <v>32</v>
      </c>
      <c r="P145" s="18">
        <f ca="1">IFERROR(__xludf.DUMMYFUNCTION("IF( M155,RANK(M155, FILTER(M$129:M$171, C$129:C$171 = C155), 1),"""")"),14)</f>
        <v>14</v>
      </c>
      <c r="Q145" s="19">
        <f t="shared" si="7"/>
        <v>2.3923611111111111E-2</v>
      </c>
      <c r="R145" s="20">
        <f t="shared" si="8"/>
        <v>2.3923611111111111E-2</v>
      </c>
      <c r="S145" s="21">
        <f t="shared" si="45"/>
        <v>27</v>
      </c>
      <c r="T145" s="22">
        <f ca="1">IFERROR(__xludf.DUMMYFUNCTION("IF (S155 ,IF(S155 &gt; 3, RANK(Q155, FILTER(R$129:R$171, C$129:C$171 = C155,S$129:S$171 &gt; 3), 1),""""),"""")"),11)</f>
        <v>11</v>
      </c>
      <c r="U145" s="41" t="str">
        <f t="shared" si="46"/>
        <v>Navumenka Hanna</v>
      </c>
      <c r="V145" s="43">
        <f t="shared" si="47"/>
        <v>4.5370370370370373E-3</v>
      </c>
      <c r="W145" s="43">
        <f t="shared" si="48"/>
        <v>1.5486111111111112E-2</v>
      </c>
      <c r="X145" s="43">
        <f t="shared" si="49"/>
        <v>2.3923611111111111E-2</v>
      </c>
      <c r="Y145" s="42">
        <f t="shared" si="50"/>
        <v>0</v>
      </c>
      <c r="Z145" s="43">
        <f>Table1[[#Totals],[После плавания]]-V145</f>
        <v>4.178240740740741E-3</v>
      </c>
      <c r="AA145" s="43">
        <f>Table1[[#Totals],[После вело]]-W145</f>
        <v>4.7569444444444439E-3</v>
      </c>
      <c r="AB145" s="43">
        <f>Table1[[#Totals],[После бега]]-X145</f>
        <v>6.3541666666666677E-3</v>
      </c>
      <c r="AC145" s="40" t="s">
        <v>193</v>
      </c>
      <c r="AD145" s="45">
        <f>TIME(0,40,0)-Table1[[#This Row],[После вело]]</f>
        <v>1.2291666666666664E-2</v>
      </c>
    </row>
    <row r="146" spans="1:30" ht="13" x14ac:dyDescent="0.15">
      <c r="A146" s="36">
        <v>78</v>
      </c>
      <c r="B146" s="37" t="s">
        <v>169</v>
      </c>
      <c r="C146" s="38" t="s">
        <v>141</v>
      </c>
      <c r="D146" s="39">
        <v>3.6458333333333334E-3</v>
      </c>
      <c r="E146" s="14">
        <f t="shared" si="0"/>
        <v>1.2152777777777778E-3</v>
      </c>
      <c r="F146" s="15">
        <f t="shared" si="42"/>
        <v>7</v>
      </c>
      <c r="G146" s="15">
        <f ca="1">IFERROR(__xludf.DUMMYFUNCTION("IF( D156,RANK(D156, FILTER(D$129:D$171, C$129:C$171 = C156), 1),"""")"),6)</f>
        <v>6</v>
      </c>
      <c r="H146" s="39">
        <v>1.1620370370370371E-2</v>
      </c>
      <c r="I146" s="16">
        <f t="shared" si="2"/>
        <v>0.27888888888888891</v>
      </c>
      <c r="J146" s="17">
        <f t="shared" si="3"/>
        <v>28.685258964143426</v>
      </c>
      <c r="K146" s="18">
        <f t="shared" si="43"/>
        <v>33</v>
      </c>
      <c r="L146" s="18">
        <f ca="1">IFERROR(__xludf.DUMMYFUNCTION("IF( H156,RANK(H156, FILTER(H$129:H$171, C$129:C$171 = C156), 1),"""")"),17)</f>
        <v>17</v>
      </c>
      <c r="M146" s="39">
        <v>9.0046296296296298E-3</v>
      </c>
      <c r="N146" s="19">
        <f t="shared" si="5"/>
        <v>4.5023148148148149E-3</v>
      </c>
      <c r="O146" s="18">
        <f t="shared" si="44"/>
        <v>35</v>
      </c>
      <c r="P146" s="18">
        <f ca="1">IFERROR(__xludf.DUMMYFUNCTION("IF( M156,RANK(M156, FILTER(M$129:M$171, C$129:C$171 = C156), 1),"""")"),17)</f>
        <v>17</v>
      </c>
      <c r="Q146" s="19">
        <f t="shared" si="7"/>
        <v>2.4270833333333335E-2</v>
      </c>
      <c r="R146" s="20">
        <f t="shared" si="8"/>
        <v>2.4270833333333335E-2</v>
      </c>
      <c r="S146" s="21">
        <f t="shared" si="45"/>
        <v>28</v>
      </c>
      <c r="T146" s="22">
        <f ca="1">IFERROR(__xludf.DUMMYFUNCTION("IF (S156 ,IF(S156 &gt; 3, RANK(Q156, FILTER(R$129:R$171, C$129:C$171 = C156,S$129:S$171 &gt; 3), 1),""""),"""")"),12)</f>
        <v>12</v>
      </c>
      <c r="U146" s="41" t="str">
        <f t="shared" si="46"/>
        <v>Таначева Александра</v>
      </c>
      <c r="V146" s="43">
        <f t="shared" si="47"/>
        <v>3.6458333333333334E-3</v>
      </c>
      <c r="W146" s="43">
        <f t="shared" si="48"/>
        <v>1.5266203703703705E-2</v>
      </c>
      <c r="X146" s="43">
        <f t="shared" si="49"/>
        <v>2.4270833333333335E-2</v>
      </c>
      <c r="Y146" s="42">
        <f t="shared" si="50"/>
        <v>0</v>
      </c>
      <c r="Z146" s="43">
        <f>Table1[[#Totals],[После плавания]]-V146</f>
        <v>5.069444444444445E-3</v>
      </c>
      <c r="AA146" s="43">
        <f>Table1[[#Totals],[После вело]]-W146</f>
        <v>4.9768518518518504E-3</v>
      </c>
      <c r="AB146" s="43">
        <f>Table1[[#Totals],[После бега]]-X146</f>
        <v>6.0069444444444432E-3</v>
      </c>
      <c r="AC146" s="40" t="s">
        <v>193</v>
      </c>
      <c r="AD146" s="45">
        <f>TIME(0,40,0)-Table1[[#This Row],[После вело]]</f>
        <v>1.2511574074074071E-2</v>
      </c>
    </row>
    <row r="147" spans="1:30" ht="13" x14ac:dyDescent="0.15">
      <c r="A147" s="36">
        <v>74</v>
      </c>
      <c r="B147" s="37" t="s">
        <v>170</v>
      </c>
      <c r="C147" s="38" t="s">
        <v>145</v>
      </c>
      <c r="D147" s="39">
        <v>4.6296296296296294E-3</v>
      </c>
      <c r="E147" s="14">
        <f t="shared" si="0"/>
        <v>1.5432098765432098E-3</v>
      </c>
      <c r="F147" s="15">
        <f t="shared" si="42"/>
        <v>28</v>
      </c>
      <c r="G147" s="15">
        <f ca="1">IFERROR(__xludf.DUMMYFUNCTION("IF( D157,RANK(D157, FILTER(D$129:D$171, C$129:C$171 = C157), 1),"""")"),13)</f>
        <v>13</v>
      </c>
      <c r="H147" s="39">
        <v>1.1388888888888889E-2</v>
      </c>
      <c r="I147" s="16">
        <f t="shared" si="2"/>
        <v>0.27333333333333332</v>
      </c>
      <c r="J147" s="17">
        <f t="shared" si="3"/>
        <v>29.26829268292683</v>
      </c>
      <c r="K147" s="18">
        <f t="shared" si="43"/>
        <v>29</v>
      </c>
      <c r="L147" s="18">
        <f ca="1">IFERROR(__xludf.DUMMYFUNCTION("IF( H157,RANK(H157, FILTER(H$129:H$171, C$129:C$171 = C157), 1),"""")"),14)</f>
        <v>14</v>
      </c>
      <c r="M147" s="39">
        <v>8.3796296296296292E-3</v>
      </c>
      <c r="N147" s="19">
        <f t="shared" si="5"/>
        <v>4.1898148148148146E-3</v>
      </c>
      <c r="O147" s="18">
        <f t="shared" si="44"/>
        <v>30</v>
      </c>
      <c r="P147" s="18">
        <f ca="1">IFERROR(__xludf.DUMMYFUNCTION("IF( M157,RANK(M157, FILTER(M$129:M$171, C$129:C$171 = C157), 1),"""")"),18)</f>
        <v>18</v>
      </c>
      <c r="Q147" s="19">
        <f t="shared" si="7"/>
        <v>2.4398148148148148E-2</v>
      </c>
      <c r="R147" s="20">
        <f t="shared" si="8"/>
        <v>2.4398148148148148E-2</v>
      </c>
      <c r="S147" s="21">
        <f t="shared" si="45"/>
        <v>29</v>
      </c>
      <c r="T147" s="22">
        <f ca="1">IFERROR(__xludf.DUMMYFUNCTION("IF (S157 ,IF(S157 &gt; 3, RANK(Q157, FILTER(R$129:R$171, C$129:C$171 = C157,S$129:S$171 &gt; 3), 1),""""),"""")"),14)</f>
        <v>14</v>
      </c>
      <c r="U147" s="41" t="str">
        <f t="shared" si="46"/>
        <v>Войтович Мария</v>
      </c>
      <c r="V147" s="43">
        <f t="shared" si="47"/>
        <v>4.6296296296296294E-3</v>
      </c>
      <c r="W147" s="43">
        <f t="shared" si="48"/>
        <v>1.6018518518518519E-2</v>
      </c>
      <c r="X147" s="43">
        <f t="shared" si="49"/>
        <v>2.4398148148148148E-2</v>
      </c>
      <c r="Y147" s="42">
        <f t="shared" si="50"/>
        <v>0</v>
      </c>
      <c r="Z147" s="43">
        <f>Table1[[#Totals],[После плавания]]-V147</f>
        <v>4.085648148148149E-3</v>
      </c>
      <c r="AA147" s="43">
        <f>Table1[[#Totals],[После вело]]-W147</f>
        <v>4.2245370370370371E-3</v>
      </c>
      <c r="AB147" s="43">
        <f>Table1[[#Totals],[После бега]]-X147</f>
        <v>5.8796296296296305E-3</v>
      </c>
      <c r="AC147" s="40" t="s">
        <v>193</v>
      </c>
      <c r="AD147" s="45">
        <f>TIME(0,40,0)-Table1[[#This Row],[После вело]]</f>
        <v>1.1759259259259257E-2</v>
      </c>
    </row>
    <row r="148" spans="1:30" ht="13" x14ac:dyDescent="0.15">
      <c r="A148" s="36">
        <v>77</v>
      </c>
      <c r="B148" s="37" t="s">
        <v>171</v>
      </c>
      <c r="C148" s="38" t="s">
        <v>145</v>
      </c>
      <c r="D148" s="39">
        <v>3.9699074074074072E-3</v>
      </c>
      <c r="E148" s="14">
        <f t="shared" si="0"/>
        <v>1.3233024691358024E-3</v>
      </c>
      <c r="F148" s="15">
        <f t="shared" si="42"/>
        <v>13</v>
      </c>
      <c r="G148" s="15">
        <f ca="1">IFERROR(__xludf.DUMMYFUNCTION("IF( D158,RANK(D158, FILTER(D$129:D$171, C$129:C$171 = C158), 1),"""")"),4)</f>
        <v>4</v>
      </c>
      <c r="H148" s="39">
        <v>1.1493055555555555E-2</v>
      </c>
      <c r="I148" s="16">
        <f t="shared" si="2"/>
        <v>0.27583333333333332</v>
      </c>
      <c r="J148" s="17">
        <f t="shared" si="3"/>
        <v>29.003021148036254</v>
      </c>
      <c r="K148" s="18">
        <f t="shared" si="43"/>
        <v>30</v>
      </c>
      <c r="L148" s="18">
        <f ca="1">IFERROR(__xludf.DUMMYFUNCTION("IF( H158,RANK(H158, FILTER(H$129:H$171, C$129:C$171 = C158), 1),"""")"),15)</f>
        <v>15</v>
      </c>
      <c r="M148" s="39">
        <v>9.1203703703703707E-3</v>
      </c>
      <c r="N148" s="19">
        <f t="shared" si="5"/>
        <v>4.5601851851851853E-3</v>
      </c>
      <c r="O148" s="18">
        <f t="shared" si="44"/>
        <v>36</v>
      </c>
      <c r="P148" s="18">
        <f ca="1">IFERROR(__xludf.DUMMYFUNCTION("IF( M158,RANK(M158, FILTER(M$129:M$171, C$129:C$171 = C158), 1),"""")"),19)</f>
        <v>19</v>
      </c>
      <c r="Q148" s="19">
        <f t="shared" si="7"/>
        <v>2.4583333333333332E-2</v>
      </c>
      <c r="R148" s="20">
        <f t="shared" si="8"/>
        <v>2.4583333333333332E-2</v>
      </c>
      <c r="S148" s="21">
        <f t="shared" si="45"/>
        <v>30</v>
      </c>
      <c r="T148" s="22">
        <f ca="1">IFERROR(__xludf.DUMMYFUNCTION("IF (S158 ,IF(S158 &gt; 3, RANK(Q158, FILTER(R$129:R$171, C$129:C$171 = C158,S$129:S$171 &gt; 3), 1),""""),"""")"),15)</f>
        <v>15</v>
      </c>
      <c r="U148" s="41" t="str">
        <f t="shared" si="46"/>
        <v>Astrouskaya Veronika</v>
      </c>
      <c r="V148" s="43">
        <f t="shared" si="47"/>
        <v>3.9699074074074072E-3</v>
      </c>
      <c r="W148" s="43">
        <f t="shared" si="48"/>
        <v>1.5462962962962963E-2</v>
      </c>
      <c r="X148" s="43">
        <f t="shared" si="49"/>
        <v>2.4583333333333332E-2</v>
      </c>
      <c r="Y148" s="42">
        <f t="shared" si="50"/>
        <v>0</v>
      </c>
      <c r="Z148" s="43">
        <f>Table1[[#Totals],[После плавания]]-V148</f>
        <v>4.7453703703703711E-3</v>
      </c>
      <c r="AA148" s="43">
        <f>Table1[[#Totals],[После вело]]-W148</f>
        <v>4.7800925925925927E-3</v>
      </c>
      <c r="AB148" s="43">
        <f>Table1[[#Totals],[После бега]]-X148</f>
        <v>5.6944444444444464E-3</v>
      </c>
      <c r="AC148" s="40" t="s">
        <v>193</v>
      </c>
      <c r="AD148" s="45">
        <f>TIME(0,40,0)-Table1[[#This Row],[После вело]]</f>
        <v>1.2314814814814813E-2</v>
      </c>
    </row>
    <row r="149" spans="1:30" ht="13" x14ac:dyDescent="0.15">
      <c r="A149" s="36">
        <v>151</v>
      </c>
      <c r="B149" s="37" t="s">
        <v>172</v>
      </c>
      <c r="C149" s="38" t="s">
        <v>141</v>
      </c>
      <c r="D149" s="39">
        <v>6.3425925925925924E-3</v>
      </c>
      <c r="E149" s="14">
        <f t="shared" si="0"/>
        <v>2.1141975308641976E-3</v>
      </c>
      <c r="F149" s="15">
        <f t="shared" si="42"/>
        <v>40</v>
      </c>
      <c r="G149" s="15">
        <f ca="1">IFERROR(__xludf.DUMMYFUNCTION("IF( D159,RANK(D159, FILTER(D$129:D$171, C$129:C$171 = C159), 1),"""")"),21)</f>
        <v>21</v>
      </c>
      <c r="H149" s="39">
        <v>1.1168981481481481E-2</v>
      </c>
      <c r="I149" s="16">
        <f t="shared" si="2"/>
        <v>0.26805555555555555</v>
      </c>
      <c r="J149" s="17">
        <f t="shared" si="3"/>
        <v>29.844559585492227</v>
      </c>
      <c r="K149" s="18">
        <f t="shared" si="43"/>
        <v>26</v>
      </c>
      <c r="L149" s="18">
        <f ca="1">IFERROR(__xludf.DUMMYFUNCTION("IF( H159,RANK(H159, FILTER(H$129:H$171, C$129:C$171 = C159), 1),"""")"),14)</f>
        <v>14</v>
      </c>
      <c r="M149" s="39">
        <v>7.2800925925925923E-3</v>
      </c>
      <c r="N149" s="19">
        <f t="shared" si="5"/>
        <v>3.6400462962962962E-3</v>
      </c>
      <c r="O149" s="18">
        <f t="shared" si="44"/>
        <v>19</v>
      </c>
      <c r="P149" s="18">
        <f ca="1">IFERROR(__xludf.DUMMYFUNCTION("IF( M159,RANK(M159, FILTER(M$129:M$171, C$129:C$171 = C159), 1),"""")"),8)</f>
        <v>8</v>
      </c>
      <c r="Q149" s="19">
        <f t="shared" si="7"/>
        <v>2.4791666666666667E-2</v>
      </c>
      <c r="R149" s="20">
        <f t="shared" si="8"/>
        <v>2.4791666666666667E-2</v>
      </c>
      <c r="S149" s="21">
        <f t="shared" si="45"/>
        <v>31</v>
      </c>
      <c r="T149" s="22">
        <f ca="1">IFERROR(__xludf.DUMMYFUNCTION("IF (S159 ,IF(S159 &gt; 3, RANK(Q159, FILTER(R$129:R$171, C$129:C$171 = C159,S$129:S$171 &gt; 3), 1),""""),"""")"),13)</f>
        <v>13</v>
      </c>
      <c r="U149" s="41" t="str">
        <f t="shared" si="46"/>
        <v>Севрук Елизавета</v>
      </c>
      <c r="V149" s="43">
        <f t="shared" si="47"/>
        <v>6.3425925925925924E-3</v>
      </c>
      <c r="W149" s="43">
        <f t="shared" si="48"/>
        <v>1.7511574074074075E-2</v>
      </c>
      <c r="X149" s="43">
        <f t="shared" si="49"/>
        <v>2.4791666666666667E-2</v>
      </c>
      <c r="Y149" s="42">
        <f t="shared" si="50"/>
        <v>0</v>
      </c>
      <c r="Z149" s="43">
        <f>Table1[[#Totals],[После плавания]]-V149</f>
        <v>2.372685185185186E-3</v>
      </c>
      <c r="AA149" s="43">
        <f>Table1[[#Totals],[После вело]]-W149</f>
        <v>2.7314814814814806E-3</v>
      </c>
      <c r="AB149" s="43">
        <f>Table1[[#Totals],[После бега]]-X149</f>
        <v>5.4861111111111117E-3</v>
      </c>
      <c r="AC149" s="40" t="s">
        <v>193</v>
      </c>
      <c r="AD149" s="45">
        <f>TIME(0,40,0)-Table1[[#This Row],[После вело]]</f>
        <v>1.0266203703703701E-2</v>
      </c>
    </row>
    <row r="150" spans="1:30" ht="13" x14ac:dyDescent="0.15">
      <c r="A150" s="36">
        <v>69</v>
      </c>
      <c r="B150" s="37" t="s">
        <v>173</v>
      </c>
      <c r="C150" s="38" t="s">
        <v>141</v>
      </c>
      <c r="D150" s="39">
        <v>3.8425925925925928E-3</v>
      </c>
      <c r="E150" s="14">
        <f t="shared" si="0"/>
        <v>1.2808641975308643E-3</v>
      </c>
      <c r="F150" s="15">
        <f t="shared" si="42"/>
        <v>11</v>
      </c>
      <c r="G150" s="15">
        <f ca="1">IFERROR(__xludf.DUMMYFUNCTION("IF( D160,RANK(D160, FILTER(D$129:D$171, C$129:C$171 = C160), 1),"""")"),8)</f>
        <v>8</v>
      </c>
      <c r="H150" s="39">
        <v>1.2523148148148148E-2</v>
      </c>
      <c r="I150" s="16">
        <f t="shared" si="2"/>
        <v>0.30055555555555558</v>
      </c>
      <c r="J150" s="17">
        <f t="shared" si="3"/>
        <v>26.617375231053604</v>
      </c>
      <c r="K150" s="18">
        <f t="shared" si="43"/>
        <v>40</v>
      </c>
      <c r="L150" s="18">
        <f ca="1">IFERROR(__xludf.DUMMYFUNCTION("IF( H160,RANK(H160, FILTER(H$129:H$171, C$129:C$171 = C160), 1),"""")"),20)</f>
        <v>20</v>
      </c>
      <c r="M150" s="39">
        <v>8.773148148148148E-3</v>
      </c>
      <c r="N150" s="19">
        <f t="shared" si="5"/>
        <v>4.386574074074074E-3</v>
      </c>
      <c r="O150" s="18">
        <f t="shared" si="44"/>
        <v>33</v>
      </c>
      <c r="P150" s="18">
        <f ca="1">IFERROR(__xludf.DUMMYFUNCTION("IF( M160,RANK(M160, FILTER(M$129:M$171, C$129:C$171 = C160), 1),"""")"),15)</f>
        <v>15</v>
      </c>
      <c r="Q150" s="19">
        <f t="shared" si="7"/>
        <v>2.5138888888888888E-2</v>
      </c>
      <c r="R150" s="20">
        <f t="shared" si="8"/>
        <v>2.5138888888888888E-2</v>
      </c>
      <c r="S150" s="21">
        <f t="shared" si="45"/>
        <v>32</v>
      </c>
      <c r="T150" s="22">
        <f ca="1">IFERROR(__xludf.DUMMYFUNCTION("IF (S160 ,IF(S160 &gt; 3, RANK(Q160, FILTER(R$129:R$171, C$129:C$171 = C160,S$129:S$171 &gt; 3), 1),""""),"""")"),14)</f>
        <v>14</v>
      </c>
      <c r="U150" s="41" t="str">
        <f t="shared" si="46"/>
        <v>Мельникова Елизавета</v>
      </c>
      <c r="V150" s="43">
        <f t="shared" si="47"/>
        <v>3.8425925925925928E-3</v>
      </c>
      <c r="W150" s="43">
        <f t="shared" si="48"/>
        <v>1.636574074074074E-2</v>
      </c>
      <c r="X150" s="43">
        <f t="shared" si="49"/>
        <v>2.5138888888888888E-2</v>
      </c>
      <c r="Y150" s="42">
        <f t="shared" si="50"/>
        <v>0</v>
      </c>
      <c r="Z150" s="43">
        <f>Table1[[#Totals],[После плавания]]-V150</f>
        <v>4.8726851851851856E-3</v>
      </c>
      <c r="AA150" s="43">
        <f>Table1[[#Totals],[После вело]]-W150</f>
        <v>3.8773148148148161E-3</v>
      </c>
      <c r="AB150" s="43">
        <f>Table1[[#Totals],[После бега]]-X150</f>
        <v>5.1388888888888908E-3</v>
      </c>
      <c r="AC150" s="40" t="s">
        <v>193</v>
      </c>
      <c r="AD150" s="45">
        <f>TIME(0,40,0)-Table1[[#This Row],[После вело]]</f>
        <v>1.1412037037037037E-2</v>
      </c>
    </row>
    <row r="151" spans="1:30" ht="13" x14ac:dyDescent="0.15">
      <c r="A151" s="36">
        <v>70</v>
      </c>
      <c r="B151" s="37" t="s">
        <v>174</v>
      </c>
      <c r="C151" s="38" t="s">
        <v>141</v>
      </c>
      <c r="D151" s="39">
        <v>4.5601851851851853E-3</v>
      </c>
      <c r="E151" s="14">
        <f t="shared" si="0"/>
        <v>1.5200617283950618E-3</v>
      </c>
      <c r="F151" s="15">
        <f t="shared" si="42"/>
        <v>25</v>
      </c>
      <c r="G151" s="15">
        <f ca="1">IFERROR(__xludf.DUMMYFUNCTION("IF( D161,RANK(D161, FILTER(D$129:D$171, C$129:C$171 = C161), 1),"""")"),14)</f>
        <v>14</v>
      </c>
      <c r="H151" s="39">
        <v>1.1597222222222222E-2</v>
      </c>
      <c r="I151" s="16">
        <f t="shared" si="2"/>
        <v>0.27833333333333332</v>
      </c>
      <c r="J151" s="17">
        <f t="shared" si="3"/>
        <v>28.742514970059883</v>
      </c>
      <c r="K151" s="18">
        <f t="shared" si="43"/>
        <v>32</v>
      </c>
      <c r="L151" s="18">
        <f ca="1">IFERROR(__xludf.DUMMYFUNCTION("IF( H161,RANK(H161, FILTER(H$129:H$171, C$129:C$171 = C161), 1),"""")"),16)</f>
        <v>16</v>
      </c>
      <c r="M151" s="39">
        <v>9.2476851851851852E-3</v>
      </c>
      <c r="N151" s="19">
        <f t="shared" si="5"/>
        <v>4.6238425925925926E-3</v>
      </c>
      <c r="O151" s="18">
        <f t="shared" si="44"/>
        <v>37</v>
      </c>
      <c r="P151" s="18">
        <f ca="1">IFERROR(__xludf.DUMMYFUNCTION("IF( M161,RANK(M161, FILTER(M$129:M$171, C$129:C$171 = C161), 1),"""")"),18)</f>
        <v>18</v>
      </c>
      <c r="Q151" s="19">
        <f t="shared" si="7"/>
        <v>2.5405092592592594E-2</v>
      </c>
      <c r="R151" s="20">
        <f t="shared" si="8"/>
        <v>2.5405092592592594E-2</v>
      </c>
      <c r="S151" s="21">
        <f t="shared" si="45"/>
        <v>33</v>
      </c>
      <c r="T151" s="22">
        <f ca="1">IFERROR(__xludf.DUMMYFUNCTION("IF (S161 ,IF(S161 &gt; 3, RANK(Q161, FILTER(R$129:R$171, C$129:C$171 = C161,S$129:S$171 &gt; 3), 1),""""),"""")"),15)</f>
        <v>15</v>
      </c>
      <c r="U151" s="41" t="str">
        <f t="shared" si="46"/>
        <v>Савченко Ангелина</v>
      </c>
      <c r="V151" s="43">
        <f t="shared" si="47"/>
        <v>4.5601851851851853E-3</v>
      </c>
      <c r="W151" s="43">
        <f t="shared" si="48"/>
        <v>1.6157407407407409E-2</v>
      </c>
      <c r="X151" s="43">
        <f t="shared" si="49"/>
        <v>2.5405092592592594E-2</v>
      </c>
      <c r="Y151" s="42">
        <f t="shared" si="50"/>
        <v>0</v>
      </c>
      <c r="Z151" s="43">
        <f>Table1[[#Totals],[После плавания]]-V151</f>
        <v>4.155092592592593E-3</v>
      </c>
      <c r="AA151" s="43">
        <f>Table1[[#Totals],[После вело]]-W151</f>
        <v>4.0856481481481473E-3</v>
      </c>
      <c r="AB151" s="43">
        <f>Table1[[#Totals],[После бега]]-X151</f>
        <v>4.8726851851851848E-3</v>
      </c>
      <c r="AC151" s="40" t="s">
        <v>193</v>
      </c>
      <c r="AD151" s="45">
        <f>TIME(0,40,0)-Table1[[#This Row],[После вело]]</f>
        <v>1.1620370370370368E-2</v>
      </c>
    </row>
    <row r="152" spans="1:30" ht="13" x14ac:dyDescent="0.15">
      <c r="A152" s="36">
        <v>55</v>
      </c>
      <c r="B152" s="37" t="s">
        <v>175</v>
      </c>
      <c r="C152" s="38" t="s">
        <v>145</v>
      </c>
      <c r="D152" s="39">
        <v>5.7291666666666663E-3</v>
      </c>
      <c r="E152" s="14">
        <f t="shared" si="0"/>
        <v>1.9097222222222222E-3</v>
      </c>
      <c r="F152" s="15">
        <f t="shared" si="42"/>
        <v>36</v>
      </c>
      <c r="G152" s="15">
        <f ca="1">IFERROR(__xludf.DUMMYFUNCTION("IF( D162,RANK(D162, FILTER(D$129:D$171, C$129:C$171 = C162), 1),"""")"),17)</f>
        <v>17</v>
      </c>
      <c r="H152" s="39">
        <v>1.1793981481481482E-2</v>
      </c>
      <c r="I152" s="16">
        <f t="shared" si="2"/>
        <v>0.28305555555555556</v>
      </c>
      <c r="J152" s="17">
        <f t="shared" si="3"/>
        <v>28.263002944062805</v>
      </c>
      <c r="K152" s="18">
        <f t="shared" si="43"/>
        <v>36</v>
      </c>
      <c r="L152" s="18">
        <f ca="1">IFERROR(__xludf.DUMMYFUNCTION("IF( H162,RANK(H162, FILTER(H$129:H$171, C$129:C$171 = C162), 1),"""")"),17)</f>
        <v>17</v>
      </c>
      <c r="M152" s="39">
        <v>7.9398148148148145E-3</v>
      </c>
      <c r="N152" s="19">
        <f t="shared" si="5"/>
        <v>3.9699074074074072E-3</v>
      </c>
      <c r="O152" s="18">
        <f t="shared" si="44"/>
        <v>25</v>
      </c>
      <c r="P152" s="18">
        <f ca="1">IFERROR(__xludf.DUMMYFUNCTION("IF( M162,RANK(M162, FILTER(M$129:M$171, C$129:C$171 = C162), 1),"""")"),14)</f>
        <v>14</v>
      </c>
      <c r="Q152" s="19">
        <f t="shared" si="7"/>
        <v>2.5462962962962965E-2</v>
      </c>
      <c r="R152" s="20">
        <f t="shared" si="8"/>
        <v>2.5462962962962965E-2</v>
      </c>
      <c r="S152" s="21">
        <f t="shared" si="45"/>
        <v>34</v>
      </c>
      <c r="T152" s="22">
        <f ca="1">IFERROR(__xludf.DUMMYFUNCTION("IF (S162 ,IF(S162 &gt; 3, RANK(Q162, FILTER(R$129:R$171, C$129:C$171 = C162,S$129:S$171 &gt; 3), 1),""""),"""")"),16)</f>
        <v>16</v>
      </c>
      <c r="U152" s="41" t="str">
        <f t="shared" si="46"/>
        <v>Моисеева Вероника</v>
      </c>
      <c r="V152" s="43">
        <f t="shared" si="47"/>
        <v>5.7291666666666663E-3</v>
      </c>
      <c r="W152" s="43">
        <f t="shared" si="48"/>
        <v>1.7523148148148149E-2</v>
      </c>
      <c r="X152" s="43">
        <f t="shared" si="49"/>
        <v>2.5462962962962965E-2</v>
      </c>
      <c r="Y152" s="42">
        <f t="shared" si="50"/>
        <v>0</v>
      </c>
      <c r="Z152" s="43">
        <f>Table1[[#Totals],[После плавания]]-V152</f>
        <v>2.9861111111111121E-3</v>
      </c>
      <c r="AA152" s="43">
        <f>Table1[[#Totals],[После вело]]-W152</f>
        <v>2.719907407407407E-3</v>
      </c>
      <c r="AB152" s="43">
        <f>Table1[[#Totals],[После бега]]-X152</f>
        <v>4.8148148148148134E-3</v>
      </c>
      <c r="AC152" s="40" t="s">
        <v>193</v>
      </c>
      <c r="AD152" s="45">
        <f>TIME(0,40,0)-Table1[[#This Row],[После вело]]</f>
        <v>1.0254629629629627E-2</v>
      </c>
    </row>
    <row r="153" spans="1:30" ht="13" x14ac:dyDescent="0.15">
      <c r="A153" s="36">
        <v>88</v>
      </c>
      <c r="B153" s="37" t="s">
        <v>176</v>
      </c>
      <c r="C153" s="38" t="s">
        <v>145</v>
      </c>
      <c r="D153" s="39">
        <v>5.9837962962962961E-3</v>
      </c>
      <c r="E153" s="14">
        <f t="shared" si="0"/>
        <v>1.9945987654320986E-3</v>
      </c>
      <c r="F153" s="15">
        <f t="shared" si="42"/>
        <v>38</v>
      </c>
      <c r="G153" s="15">
        <f ca="1">IFERROR(__xludf.DUMMYFUNCTION("IF( D163,RANK(D163, FILTER(D$129:D$171, C$129:C$171 = C163), 1),"""")"),18)</f>
        <v>18</v>
      </c>
      <c r="H153" s="39">
        <v>1.3182870370370371E-2</v>
      </c>
      <c r="I153" s="16">
        <f t="shared" si="2"/>
        <v>0.31638888888888889</v>
      </c>
      <c r="J153" s="17">
        <f t="shared" si="3"/>
        <v>25.285338015803337</v>
      </c>
      <c r="K153" s="18">
        <f t="shared" si="43"/>
        <v>41</v>
      </c>
      <c r="L153" s="18">
        <f ca="1">IFERROR(__xludf.DUMMYFUNCTION("IF( H163,RANK(H163, FILTER(H$129:H$171, C$129:C$171 = C163), 1),"""")"),21)</f>
        <v>21</v>
      </c>
      <c r="M153" s="39">
        <v>6.7592592592592591E-3</v>
      </c>
      <c r="N153" s="19">
        <f t="shared" si="5"/>
        <v>3.3796296296296296E-3</v>
      </c>
      <c r="O153" s="18">
        <f t="shared" si="44"/>
        <v>10</v>
      </c>
      <c r="P153" s="18">
        <f ca="1">IFERROR(__xludf.DUMMYFUNCTION("IF( M163,RANK(M163, FILTER(M$129:M$171, C$129:C$171 = C163), 1),"""")"),5)</f>
        <v>5</v>
      </c>
      <c r="Q153" s="19">
        <f t="shared" si="7"/>
        <v>2.5925925925925925E-2</v>
      </c>
      <c r="R153" s="20">
        <f t="shared" si="8"/>
        <v>2.5925925925925925E-2</v>
      </c>
      <c r="S153" s="21">
        <f t="shared" si="45"/>
        <v>35</v>
      </c>
      <c r="T153" s="22">
        <f ca="1">IFERROR(__xludf.DUMMYFUNCTION("IF (S163 ,IF(S163 &gt; 3, RANK(Q163, FILTER(R$129:R$171, C$129:C$171 = C163,S$129:S$171 &gt; 3), 1),""""),"""")"),17)</f>
        <v>17</v>
      </c>
      <c r="U153" s="41" t="str">
        <f t="shared" si="46"/>
        <v>Григорьева Светлана</v>
      </c>
      <c r="V153" s="43">
        <f t="shared" si="47"/>
        <v>5.9837962962962961E-3</v>
      </c>
      <c r="W153" s="43">
        <f t="shared" si="48"/>
        <v>1.9166666666666665E-2</v>
      </c>
      <c r="X153" s="43">
        <f t="shared" si="49"/>
        <v>2.5925925925925925E-2</v>
      </c>
      <c r="Y153" s="42">
        <f t="shared" si="50"/>
        <v>0</v>
      </c>
      <c r="Z153" s="43">
        <f>Table1[[#Totals],[После плавания]]-V153</f>
        <v>2.7314814814814823E-3</v>
      </c>
      <c r="AA153" s="43">
        <f>Table1[[#Totals],[После вело]]-W153</f>
        <v>1.0763888888888906E-3</v>
      </c>
      <c r="AB153" s="43">
        <f>Table1[[#Totals],[После бега]]-X153</f>
        <v>4.3518518518518533E-3</v>
      </c>
      <c r="AC153" s="40" t="s">
        <v>193</v>
      </c>
      <c r="AD153" s="45">
        <f>TIME(0,40,0)-Table1[[#This Row],[После вело]]</f>
        <v>8.611111111111111E-3</v>
      </c>
    </row>
    <row r="154" spans="1:30" ht="13" x14ac:dyDescent="0.15">
      <c r="A154" s="36">
        <v>80</v>
      </c>
      <c r="B154" s="37" t="s">
        <v>177</v>
      </c>
      <c r="C154" s="38" t="s">
        <v>145</v>
      </c>
      <c r="D154" s="39">
        <v>5.5902777777777773E-3</v>
      </c>
      <c r="E154" s="14">
        <f t="shared" si="0"/>
        <v>1.8634259259259257E-3</v>
      </c>
      <c r="F154" s="15">
        <f t="shared" si="42"/>
        <v>35</v>
      </c>
      <c r="G154" s="15">
        <f ca="1">IFERROR(__xludf.DUMMYFUNCTION("IF( D164,RANK(D164, FILTER(D$129:D$171, C$129:C$171 = C164), 1),"""")"),16)</f>
        <v>16</v>
      </c>
      <c r="H154" s="39">
        <v>1.0868055555555556E-2</v>
      </c>
      <c r="I154" s="16">
        <f t="shared" si="2"/>
        <v>0.26083333333333336</v>
      </c>
      <c r="J154" s="17">
        <f t="shared" si="3"/>
        <v>30.670926517571882</v>
      </c>
      <c r="K154" s="18">
        <f t="shared" si="43"/>
        <v>19</v>
      </c>
      <c r="L154" s="18">
        <f ca="1">IFERROR(__xludf.DUMMYFUNCTION("IF( H164,RANK(H164, FILTER(H$129:H$171, C$129:C$171 = C164), 1),"""")"),10)</f>
        <v>10</v>
      </c>
      <c r="M154" s="39">
        <v>9.8379629629629633E-3</v>
      </c>
      <c r="N154" s="19">
        <f t="shared" si="5"/>
        <v>4.9189814814814816E-3</v>
      </c>
      <c r="O154" s="18">
        <f t="shared" si="44"/>
        <v>38</v>
      </c>
      <c r="P154" s="18">
        <f ca="1">IFERROR(__xludf.DUMMYFUNCTION("IF( M164,RANK(M164, FILTER(M$129:M$171, C$129:C$171 = C164), 1),"""")"),20)</f>
        <v>20</v>
      </c>
      <c r="Q154" s="19">
        <f t="shared" si="7"/>
        <v>2.6296296296296297E-2</v>
      </c>
      <c r="R154" s="20">
        <f t="shared" si="8"/>
        <v>2.6296296296296297E-2</v>
      </c>
      <c r="S154" s="21">
        <f t="shared" si="45"/>
        <v>36</v>
      </c>
      <c r="T154" s="22">
        <f ca="1">IFERROR(__xludf.DUMMYFUNCTION("IF (S164 ,IF(S164 &gt; 3, RANK(Q164, FILTER(R$129:R$171, C$129:C$171 = C164,S$129:S$171 &gt; 3), 1),""""),"""")"),18)</f>
        <v>18</v>
      </c>
      <c r="U154" s="41" t="str">
        <f t="shared" si="46"/>
        <v>Колесникова Марина</v>
      </c>
      <c r="V154" s="43">
        <f t="shared" si="47"/>
        <v>5.5902777777777773E-3</v>
      </c>
      <c r="W154" s="43">
        <f t="shared" si="48"/>
        <v>1.6458333333333332E-2</v>
      </c>
      <c r="X154" s="43">
        <f t="shared" si="49"/>
        <v>2.6296296296296297E-2</v>
      </c>
      <c r="Y154" s="42">
        <f t="shared" si="50"/>
        <v>0</v>
      </c>
      <c r="Z154" s="43">
        <f>Table1[[#Totals],[После плавания]]-V154</f>
        <v>3.125000000000001E-3</v>
      </c>
      <c r="AA154" s="43">
        <f>Table1[[#Totals],[После вело]]-W154</f>
        <v>3.784722222222224E-3</v>
      </c>
      <c r="AB154" s="43">
        <f>Table1[[#Totals],[После бега]]-X154</f>
        <v>3.9814814814814817E-3</v>
      </c>
      <c r="AC154" s="40" t="s">
        <v>193</v>
      </c>
      <c r="AD154" s="45">
        <f>TIME(0,40,0)-Table1[[#This Row],[После вело]]</f>
        <v>1.1319444444444444E-2</v>
      </c>
    </row>
    <row r="155" spans="1:30" ht="13" x14ac:dyDescent="0.15">
      <c r="A155" s="36">
        <v>67</v>
      </c>
      <c r="B155" s="37" t="s">
        <v>178</v>
      </c>
      <c r="C155" s="38" t="s">
        <v>145</v>
      </c>
      <c r="D155" s="39">
        <v>6.4930555555555557E-3</v>
      </c>
      <c r="E155" s="14">
        <f t="shared" si="0"/>
        <v>2.1643518518518518E-3</v>
      </c>
      <c r="F155" s="15">
        <f t="shared" si="42"/>
        <v>41</v>
      </c>
      <c r="G155" s="15">
        <f ca="1">IFERROR(__xludf.DUMMYFUNCTION("IF( D165,RANK(D165, FILTER(D$129:D$171, C$129:C$171 = C165), 1),"""")"),20)</f>
        <v>20</v>
      </c>
      <c r="H155" s="39">
        <v>1.2118055555555556E-2</v>
      </c>
      <c r="I155" s="16">
        <f t="shared" si="2"/>
        <v>0.29083333333333333</v>
      </c>
      <c r="J155" s="17">
        <f t="shared" si="3"/>
        <v>27.507163323782233</v>
      </c>
      <c r="K155" s="18">
        <f t="shared" si="43"/>
        <v>37</v>
      </c>
      <c r="L155" s="18">
        <f ca="1">IFERROR(__xludf.DUMMYFUNCTION("IF( H165,RANK(H165, FILTER(H$129:H$171, C$129:C$171 = C165), 1),"""")"),18)</f>
        <v>18</v>
      </c>
      <c r="M155" s="39">
        <v>8.1481481481481474E-3</v>
      </c>
      <c r="N155" s="19">
        <f t="shared" si="5"/>
        <v>4.0740740740740737E-3</v>
      </c>
      <c r="O155" s="18">
        <f t="shared" si="44"/>
        <v>29</v>
      </c>
      <c r="P155" s="18">
        <f ca="1">IFERROR(__xludf.DUMMYFUNCTION("IF( M165,RANK(M165, FILTER(M$129:M$171, C$129:C$171 = C165), 1),"""")"),17)</f>
        <v>17</v>
      </c>
      <c r="Q155" s="19">
        <f t="shared" si="7"/>
        <v>2.675925925925926E-2</v>
      </c>
      <c r="R155" s="20">
        <f t="shared" si="8"/>
        <v>2.675925925925926E-2</v>
      </c>
      <c r="S155" s="21">
        <f t="shared" si="45"/>
        <v>37</v>
      </c>
      <c r="T155" s="22">
        <f ca="1">IFERROR(__xludf.DUMMYFUNCTION("IF (S165 ,IF(S165 &gt; 3, RANK(Q165, FILTER(R$129:R$171, C$129:C$171 = C165,S$129:S$171 &gt; 3), 1),""""),"""")"),19)</f>
        <v>19</v>
      </c>
      <c r="U155" s="41" t="str">
        <f t="shared" si="46"/>
        <v>Чадович Яна</v>
      </c>
      <c r="V155" s="43">
        <f t="shared" si="47"/>
        <v>6.4930555555555557E-3</v>
      </c>
      <c r="W155" s="43">
        <f t="shared" si="48"/>
        <v>1.8611111111111113E-2</v>
      </c>
      <c r="X155" s="43">
        <f t="shared" si="49"/>
        <v>2.675925925925926E-2</v>
      </c>
      <c r="Y155" s="42">
        <f t="shared" si="50"/>
        <v>0</v>
      </c>
      <c r="Z155" s="43">
        <f>Table1[[#Totals],[После плавания]]-V155</f>
        <v>2.2222222222222227E-3</v>
      </c>
      <c r="AA155" s="43">
        <f>Table1[[#Totals],[После вело]]-W155</f>
        <v>1.6319444444444428E-3</v>
      </c>
      <c r="AB155" s="43">
        <f>Table1[[#Totals],[После бега]]-X155</f>
        <v>3.518518518518518E-3</v>
      </c>
      <c r="AC155" s="40" t="s">
        <v>193</v>
      </c>
      <c r="AD155" s="45">
        <f>TIME(0,40,0)-Table1[[#This Row],[После вело]]</f>
        <v>9.1666666666666632E-3</v>
      </c>
    </row>
    <row r="156" spans="1:30" ht="13" x14ac:dyDescent="0.15">
      <c r="A156" s="36">
        <v>64</v>
      </c>
      <c r="B156" s="37" t="s">
        <v>179</v>
      </c>
      <c r="C156" s="38" t="s">
        <v>141</v>
      </c>
      <c r="D156" s="39">
        <v>4.6412037037037038E-3</v>
      </c>
      <c r="E156" s="14">
        <f t="shared" si="0"/>
        <v>1.5470679012345679E-3</v>
      </c>
      <c r="F156" s="15">
        <f t="shared" si="42"/>
        <v>29</v>
      </c>
      <c r="G156" s="15">
        <f ca="1">IFERROR(__xludf.DUMMYFUNCTION("IF( D166,RANK(D166, FILTER(D$129:D$171, C$129:C$171 = C166), 1),"""")"),16)</f>
        <v>16</v>
      </c>
      <c r="H156" s="39">
        <v>1.1689814814814814E-2</v>
      </c>
      <c r="I156" s="16">
        <f t="shared" si="2"/>
        <v>0.28055555555555556</v>
      </c>
      <c r="J156" s="17">
        <f t="shared" si="3"/>
        <v>28.514851485148515</v>
      </c>
      <c r="K156" s="18">
        <f t="shared" si="43"/>
        <v>35</v>
      </c>
      <c r="L156" s="18">
        <f ca="1">IFERROR(__xludf.DUMMYFUNCTION("IF( H166,RANK(H166, FILTER(H$129:H$171, C$129:C$171 = C166), 1),"""")"),19)</f>
        <v>19</v>
      </c>
      <c r="M156" s="39">
        <v>1.0451388888888889E-2</v>
      </c>
      <c r="N156" s="19">
        <f t="shared" si="5"/>
        <v>5.2256944444444443E-3</v>
      </c>
      <c r="O156" s="18">
        <f t="shared" si="44"/>
        <v>39</v>
      </c>
      <c r="P156" s="18">
        <f ca="1">IFERROR(__xludf.DUMMYFUNCTION("IF( M166,RANK(M166, FILTER(M$129:M$171, C$129:C$171 = C166), 1),"""")"),19)</f>
        <v>19</v>
      </c>
      <c r="Q156" s="19">
        <f t="shared" si="7"/>
        <v>2.6782407407407408E-2</v>
      </c>
      <c r="R156" s="20">
        <f t="shared" si="8"/>
        <v>2.6782407407407408E-2</v>
      </c>
      <c r="S156" s="21">
        <f t="shared" si="45"/>
        <v>38</v>
      </c>
      <c r="T156" s="22">
        <f ca="1">IFERROR(__xludf.DUMMYFUNCTION("IF (S166 ,IF(S166 &gt; 3, RANK(Q166, FILTER(R$129:R$171, C$129:C$171 = C166,S$129:S$171 &gt; 3), 1),""""),"""")"),16)</f>
        <v>16</v>
      </c>
      <c r="U156" s="41" t="str">
        <f t="shared" si="46"/>
        <v>Шкавенцова Ксения</v>
      </c>
      <c r="V156" s="43">
        <f t="shared" si="47"/>
        <v>4.6412037037037038E-3</v>
      </c>
      <c r="W156" s="43">
        <f t="shared" si="48"/>
        <v>1.6331018518518519E-2</v>
      </c>
      <c r="X156" s="43">
        <f t="shared" si="49"/>
        <v>2.6782407407407408E-2</v>
      </c>
      <c r="Y156" s="42">
        <f t="shared" si="50"/>
        <v>0</v>
      </c>
      <c r="Z156" s="43">
        <f>Table1[[#Totals],[После плавания]]-V156</f>
        <v>4.0740740740740746E-3</v>
      </c>
      <c r="AA156" s="43">
        <f>Table1[[#Totals],[После вело]]-W156</f>
        <v>3.9120370370370368E-3</v>
      </c>
      <c r="AB156" s="43">
        <f>Table1[[#Totals],[После бега]]-X156</f>
        <v>3.4953703703703709E-3</v>
      </c>
      <c r="AC156" s="40" t="s">
        <v>193</v>
      </c>
      <c r="AD156" s="45">
        <f>TIME(0,40,0)-Table1[[#This Row],[После вело]]</f>
        <v>1.1446759259259257E-2</v>
      </c>
    </row>
    <row r="157" spans="1:30" ht="13" x14ac:dyDescent="0.15">
      <c r="A157" s="36">
        <v>56</v>
      </c>
      <c r="B157" s="37" t="s">
        <v>180</v>
      </c>
      <c r="C157" s="38" t="s">
        <v>145</v>
      </c>
      <c r="D157" s="39">
        <v>8.7152777777777784E-3</v>
      </c>
      <c r="E157" s="14">
        <f t="shared" si="0"/>
        <v>2.9050925925925928E-3</v>
      </c>
      <c r="F157" s="15">
        <f t="shared" si="42"/>
        <v>42</v>
      </c>
      <c r="G157" s="15">
        <f ca="1">IFERROR(__xludf.DUMMYFUNCTION("IF( D167,RANK(D167, FILTER(D$129:D$171, C$129:C$171 = C167), 1),"""")"),21)</f>
        <v>21</v>
      </c>
      <c r="H157" s="39">
        <v>1.1527777777777777E-2</v>
      </c>
      <c r="I157" s="16">
        <f t="shared" si="2"/>
        <v>0.27666666666666667</v>
      </c>
      <c r="J157" s="17">
        <f t="shared" si="3"/>
        <v>28.91566265060241</v>
      </c>
      <c r="K157" s="18">
        <f t="shared" si="43"/>
        <v>31</v>
      </c>
      <c r="L157" s="18">
        <f ca="1">IFERROR(__xludf.DUMMYFUNCTION("IF( H167,RANK(H167, FILTER(H$129:H$171, C$129:C$171 = C167), 1),"""")"),16)</f>
        <v>16</v>
      </c>
      <c r="M157" s="39">
        <v>7.3726851851851852E-3</v>
      </c>
      <c r="N157" s="19">
        <f t="shared" si="5"/>
        <v>3.6863425925925926E-3</v>
      </c>
      <c r="O157" s="18">
        <f t="shared" si="44"/>
        <v>22</v>
      </c>
      <c r="P157" s="18">
        <f ca="1">IFERROR(__xludf.DUMMYFUNCTION("IF( M167,RANK(M167, FILTER(M$129:M$171, C$129:C$171 = C167), 1),"""")"),13)</f>
        <v>13</v>
      </c>
      <c r="Q157" s="19">
        <f t="shared" si="7"/>
        <v>2.7615740740740739E-2</v>
      </c>
      <c r="R157" s="20">
        <f t="shared" si="8"/>
        <v>2.7615740740740739E-2</v>
      </c>
      <c r="S157" s="21">
        <f t="shared" si="45"/>
        <v>39</v>
      </c>
      <c r="T157" s="22">
        <f ca="1">IFERROR(__xludf.DUMMYFUNCTION("IF (S167 ,IF(S167 &gt; 3, RANK(Q167, FILTER(R$129:R$171, C$129:C$171 = C167,S$129:S$171 &gt; 3), 1),""""),"""")"),20)</f>
        <v>20</v>
      </c>
      <c r="U157" s="41" t="str">
        <f t="shared" si="46"/>
        <v>Сидоревич Анастасия</v>
      </c>
      <c r="V157" s="43">
        <f t="shared" si="47"/>
        <v>8.7152777777777784E-3</v>
      </c>
      <c r="W157" s="43">
        <f t="shared" si="48"/>
        <v>2.0243055555555556E-2</v>
      </c>
      <c r="X157" s="43">
        <f t="shared" si="49"/>
        <v>2.7615740740740739E-2</v>
      </c>
      <c r="Y157" s="42">
        <f t="shared" si="50"/>
        <v>0</v>
      </c>
      <c r="Z157" s="43">
        <f>Table1[[#Totals],[После плавания]]-V157</f>
        <v>0</v>
      </c>
      <c r="AA157" s="43">
        <f>Table1[[#Totals],[После вело]]-W157</f>
        <v>0</v>
      </c>
      <c r="AB157" s="43">
        <f>Table1[[#Totals],[После бега]]-X157</f>
        <v>2.6620370370370391E-3</v>
      </c>
      <c r="AC157" s="40" t="s">
        <v>193</v>
      </c>
      <c r="AD157" s="45">
        <f>TIME(0,40,0)-Table1[[#This Row],[После вело]]</f>
        <v>7.5347222222222204E-3</v>
      </c>
    </row>
    <row r="158" spans="1:30" ht="13" x14ac:dyDescent="0.15">
      <c r="A158" s="36">
        <v>68</v>
      </c>
      <c r="B158" s="37" t="s">
        <v>181</v>
      </c>
      <c r="C158" s="38" t="s">
        <v>141</v>
      </c>
      <c r="D158" s="39">
        <v>5.7986111111111112E-3</v>
      </c>
      <c r="E158" s="14">
        <f t="shared" si="0"/>
        <v>1.9328703703703704E-3</v>
      </c>
      <c r="F158" s="15">
        <f t="shared" si="42"/>
        <v>37</v>
      </c>
      <c r="G158" s="15">
        <f ca="1">IFERROR(__xludf.DUMMYFUNCTION("IF( D168,RANK(D168, FILTER(D$129:D$171, C$129:C$171 = C168), 1),"""")"),20)</f>
        <v>20</v>
      </c>
      <c r="H158" s="39">
        <v>1.1643518518518518E-2</v>
      </c>
      <c r="I158" s="16">
        <f t="shared" si="2"/>
        <v>0.27944444444444444</v>
      </c>
      <c r="J158" s="17">
        <f t="shared" si="3"/>
        <v>28.628230616302186</v>
      </c>
      <c r="K158" s="18">
        <f t="shared" si="43"/>
        <v>34</v>
      </c>
      <c r="L158" s="18">
        <f ca="1">IFERROR(__xludf.DUMMYFUNCTION("IF( H168,RANK(H168, FILTER(H$129:H$171, C$129:C$171 = C168), 1),"""")"),18)</f>
        <v>18</v>
      </c>
      <c r="M158" s="39">
        <v>1.1354166666666667E-2</v>
      </c>
      <c r="N158" s="19">
        <f t="shared" si="5"/>
        <v>5.6770833333333335E-3</v>
      </c>
      <c r="O158" s="18">
        <f t="shared" si="44"/>
        <v>41</v>
      </c>
      <c r="P158" s="18">
        <f ca="1">IFERROR(__xludf.DUMMYFUNCTION("IF( M168,RANK(M168, FILTER(M$129:M$171, C$129:C$171 = C168), 1),"""")"),21)</f>
        <v>21</v>
      </c>
      <c r="Q158" s="19">
        <f t="shared" si="7"/>
        <v>2.8796296296296299E-2</v>
      </c>
      <c r="R158" s="20">
        <f t="shared" si="8"/>
        <v>2.8796296296296299E-2</v>
      </c>
      <c r="S158" s="21">
        <f t="shared" si="45"/>
        <v>40</v>
      </c>
      <c r="T158" s="22">
        <f ca="1">IFERROR(__xludf.DUMMYFUNCTION("IF (S168 ,IF(S168 &gt; 3, RANK(Q168, FILTER(R$129:R$171, C$129:C$171 = C168,S$129:S$171 &gt; 3), 1),""""),"""")"),17)</f>
        <v>17</v>
      </c>
      <c r="U158" s="41" t="str">
        <f t="shared" si="46"/>
        <v>Кобеняк Арина</v>
      </c>
      <c r="V158" s="43">
        <f t="shared" si="47"/>
        <v>5.7986111111111112E-3</v>
      </c>
      <c r="W158" s="43">
        <f t="shared" si="48"/>
        <v>1.744212962962963E-2</v>
      </c>
      <c r="X158" s="43">
        <f t="shared" si="49"/>
        <v>2.8796296296296299E-2</v>
      </c>
      <c r="Y158" s="42">
        <f t="shared" si="50"/>
        <v>0</v>
      </c>
      <c r="Z158" s="43">
        <f>Table1[[#Totals],[После плавания]]-V158</f>
        <v>2.9166666666666672E-3</v>
      </c>
      <c r="AA158" s="43">
        <f>Table1[[#Totals],[После вело]]-W158</f>
        <v>2.8009259259259255E-3</v>
      </c>
      <c r="AB158" s="43">
        <f>Table1[[#Totals],[После бега]]-X158</f>
        <v>1.4814814814814795E-3</v>
      </c>
      <c r="AC158" s="40" t="s">
        <v>193</v>
      </c>
      <c r="AD158" s="45">
        <f>TIME(0,40,0)-Table1[[#This Row],[После вело]]</f>
        <v>1.0335648148148146E-2</v>
      </c>
    </row>
    <row r="159" spans="1:30" ht="13" x14ac:dyDescent="0.15">
      <c r="A159" s="36">
        <v>89</v>
      </c>
      <c r="B159" s="37" t="s">
        <v>182</v>
      </c>
      <c r="C159" s="38" t="s">
        <v>141</v>
      </c>
      <c r="D159" s="39">
        <v>4.8379629629629632E-3</v>
      </c>
      <c r="E159" s="14">
        <f t="shared" si="0"/>
        <v>1.6126543209876545E-3</v>
      </c>
      <c r="F159" s="15">
        <f t="shared" si="42"/>
        <v>32</v>
      </c>
      <c r="G159" s="15">
        <f ca="1">IFERROR(__xludf.DUMMYFUNCTION("IF( D169,RANK(D169, FILTER(D$129:D$171, C$129:C$171 = C169), 1),"""")"),18)</f>
        <v>18</v>
      </c>
      <c r="H159" s="39">
        <v>1.4039351851851851E-2</v>
      </c>
      <c r="I159" s="16">
        <f t="shared" si="2"/>
        <v>0.33694444444444444</v>
      </c>
      <c r="J159" s="17">
        <f t="shared" si="3"/>
        <v>23.742786479802145</v>
      </c>
      <c r="K159" s="18">
        <f t="shared" si="43"/>
        <v>42</v>
      </c>
      <c r="L159" s="18">
        <f ca="1">IFERROR(__xludf.DUMMYFUNCTION("IF( H169,RANK(H169, FILTER(H$129:H$171, C$129:C$171 = C169), 1),"""")"),21)</f>
        <v>21</v>
      </c>
      <c r="M159" s="39">
        <v>1.1273148148148148E-2</v>
      </c>
      <c r="N159" s="19">
        <f t="shared" si="5"/>
        <v>5.6365740740740742E-3</v>
      </c>
      <c r="O159" s="18">
        <f t="shared" si="44"/>
        <v>40</v>
      </c>
      <c r="P159" s="18">
        <f ca="1">IFERROR(__xludf.DUMMYFUNCTION("IF( M169,RANK(M169, FILTER(M$129:M$171, C$129:C$171 = C169), 1),"""")"),20)</f>
        <v>20</v>
      </c>
      <c r="Q159" s="19">
        <f t="shared" si="7"/>
        <v>3.0150462962962962E-2</v>
      </c>
      <c r="R159" s="20">
        <f t="shared" si="8"/>
        <v>3.0150462962962962E-2</v>
      </c>
      <c r="S159" s="21">
        <f t="shared" si="45"/>
        <v>41</v>
      </c>
      <c r="T159" s="22">
        <f ca="1">IFERROR(__xludf.DUMMYFUNCTION("IF (S169 ,IF(S169 &gt; 3, RANK(Q169, FILTER(R$129:R$171, C$129:C$171 = C169,S$129:S$171 &gt; 3), 1),""""),"""")"),18)</f>
        <v>18</v>
      </c>
      <c r="U159" s="41" t="str">
        <f t="shared" si="46"/>
        <v>Павлюченко Надежда</v>
      </c>
      <c r="V159" s="43">
        <f t="shared" si="47"/>
        <v>4.8379629629629632E-3</v>
      </c>
      <c r="W159" s="43">
        <f t="shared" si="48"/>
        <v>1.8877314814814816E-2</v>
      </c>
      <c r="X159" s="43">
        <f t="shared" si="49"/>
        <v>3.0150462962962962E-2</v>
      </c>
      <c r="Y159" s="42">
        <f t="shared" si="50"/>
        <v>0</v>
      </c>
      <c r="Z159" s="43">
        <f>Table1[[#Totals],[После плавания]]-V159</f>
        <v>3.8773148148148152E-3</v>
      </c>
      <c r="AA159" s="43">
        <f>Table1[[#Totals],[После вело]]-W159</f>
        <v>1.3657407407407403E-3</v>
      </c>
      <c r="AB159" s="43">
        <f>Table1[[#Totals],[После бега]]-X159</f>
        <v>1.2731481481481621E-4</v>
      </c>
      <c r="AC159" s="40" t="s">
        <v>193</v>
      </c>
      <c r="AD159" s="45">
        <f>TIME(0,40,0)-Table1[[#This Row],[После вело]]</f>
        <v>8.9004629629629607E-3</v>
      </c>
    </row>
    <row r="160" spans="1:30" ht="13" x14ac:dyDescent="0.15">
      <c r="A160" s="36">
        <v>63</v>
      </c>
      <c r="B160" s="37" t="s">
        <v>183</v>
      </c>
      <c r="C160" s="38" t="s">
        <v>145</v>
      </c>
      <c r="D160" s="39">
        <v>6.1921296296296299E-3</v>
      </c>
      <c r="E160" s="14">
        <f t="shared" si="0"/>
        <v>2.0640432098765434E-3</v>
      </c>
      <c r="F160" s="15">
        <f t="shared" si="42"/>
        <v>39</v>
      </c>
      <c r="G160" s="15">
        <f ca="1">IFERROR(__xludf.DUMMYFUNCTION("IF( D170,RANK(D170, FILTER(D$129:D$171, C$129:C$171 = C170), 1),"""")"),19)</f>
        <v>19</v>
      </c>
      <c r="H160" s="39">
        <v>1.2476851851851852E-2</v>
      </c>
      <c r="I160" s="16">
        <f t="shared" si="2"/>
        <v>0.29944444444444446</v>
      </c>
      <c r="J160" s="17">
        <f t="shared" si="3"/>
        <v>26.716141001855288</v>
      </c>
      <c r="K160" s="18">
        <f t="shared" si="43"/>
        <v>39</v>
      </c>
      <c r="L160" s="18">
        <f ca="1">IFERROR(__xludf.DUMMYFUNCTION("IF( H170,RANK(H170, FILTER(H$129:H$171, C$129:C$171 = C170), 1),"""")"),20)</f>
        <v>20</v>
      </c>
      <c r="M160" s="39">
        <v>1.1608796296296296E-2</v>
      </c>
      <c r="N160" s="19">
        <f t="shared" si="5"/>
        <v>5.8043981481481479E-3</v>
      </c>
      <c r="O160" s="18">
        <f t="shared" si="44"/>
        <v>42</v>
      </c>
      <c r="P160" s="18">
        <f ca="1">IFERROR(__xludf.DUMMYFUNCTION("IF( M170,RANK(M170, FILTER(M$129:M$171, C$129:C$171 = C170), 1),"""")"),21)</f>
        <v>21</v>
      </c>
      <c r="Q160" s="19">
        <f t="shared" si="7"/>
        <v>3.0277777777777778E-2</v>
      </c>
      <c r="R160" s="20">
        <f t="shared" si="8"/>
        <v>3.0277777777777778E-2</v>
      </c>
      <c r="S160" s="21">
        <f t="shared" si="45"/>
        <v>42</v>
      </c>
      <c r="T160" s="22">
        <f ca="1">IFERROR(__xludf.DUMMYFUNCTION("IF (S170 ,IF(S170 &gt; 3, RANK(Q170, FILTER(R$129:R$171, C$129:C$171 = C170,S$129:S$171 &gt; 3), 1),""""),"""")"),21)</f>
        <v>21</v>
      </c>
      <c r="U160" s="41" t="str">
        <f t="shared" si="46"/>
        <v>Рычагова Александра</v>
      </c>
      <c r="V160" s="43">
        <f t="shared" si="47"/>
        <v>6.1921296296296299E-3</v>
      </c>
      <c r="W160" s="43">
        <f t="shared" si="48"/>
        <v>1.8668981481481481E-2</v>
      </c>
      <c r="X160" s="43">
        <f t="shared" si="49"/>
        <v>3.0277777777777778E-2</v>
      </c>
      <c r="Y160" s="42">
        <f t="shared" si="50"/>
        <v>0</v>
      </c>
      <c r="Z160" s="43">
        <f>Table1[[#Totals],[После плавания]]-V160</f>
        <v>2.5231481481481485E-3</v>
      </c>
      <c r="AA160" s="43">
        <f>Table1[[#Totals],[После вело]]-W160</f>
        <v>1.574074074074075E-3</v>
      </c>
      <c r="AB160" s="43">
        <f>Table1[[#Totals],[После бега]]-X160</f>
        <v>0</v>
      </c>
      <c r="AC160" s="40" t="s">
        <v>193</v>
      </c>
      <c r="AD160" s="45">
        <f>TIME(0,40,0)-Table1[[#This Row],[После вело]]</f>
        <v>9.1087962962962954E-3</v>
      </c>
    </row>
    <row r="161" spans="2:30" ht="15.75" customHeight="1" x14ac:dyDescent="0.15">
      <c r="U161" t="s">
        <v>194</v>
      </c>
      <c r="V161" s="43">
        <f>SUBTOTAL(104,Table1[После плавания])</f>
        <v>8.7152777777777784E-3</v>
      </c>
      <c r="W161" s="43">
        <f>SUBTOTAL(104,Table1[После вело])</f>
        <v>2.0243055555555556E-2</v>
      </c>
      <c r="X161" s="43">
        <f>SUBTOTAL(104,Table1[После бега])</f>
        <v>3.0277777777777778E-2</v>
      </c>
      <c r="Y161" s="44"/>
      <c r="AC161" s="40">
        <f>SUBTOTAL(103,Table1[Пол])</f>
        <v>158</v>
      </c>
      <c r="AD161" s="43"/>
    </row>
    <row r="164" spans="2:30" ht="15.75" customHeight="1" x14ac:dyDescent="0.15">
      <c r="B164" s="46" t="s">
        <v>195</v>
      </c>
      <c r="C164" s="47">
        <f>MIN(D3:D118)</f>
        <v>2.1875000000000002E-3</v>
      </c>
      <c r="D164" s="48" t="s">
        <v>59</v>
      </c>
    </row>
    <row r="165" spans="2:30" ht="15.75" customHeight="1" x14ac:dyDescent="0.15">
      <c r="B165" s="46" t="s">
        <v>196</v>
      </c>
      <c r="C165" s="47">
        <f>MIN(H3:H118)</f>
        <v>7.6504629629629631E-3</v>
      </c>
      <c r="D165" s="48" t="s">
        <v>25</v>
      </c>
    </row>
    <row r="166" spans="2:30" ht="15.75" customHeight="1" x14ac:dyDescent="0.15">
      <c r="B166" s="46" t="s">
        <v>197</v>
      </c>
      <c r="C166" s="47">
        <f>MIN(M3:M118)</f>
        <v>4.7916666666666663E-3</v>
      </c>
      <c r="D166" s="48" t="s">
        <v>36</v>
      </c>
    </row>
    <row r="167" spans="2:30" ht="15.75" customHeight="1" x14ac:dyDescent="0.15">
      <c r="B167" s="46" t="s">
        <v>198</v>
      </c>
      <c r="C167" s="47">
        <f>MIN(D119:D160)</f>
        <v>2.685185185185185E-3</v>
      </c>
      <c r="D167" s="49" t="s">
        <v>140</v>
      </c>
    </row>
    <row r="168" spans="2:30" ht="15.75" customHeight="1" x14ac:dyDescent="0.15">
      <c r="B168" s="46" t="s">
        <v>199</v>
      </c>
      <c r="C168" s="47">
        <f>MIN(H119:H160)</f>
        <v>9.1087962962962971E-3</v>
      </c>
      <c r="D168" s="49" t="s">
        <v>142</v>
      </c>
    </row>
    <row r="169" spans="2:30" ht="15.75" customHeight="1" x14ac:dyDescent="0.15">
      <c r="B169" s="46" t="s">
        <v>200</v>
      </c>
      <c r="C169" s="47">
        <f>MIN(M119:M160)</f>
        <v>5.37037037037037E-3</v>
      </c>
      <c r="D169" s="49" t="s">
        <v>146</v>
      </c>
    </row>
    <row r="170" spans="2:30" ht="15.75" customHeight="1" x14ac:dyDescent="0.15">
      <c r="B170" s="46" t="s">
        <v>202</v>
      </c>
      <c r="C170" s="50">
        <v>8.6805555555555559E-3</v>
      </c>
      <c r="D170" s="46" t="s">
        <v>137</v>
      </c>
    </row>
    <row r="171" spans="2:30" ht="15.75" customHeight="1" x14ac:dyDescent="0.15">
      <c r="B171" s="46" t="s">
        <v>203</v>
      </c>
      <c r="C171" s="51">
        <v>7.5347222222222213E-3</v>
      </c>
      <c r="D171" s="46" t="s">
        <v>180</v>
      </c>
    </row>
  </sheetData>
  <mergeCells count="12">
    <mergeCell ref="O1:O2"/>
    <mergeCell ref="P1:P2"/>
    <mergeCell ref="Q1:Q2"/>
    <mergeCell ref="S1:S2"/>
    <mergeCell ref="T1:T2"/>
    <mergeCell ref="K1:K2"/>
    <mergeCell ref="L1:L2"/>
    <mergeCell ref="A1:A2"/>
    <mergeCell ref="B1:B2"/>
    <mergeCell ref="C1:C2"/>
    <mergeCell ref="F1:F2"/>
    <mergeCell ref="G1:G2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Протокол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2025-03-17T19:19:20Z</dcterms:modified>
</cp:coreProperties>
</file>