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kharytonau/Downloads/Telegram Desktop/"/>
    </mc:Choice>
  </mc:AlternateContent>
  <xr:revisionPtr revIDLastSave="0" documentId="13_ncr:1_{6D207D7B-F090-3245-BD0B-B4846D129CCB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rEtiTuuRjSppOXqzYQxuys/F2Iv84H5nKF4wKV3aCl0="/>
    </ext>
  </extLst>
</workbook>
</file>

<file path=xl/calcChain.xml><?xml version="1.0" encoding="utf-8"?>
<calcChain xmlns="http://schemas.openxmlformats.org/spreadsheetml/2006/main">
  <c r="R103" i="1" l="1"/>
  <c r="R107" i="1"/>
  <c r="R114" i="1"/>
  <c r="S103" i="1"/>
  <c r="S107" i="1"/>
  <c r="S114" i="1"/>
  <c r="T103" i="1"/>
  <c r="T107" i="1"/>
  <c r="T114" i="1"/>
  <c r="U103" i="1"/>
  <c r="U107" i="1"/>
  <c r="U114" i="1"/>
  <c r="V107" i="1"/>
  <c r="V114" i="1"/>
  <c r="W114" i="1"/>
  <c r="X114" i="1"/>
  <c r="Y114" i="1"/>
  <c r="Z114" i="1"/>
  <c r="AA114" i="1"/>
  <c r="AB114" i="1"/>
  <c r="AC114" i="1"/>
  <c r="AD114" i="1"/>
  <c r="AF114" i="1" s="1"/>
  <c r="AD86" i="1"/>
  <c r="AF86" i="1" s="1"/>
  <c r="AD87" i="1"/>
  <c r="AF87" i="1" s="1"/>
  <c r="AD88" i="1"/>
  <c r="AF88" i="1" s="1"/>
  <c r="AD89" i="1"/>
  <c r="AF89" i="1" s="1"/>
  <c r="AD90" i="1"/>
  <c r="AF90" i="1" s="1"/>
  <c r="AD91" i="1"/>
  <c r="AF91" i="1" s="1"/>
  <c r="AD92" i="1"/>
  <c r="AF92" i="1" s="1"/>
  <c r="AD93" i="1"/>
  <c r="AF93" i="1" s="1"/>
  <c r="AD94" i="1"/>
  <c r="AF94" i="1" s="1"/>
  <c r="AD95" i="1"/>
  <c r="AF95" i="1" s="1"/>
  <c r="AD96" i="1"/>
  <c r="AF96" i="1" s="1"/>
  <c r="AD97" i="1"/>
  <c r="AF97" i="1" s="1"/>
  <c r="AD98" i="1"/>
  <c r="AF98" i="1" s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Z52" i="1"/>
  <c r="Z57" i="1"/>
  <c r="Z58" i="1"/>
  <c r="Z61" i="1"/>
  <c r="Z63" i="1"/>
  <c r="Z7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Y52" i="1"/>
  <c r="Y57" i="1"/>
  <c r="Y58" i="1"/>
  <c r="Y61" i="1"/>
  <c r="Y63" i="1"/>
  <c r="Y7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X37" i="1"/>
  <c r="X44" i="1"/>
  <c r="X52" i="1"/>
  <c r="X57" i="1"/>
  <c r="X58" i="1"/>
  <c r="X61" i="1"/>
  <c r="X63" i="1"/>
  <c r="X69" i="1"/>
  <c r="X70" i="1"/>
  <c r="X71" i="1"/>
  <c r="X7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W32" i="1"/>
  <c r="W37" i="1"/>
  <c r="W44" i="1"/>
  <c r="W52" i="1"/>
  <c r="W57" i="1"/>
  <c r="W58" i="1"/>
  <c r="W61" i="1"/>
  <c r="W63" i="1"/>
  <c r="W69" i="1"/>
  <c r="W70" i="1"/>
  <c r="W71" i="1"/>
  <c r="W7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V32" i="1"/>
  <c r="V35" i="1"/>
  <c r="V37" i="1"/>
  <c r="V44" i="1"/>
  <c r="V52" i="1"/>
  <c r="V57" i="1"/>
  <c r="V58" i="1"/>
  <c r="V61" i="1"/>
  <c r="V63" i="1"/>
  <c r="V64" i="1"/>
  <c r="V69" i="1"/>
  <c r="V70" i="1"/>
  <c r="V71" i="1"/>
  <c r="V7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U29" i="1"/>
  <c r="U32" i="1"/>
  <c r="U35" i="1"/>
  <c r="U37" i="1"/>
  <c r="U44" i="1"/>
  <c r="U46" i="1"/>
  <c r="U52" i="1"/>
  <c r="U57" i="1"/>
  <c r="U58" i="1"/>
  <c r="U61" i="1"/>
  <c r="U63" i="1"/>
  <c r="U64" i="1"/>
  <c r="U69" i="1"/>
  <c r="U70" i="1"/>
  <c r="U71" i="1"/>
  <c r="U72" i="1"/>
  <c r="U73" i="1"/>
  <c r="U7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T6" i="1"/>
  <c r="T27" i="1"/>
  <c r="T29" i="1"/>
  <c r="T32" i="1"/>
  <c r="T35" i="1"/>
  <c r="T37" i="1"/>
  <c r="T42" i="1"/>
  <c r="T44" i="1"/>
  <c r="T46" i="1"/>
  <c r="T49" i="1"/>
  <c r="T51" i="1"/>
  <c r="T52" i="1"/>
  <c r="T57" i="1"/>
  <c r="T58" i="1"/>
  <c r="T61" i="1"/>
  <c r="T62" i="1"/>
  <c r="T63" i="1"/>
  <c r="T64" i="1"/>
  <c r="T69" i="1"/>
  <c r="T70" i="1"/>
  <c r="T71" i="1"/>
  <c r="T72" i="1"/>
  <c r="T73" i="1"/>
  <c r="T75" i="1"/>
  <c r="T80" i="1"/>
  <c r="T81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S6" i="1"/>
  <c r="S8" i="1"/>
  <c r="S11" i="1"/>
  <c r="S14" i="1"/>
  <c r="S21" i="1"/>
  <c r="S27" i="1"/>
  <c r="S29" i="1"/>
  <c r="S32" i="1"/>
  <c r="S34" i="1"/>
  <c r="S35" i="1"/>
  <c r="S37" i="1"/>
  <c r="S42" i="1"/>
  <c r="S44" i="1"/>
  <c r="S45" i="1"/>
  <c r="S46" i="1"/>
  <c r="S48" i="1"/>
  <c r="S49" i="1"/>
  <c r="S51" i="1"/>
  <c r="S52" i="1"/>
  <c r="S57" i="1"/>
  <c r="S58" i="1"/>
  <c r="S59" i="1"/>
  <c r="S61" i="1"/>
  <c r="S62" i="1"/>
  <c r="S63" i="1"/>
  <c r="S64" i="1"/>
  <c r="S69" i="1"/>
  <c r="S70" i="1"/>
  <c r="S71" i="1"/>
  <c r="S72" i="1"/>
  <c r="S73" i="1"/>
  <c r="S75" i="1"/>
  <c r="S78" i="1"/>
  <c r="S80" i="1"/>
  <c r="S81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R3" i="1"/>
  <c r="R6" i="1"/>
  <c r="R8" i="1"/>
  <c r="R11" i="1"/>
  <c r="R14" i="1"/>
  <c r="R17" i="1"/>
  <c r="R21" i="1"/>
  <c r="R22" i="1"/>
  <c r="R27" i="1"/>
  <c r="R29" i="1"/>
  <c r="R32" i="1"/>
  <c r="R33" i="1"/>
  <c r="R34" i="1"/>
  <c r="R35" i="1"/>
  <c r="R37" i="1"/>
  <c r="R42" i="1"/>
  <c r="R44" i="1"/>
  <c r="R45" i="1"/>
  <c r="R46" i="1"/>
  <c r="R48" i="1"/>
  <c r="R49" i="1"/>
  <c r="R51" i="1"/>
  <c r="R52" i="1"/>
  <c r="R54" i="1"/>
  <c r="R57" i="1"/>
  <c r="R58" i="1"/>
  <c r="R59" i="1"/>
  <c r="R61" i="1"/>
  <c r="R62" i="1"/>
  <c r="R63" i="1"/>
  <c r="R64" i="1"/>
  <c r="R69" i="1"/>
  <c r="R70" i="1"/>
  <c r="R71" i="1"/>
  <c r="R72" i="1"/>
  <c r="R73" i="1"/>
  <c r="R75" i="1"/>
  <c r="R77" i="1"/>
  <c r="R78" i="1"/>
  <c r="R80" i="1"/>
  <c r="R81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M113" i="1"/>
  <c r="D113" i="1"/>
  <c r="R113" i="1" s="1"/>
  <c r="K112" i="1"/>
  <c r="D112" i="1"/>
  <c r="S112" i="1" s="1"/>
  <c r="M111" i="1"/>
  <c r="L111" i="1"/>
  <c r="D111" i="1"/>
  <c r="S111" i="1" s="1"/>
  <c r="M110" i="1"/>
  <c r="I110" i="1"/>
  <c r="D110" i="1"/>
  <c r="S110" i="1" s="1"/>
  <c r="J109" i="1"/>
  <c r="I109" i="1"/>
  <c r="E109" i="1"/>
  <c r="D109" i="1"/>
  <c r="M108" i="1"/>
  <c r="L108" i="1"/>
  <c r="H108" i="1"/>
  <c r="E108" i="1"/>
  <c r="D108" i="1"/>
  <c r="T108" i="1" s="1"/>
  <c r="O107" i="1"/>
  <c r="M107" i="1"/>
  <c r="J107" i="1"/>
  <c r="I107" i="1"/>
  <c r="W107" i="1" s="1"/>
  <c r="P106" i="1"/>
  <c r="K106" i="1"/>
  <c r="I106" i="1"/>
  <c r="G106" i="1"/>
  <c r="D106" i="1"/>
  <c r="T106" i="1" s="1"/>
  <c r="N105" i="1"/>
  <c r="M105" i="1"/>
  <c r="L105" i="1"/>
  <c r="G105" i="1"/>
  <c r="D105" i="1"/>
  <c r="T105" i="1" s="1"/>
  <c r="M104" i="1"/>
  <c r="K104" i="1"/>
  <c r="J104" i="1"/>
  <c r="G104" i="1"/>
  <c r="E104" i="1"/>
  <c r="D104" i="1"/>
  <c r="R104" i="1" s="1"/>
  <c r="P103" i="1"/>
  <c r="M103" i="1"/>
  <c r="K103" i="1"/>
  <c r="J103" i="1"/>
  <c r="H103" i="1"/>
  <c r="P102" i="1"/>
  <c r="M102" i="1"/>
  <c r="J102" i="1"/>
  <c r="I102" i="1"/>
  <c r="F102" i="1"/>
  <c r="D102" i="1"/>
  <c r="R102" i="1" s="1"/>
  <c r="M101" i="1"/>
  <c r="K101" i="1"/>
  <c r="J101" i="1"/>
  <c r="I101" i="1"/>
  <c r="G101" i="1"/>
  <c r="F101" i="1"/>
  <c r="D101" i="1"/>
  <c r="R101" i="1" s="1"/>
  <c r="L100" i="1"/>
  <c r="K100" i="1"/>
  <c r="I100" i="1"/>
  <c r="H100" i="1"/>
  <c r="F100" i="1"/>
  <c r="E100" i="1"/>
  <c r="D100" i="1"/>
  <c r="S100" i="1" s="1"/>
  <c r="M99" i="1"/>
  <c r="L99" i="1"/>
  <c r="J99" i="1"/>
  <c r="I99" i="1"/>
  <c r="G99" i="1"/>
  <c r="F99" i="1"/>
  <c r="D99" i="1"/>
  <c r="S99" i="1" s="1"/>
  <c r="D85" i="1"/>
  <c r="Z85" i="1" s="1"/>
  <c r="D84" i="1"/>
  <c r="T84" i="1" s="1"/>
  <c r="M83" i="1"/>
  <c r="D83" i="1"/>
  <c r="T83" i="1" s="1"/>
  <c r="M82" i="1"/>
  <c r="D82" i="1"/>
  <c r="S82" i="1" s="1"/>
  <c r="G81" i="1"/>
  <c r="Y81" i="1" s="1"/>
  <c r="G80" i="1"/>
  <c r="U80" i="1" s="1"/>
  <c r="M79" i="1"/>
  <c r="D79" i="1"/>
  <c r="W79" i="1" s="1"/>
  <c r="F78" i="1"/>
  <c r="V78" i="1" s="1"/>
  <c r="E77" i="1"/>
  <c r="AB77" i="1" s="1"/>
  <c r="F76" i="1"/>
  <c r="D76" i="1"/>
  <c r="N75" i="1"/>
  <c r="M75" i="1"/>
  <c r="G74" i="1"/>
  <c r="D74" i="1"/>
  <c r="H73" i="1"/>
  <c r="AC73" i="1" s="1"/>
  <c r="M72" i="1"/>
  <c r="H72" i="1"/>
  <c r="X72" i="1" s="1"/>
  <c r="K71" i="1"/>
  <c r="AA71" i="1" s="1"/>
  <c r="K70" i="1"/>
  <c r="Z70" i="1" s="1"/>
  <c r="M69" i="1"/>
  <c r="K69" i="1"/>
  <c r="M68" i="1"/>
  <c r="K68" i="1"/>
  <c r="J68" i="1"/>
  <c r="D68" i="1"/>
  <c r="R68" i="1" s="1"/>
  <c r="D67" i="1"/>
  <c r="X67" i="1" s="1"/>
  <c r="K66" i="1"/>
  <c r="D66" i="1"/>
  <c r="M65" i="1"/>
  <c r="D65" i="1"/>
  <c r="U65" i="1" s="1"/>
  <c r="N64" i="1"/>
  <c r="M64" i="1"/>
  <c r="I64" i="1"/>
  <c r="M63" i="1"/>
  <c r="M62" i="1"/>
  <c r="I62" i="1"/>
  <c r="G62" i="1"/>
  <c r="M61" i="1"/>
  <c r="AD61" i="1" s="1"/>
  <c r="AF61" i="1" s="1"/>
  <c r="M60" i="1"/>
  <c r="J60" i="1"/>
  <c r="F60" i="1"/>
  <c r="D60" i="1"/>
  <c r="M59" i="1"/>
  <c r="F59" i="1"/>
  <c r="M58" i="1"/>
  <c r="AB58" i="1" s="1"/>
  <c r="M57" i="1"/>
  <c r="AA57" i="1" s="1"/>
  <c r="M56" i="1"/>
  <c r="L56" i="1"/>
  <c r="K56" i="1"/>
  <c r="D56" i="1"/>
  <c r="U56" i="1" s="1"/>
  <c r="M55" i="1"/>
  <c r="J55" i="1"/>
  <c r="F55" i="1"/>
  <c r="D55" i="1"/>
  <c r="R55" i="1" s="1"/>
  <c r="H54" i="1"/>
  <c r="E54" i="1"/>
  <c r="M53" i="1"/>
  <c r="K53" i="1"/>
  <c r="D53" i="1"/>
  <c r="V53" i="1" s="1"/>
  <c r="O52" i="1"/>
  <c r="M52" i="1"/>
  <c r="AA52" i="1" s="1"/>
  <c r="J51" i="1"/>
  <c r="I51" i="1"/>
  <c r="H51" i="1"/>
  <c r="G51" i="1"/>
  <c r="G50" i="1"/>
  <c r="E50" i="1"/>
  <c r="D50" i="1"/>
  <c r="P49" i="1"/>
  <c r="M49" i="1"/>
  <c r="J49" i="1"/>
  <c r="G49" i="1"/>
  <c r="U49" i="1" s="1"/>
  <c r="M48" i="1"/>
  <c r="K48" i="1"/>
  <c r="I48" i="1"/>
  <c r="F48" i="1"/>
  <c r="T48" i="1" s="1"/>
  <c r="L47" i="1"/>
  <c r="G47" i="1"/>
  <c r="D47" i="1"/>
  <c r="M46" i="1"/>
  <c r="L46" i="1"/>
  <c r="H46" i="1"/>
  <c r="H45" i="1"/>
  <c r="G45" i="1"/>
  <c r="F45" i="1"/>
  <c r="T45" i="1" s="1"/>
  <c r="O44" i="1"/>
  <c r="K44" i="1"/>
  <c r="Z44" i="1" s="1"/>
  <c r="I43" i="1"/>
  <c r="G43" i="1"/>
  <c r="E43" i="1"/>
  <c r="D43" i="1"/>
  <c r="J42" i="1"/>
  <c r="I42" i="1"/>
  <c r="G42" i="1"/>
  <c r="M41" i="1"/>
  <c r="F41" i="1"/>
  <c r="D41" i="1"/>
  <c r="P40" i="1"/>
  <c r="J40" i="1"/>
  <c r="D40" i="1"/>
  <c r="P39" i="1"/>
  <c r="M39" i="1"/>
  <c r="F39" i="1"/>
  <c r="D39" i="1"/>
  <c r="M38" i="1"/>
  <c r="K38" i="1"/>
  <c r="J38" i="1"/>
  <c r="E38" i="1"/>
  <c r="D38" i="1"/>
  <c r="O37" i="1"/>
  <c r="L37" i="1"/>
  <c r="K37" i="1"/>
  <c r="O36" i="1"/>
  <c r="M36" i="1"/>
  <c r="L36" i="1"/>
  <c r="F36" i="1"/>
  <c r="D36" i="1"/>
  <c r="M35" i="1"/>
  <c r="K35" i="1"/>
  <c r="J35" i="1"/>
  <c r="I35" i="1"/>
  <c r="M34" i="1"/>
  <c r="K34" i="1"/>
  <c r="J34" i="1"/>
  <c r="F34" i="1"/>
  <c r="T34" i="1" s="1"/>
  <c r="O33" i="1"/>
  <c r="H33" i="1"/>
  <c r="E33" i="1"/>
  <c r="O32" i="1"/>
  <c r="M32" i="1"/>
  <c r="L32" i="1"/>
  <c r="K32" i="1"/>
  <c r="J32" i="1"/>
  <c r="M31" i="1"/>
  <c r="K31" i="1"/>
  <c r="I31" i="1"/>
  <c r="G31" i="1"/>
  <c r="D31" i="1"/>
  <c r="S31" i="1" s="1"/>
  <c r="M30" i="1"/>
  <c r="L30" i="1"/>
  <c r="K30" i="1"/>
  <c r="I30" i="1"/>
  <c r="G30" i="1"/>
  <c r="E30" i="1"/>
  <c r="D30" i="1"/>
  <c r="N29" i="1"/>
  <c r="M29" i="1"/>
  <c r="I29" i="1"/>
  <c r="H29" i="1"/>
  <c r="P28" i="1"/>
  <c r="M28" i="1"/>
  <c r="L28" i="1"/>
  <c r="K28" i="1"/>
  <c r="I28" i="1"/>
  <c r="D28" i="1"/>
  <c r="P27" i="1"/>
  <c r="M27" i="1"/>
  <c r="K27" i="1"/>
  <c r="I27" i="1"/>
  <c r="G27" i="1"/>
  <c r="M26" i="1"/>
  <c r="K26" i="1"/>
  <c r="I26" i="1"/>
  <c r="G26" i="1"/>
  <c r="F26" i="1"/>
  <c r="D26" i="1"/>
  <c r="S26" i="1" s="1"/>
  <c r="M25" i="1"/>
  <c r="L25" i="1"/>
  <c r="K25" i="1"/>
  <c r="D25" i="1"/>
  <c r="P24" i="1"/>
  <c r="O24" i="1"/>
  <c r="M24" i="1"/>
  <c r="J24" i="1"/>
  <c r="D24" i="1"/>
  <c r="S24" i="1" s="1"/>
  <c r="P23" i="1"/>
  <c r="M23" i="1"/>
  <c r="K23" i="1"/>
  <c r="G23" i="1"/>
  <c r="F23" i="1"/>
  <c r="D23" i="1"/>
  <c r="P22" i="1"/>
  <c r="J22" i="1"/>
  <c r="I22" i="1"/>
  <c r="G22" i="1"/>
  <c r="E22" i="1"/>
  <c r="P21" i="1"/>
  <c r="N21" i="1"/>
  <c r="M21" i="1"/>
  <c r="I21" i="1"/>
  <c r="H21" i="1"/>
  <c r="G21" i="1"/>
  <c r="F21" i="1"/>
  <c r="P20" i="1"/>
  <c r="M20" i="1"/>
  <c r="L20" i="1"/>
  <c r="K20" i="1"/>
  <c r="D20" i="1"/>
  <c r="T20" i="1" s="1"/>
  <c r="M19" i="1"/>
  <c r="K19" i="1"/>
  <c r="J19" i="1"/>
  <c r="I19" i="1"/>
  <c r="F19" i="1"/>
  <c r="E19" i="1"/>
  <c r="D19" i="1"/>
  <c r="T19" i="1" s="1"/>
  <c r="P18" i="1"/>
  <c r="O18" i="1"/>
  <c r="K18" i="1"/>
  <c r="I18" i="1"/>
  <c r="G18" i="1"/>
  <c r="D18" i="1"/>
  <c r="K17" i="1"/>
  <c r="J17" i="1"/>
  <c r="I17" i="1"/>
  <c r="H17" i="1"/>
  <c r="G17" i="1"/>
  <c r="F17" i="1"/>
  <c r="E17" i="1"/>
  <c r="P16" i="1"/>
  <c r="M16" i="1"/>
  <c r="L16" i="1"/>
  <c r="H16" i="1"/>
  <c r="G16" i="1"/>
  <c r="E16" i="1"/>
  <c r="D16" i="1"/>
  <c r="M15" i="1"/>
  <c r="K15" i="1"/>
  <c r="J15" i="1"/>
  <c r="I15" i="1"/>
  <c r="G15" i="1"/>
  <c r="F15" i="1"/>
  <c r="D15" i="1"/>
  <c r="P14" i="1"/>
  <c r="O14" i="1"/>
  <c r="M14" i="1"/>
  <c r="L14" i="1"/>
  <c r="K14" i="1"/>
  <c r="J14" i="1"/>
  <c r="F14" i="1"/>
  <c r="O13" i="1"/>
  <c r="K13" i="1"/>
  <c r="J13" i="1"/>
  <c r="G13" i="1"/>
  <c r="F13" i="1"/>
  <c r="E13" i="1"/>
  <c r="D13" i="1"/>
  <c r="R13" i="1" s="1"/>
  <c r="J12" i="1"/>
  <c r="I12" i="1"/>
  <c r="H12" i="1"/>
  <c r="G12" i="1"/>
  <c r="F12" i="1"/>
  <c r="E12" i="1"/>
  <c r="D12" i="1"/>
  <c r="P11" i="1"/>
  <c r="L11" i="1"/>
  <c r="K11" i="1"/>
  <c r="I11" i="1"/>
  <c r="G11" i="1"/>
  <c r="F11" i="1"/>
  <c r="K10" i="1"/>
  <c r="I10" i="1"/>
  <c r="H10" i="1"/>
  <c r="G10" i="1"/>
  <c r="F10" i="1"/>
  <c r="E10" i="1"/>
  <c r="D10" i="1"/>
  <c r="K9" i="1"/>
  <c r="J9" i="1"/>
  <c r="I9" i="1"/>
  <c r="H9" i="1"/>
  <c r="G9" i="1"/>
  <c r="F9" i="1"/>
  <c r="D9" i="1"/>
  <c r="S9" i="1" s="1"/>
  <c r="P8" i="1"/>
  <c r="O8" i="1"/>
  <c r="K8" i="1"/>
  <c r="J8" i="1"/>
  <c r="I8" i="1"/>
  <c r="G8" i="1"/>
  <c r="F8" i="1"/>
  <c r="O7" i="1"/>
  <c r="M7" i="1"/>
  <c r="L7" i="1"/>
  <c r="K7" i="1"/>
  <c r="J7" i="1"/>
  <c r="I7" i="1"/>
  <c r="D7" i="1"/>
  <c r="T7" i="1" s="1"/>
  <c r="M6" i="1"/>
  <c r="L6" i="1"/>
  <c r="K6" i="1"/>
  <c r="J6" i="1"/>
  <c r="I6" i="1"/>
  <c r="H6" i="1"/>
  <c r="G6" i="1"/>
  <c r="K5" i="1"/>
  <c r="J5" i="1"/>
  <c r="I5" i="1"/>
  <c r="H5" i="1"/>
  <c r="F5" i="1"/>
  <c r="E5" i="1"/>
  <c r="D5" i="1"/>
  <c r="L4" i="1"/>
  <c r="K4" i="1"/>
  <c r="J4" i="1"/>
  <c r="I4" i="1"/>
  <c r="G4" i="1"/>
  <c r="F4" i="1"/>
  <c r="D4" i="1"/>
  <c r="O3" i="1"/>
  <c r="M3" i="1"/>
  <c r="K3" i="1"/>
  <c r="I3" i="1"/>
  <c r="G3" i="1"/>
  <c r="F3" i="1"/>
  <c r="E3" i="1"/>
  <c r="J2" i="1"/>
  <c r="I2" i="1"/>
  <c r="H2" i="1"/>
  <c r="G2" i="1"/>
  <c r="F2" i="1"/>
  <c r="E2" i="1"/>
  <c r="D2" i="1"/>
  <c r="U112" i="1" l="1"/>
  <c r="X103" i="1"/>
  <c r="S109" i="1"/>
  <c r="T104" i="1"/>
  <c r="X112" i="1"/>
  <c r="Z104" i="1"/>
  <c r="AD112" i="1"/>
  <c r="AF112" i="1" s="1"/>
  <c r="W104" i="1"/>
  <c r="AA112" i="1"/>
  <c r="AC104" i="1"/>
  <c r="R112" i="1"/>
  <c r="AA100" i="1"/>
  <c r="AD111" i="1"/>
  <c r="AF111" i="1" s="1"/>
  <c r="AD99" i="1"/>
  <c r="AF99" i="1" s="1"/>
  <c r="AC103" i="1"/>
  <c r="AB107" i="1"/>
  <c r="AA111" i="1"/>
  <c r="AA99" i="1"/>
  <c r="Z103" i="1"/>
  <c r="Y107" i="1"/>
  <c r="X111" i="1"/>
  <c r="X99" i="1"/>
  <c r="W103" i="1"/>
  <c r="U111" i="1"/>
  <c r="U99" i="1"/>
  <c r="R111" i="1"/>
  <c r="R99" i="1"/>
  <c r="Y108" i="1"/>
  <c r="R100" i="1"/>
  <c r="AD110" i="1"/>
  <c r="AF110" i="1" s="1"/>
  <c r="AC102" i="1"/>
  <c r="AB106" i="1"/>
  <c r="AA110" i="1"/>
  <c r="Z102" i="1"/>
  <c r="Y106" i="1"/>
  <c r="X110" i="1"/>
  <c r="W102" i="1"/>
  <c r="V106" i="1"/>
  <c r="U110" i="1"/>
  <c r="T102" i="1"/>
  <c r="S106" i="1"/>
  <c r="R110" i="1"/>
  <c r="AD100" i="1"/>
  <c r="AF100" i="1" s="1"/>
  <c r="AD109" i="1"/>
  <c r="AF109" i="1" s="1"/>
  <c r="AC113" i="1"/>
  <c r="AC101" i="1"/>
  <c r="AB105" i="1"/>
  <c r="AA109" i="1"/>
  <c r="Z113" i="1"/>
  <c r="Z101" i="1"/>
  <c r="Y105" i="1"/>
  <c r="X109" i="1"/>
  <c r="W113" i="1"/>
  <c r="W101" i="1"/>
  <c r="V105" i="1"/>
  <c r="U109" i="1"/>
  <c r="T113" i="1"/>
  <c r="T101" i="1"/>
  <c r="S105" i="1"/>
  <c r="R109" i="1"/>
  <c r="U100" i="1"/>
  <c r="AD108" i="1"/>
  <c r="AF108" i="1" s="1"/>
  <c r="AC112" i="1"/>
  <c r="AC100" i="1"/>
  <c r="AB104" i="1"/>
  <c r="AA108" i="1"/>
  <c r="Z112" i="1"/>
  <c r="Z100" i="1"/>
  <c r="Y104" i="1"/>
  <c r="X108" i="1"/>
  <c r="W112" i="1"/>
  <c r="W100" i="1"/>
  <c r="V104" i="1"/>
  <c r="U108" i="1"/>
  <c r="T112" i="1"/>
  <c r="T100" i="1"/>
  <c r="S104" i="1"/>
  <c r="R108" i="1"/>
  <c r="AB108" i="1"/>
  <c r="W29" i="1"/>
  <c r="AD107" i="1"/>
  <c r="AF107" i="1" s="1"/>
  <c r="AC111" i="1"/>
  <c r="AC99" i="1"/>
  <c r="AB103" i="1"/>
  <c r="AA107" i="1"/>
  <c r="Z111" i="1"/>
  <c r="Z99" i="1"/>
  <c r="Y103" i="1"/>
  <c r="X107" i="1"/>
  <c r="W111" i="1"/>
  <c r="W99" i="1"/>
  <c r="V103" i="1"/>
  <c r="T111" i="1"/>
  <c r="T99" i="1"/>
  <c r="X100" i="1"/>
  <c r="S56" i="1"/>
  <c r="AD106" i="1"/>
  <c r="AF106" i="1" s="1"/>
  <c r="AC110" i="1"/>
  <c r="AB102" i="1"/>
  <c r="AA106" i="1"/>
  <c r="Z110" i="1"/>
  <c r="Y102" i="1"/>
  <c r="X106" i="1"/>
  <c r="W110" i="1"/>
  <c r="V102" i="1"/>
  <c r="U106" i="1"/>
  <c r="T110" i="1"/>
  <c r="S102" i="1"/>
  <c r="R106" i="1"/>
  <c r="V108" i="1"/>
  <c r="AD105" i="1"/>
  <c r="AF105" i="1" s="1"/>
  <c r="AC109" i="1"/>
  <c r="AB113" i="1"/>
  <c r="AB101" i="1"/>
  <c r="AA105" i="1"/>
  <c r="Z109" i="1"/>
  <c r="Y113" i="1"/>
  <c r="Y101" i="1"/>
  <c r="X105" i="1"/>
  <c r="W109" i="1"/>
  <c r="V113" i="1"/>
  <c r="V101" i="1"/>
  <c r="U105" i="1"/>
  <c r="T109" i="1"/>
  <c r="S113" i="1"/>
  <c r="S101" i="1"/>
  <c r="R105" i="1"/>
  <c r="S108" i="1"/>
  <c r="AD104" i="1"/>
  <c r="AF104" i="1" s="1"/>
  <c r="AC108" i="1"/>
  <c r="AB112" i="1"/>
  <c r="AB100" i="1"/>
  <c r="AA104" i="1"/>
  <c r="Z108" i="1"/>
  <c r="Y112" i="1"/>
  <c r="Y100" i="1"/>
  <c r="X104" i="1"/>
  <c r="W108" i="1"/>
  <c r="V112" i="1"/>
  <c r="V100" i="1"/>
  <c r="U104" i="1"/>
  <c r="AD103" i="1"/>
  <c r="AF103" i="1" s="1"/>
  <c r="AC107" i="1"/>
  <c r="AB111" i="1"/>
  <c r="AB99" i="1"/>
  <c r="AA103" i="1"/>
  <c r="Z107" i="1"/>
  <c r="Y111" i="1"/>
  <c r="Y99" i="1"/>
  <c r="V111" i="1"/>
  <c r="V99" i="1"/>
  <c r="AD102" i="1"/>
  <c r="AF102" i="1" s="1"/>
  <c r="AC106" i="1"/>
  <c r="AB110" i="1"/>
  <c r="AA102" i="1"/>
  <c r="Z106" i="1"/>
  <c r="Y110" i="1"/>
  <c r="X102" i="1"/>
  <c r="W106" i="1"/>
  <c r="V110" i="1"/>
  <c r="U102" i="1"/>
  <c r="S12" i="1"/>
  <c r="X28" i="1"/>
  <c r="Y32" i="1"/>
  <c r="X35" i="1"/>
  <c r="V38" i="1"/>
  <c r="Z41" i="1"/>
  <c r="W62" i="1"/>
  <c r="AD113" i="1"/>
  <c r="AF113" i="1" s="1"/>
  <c r="AD101" i="1"/>
  <c r="AF101" i="1" s="1"/>
  <c r="AC105" i="1"/>
  <c r="AB109" i="1"/>
  <c r="AA113" i="1"/>
  <c r="AA101" i="1"/>
  <c r="Z105" i="1"/>
  <c r="Y109" i="1"/>
  <c r="X113" i="1"/>
  <c r="X101" i="1"/>
  <c r="W105" i="1"/>
  <c r="V109" i="1"/>
  <c r="U113" i="1"/>
  <c r="U101" i="1"/>
  <c r="S55" i="1"/>
  <c r="AA11" i="1"/>
  <c r="W43" i="1"/>
  <c r="AA47" i="1"/>
  <c r="AB81" i="1"/>
  <c r="Y56" i="1"/>
  <c r="W74" i="1"/>
  <c r="S67" i="1"/>
  <c r="U68" i="1"/>
  <c r="V41" i="1"/>
  <c r="S68" i="1"/>
  <c r="S83" i="1"/>
  <c r="W49" i="1"/>
  <c r="X3" i="1"/>
  <c r="AD25" i="1"/>
  <c r="AF25" i="1" s="1"/>
  <c r="AD37" i="1"/>
  <c r="AF37" i="1" s="1"/>
  <c r="AB40" i="1"/>
  <c r="Z66" i="1"/>
  <c r="R83" i="1"/>
  <c r="Y21" i="1"/>
  <c r="AD23" i="1"/>
  <c r="AF23" i="1" s="1"/>
  <c r="V30" i="1"/>
  <c r="U83" i="1"/>
  <c r="W38" i="1"/>
  <c r="Z19" i="1"/>
  <c r="U2" i="1"/>
  <c r="Y74" i="1"/>
  <c r="AA82" i="1"/>
  <c r="T82" i="1"/>
  <c r="X74" i="1"/>
  <c r="Y25" i="1"/>
  <c r="U21" i="1"/>
  <c r="S19" i="1"/>
  <c r="U74" i="1"/>
  <c r="R43" i="1"/>
  <c r="AD64" i="1"/>
  <c r="AF64" i="1" s="1"/>
  <c r="AC69" i="1"/>
  <c r="T23" i="1"/>
  <c r="V73" i="1"/>
  <c r="V49" i="1"/>
  <c r="X40" i="1"/>
  <c r="AA44" i="1"/>
  <c r="AC65" i="1"/>
  <c r="T47" i="1"/>
  <c r="Z4" i="1"/>
  <c r="W22" i="1"/>
  <c r="AD33" i="1"/>
  <c r="AF33" i="1" s="1"/>
  <c r="X39" i="1"/>
  <c r="S50" i="1"/>
  <c r="AC54" i="1"/>
  <c r="AB59" i="1"/>
  <c r="T21" i="1"/>
  <c r="V72" i="1"/>
  <c r="W78" i="1"/>
  <c r="AA31" i="1"/>
  <c r="AC43" i="1"/>
  <c r="T16" i="1"/>
  <c r="W27" i="1"/>
  <c r="W55" i="1"/>
  <c r="V60" i="1"/>
  <c r="U34" i="1"/>
  <c r="W47" i="1"/>
  <c r="Z55" i="1"/>
  <c r="AA16" i="1"/>
  <c r="AD73" i="1"/>
  <c r="AF73" i="1" s="1"/>
  <c r="AA51" i="1"/>
  <c r="S30" i="1"/>
  <c r="W73" i="1"/>
  <c r="X27" i="1"/>
  <c r="AD71" i="1"/>
  <c r="AF71" i="1" s="1"/>
  <c r="V34" i="1"/>
  <c r="W72" i="1"/>
  <c r="X65" i="1"/>
  <c r="AD70" i="1"/>
  <c r="AF70" i="1" s="1"/>
  <c r="AA29" i="1"/>
  <c r="X25" i="1"/>
  <c r="X29" i="1"/>
  <c r="Y27" i="1"/>
  <c r="U23" i="1"/>
  <c r="Z3" i="1"/>
  <c r="AD66" i="1"/>
  <c r="AF66" i="1" s="1"/>
  <c r="V29" i="1"/>
  <c r="AB65" i="1"/>
  <c r="R60" i="1"/>
  <c r="V27" i="1"/>
  <c r="W11" i="1"/>
  <c r="AA79" i="1"/>
  <c r="AB52" i="1"/>
  <c r="R19" i="1"/>
  <c r="V25" i="1"/>
  <c r="Y72" i="1"/>
  <c r="Z81" i="1"/>
  <c r="AA78" i="1"/>
  <c r="AB9" i="1"/>
  <c r="W10" i="1"/>
  <c r="AD21" i="1"/>
  <c r="AF21" i="1" s="1"/>
  <c r="AB28" i="1"/>
  <c r="AB32" i="1"/>
  <c r="Z38" i="1"/>
  <c r="AC41" i="1"/>
  <c r="AC56" i="1"/>
  <c r="AD68" i="1"/>
  <c r="AF68" i="1" s="1"/>
  <c r="AD83" i="1"/>
  <c r="AF83" i="1" s="1"/>
  <c r="S13" i="1"/>
  <c r="T56" i="1"/>
  <c r="V83" i="1"/>
  <c r="V23" i="1"/>
  <c r="Y65" i="1"/>
  <c r="AA74" i="1"/>
  <c r="AB44" i="1"/>
  <c r="R23" i="1"/>
  <c r="AB66" i="1"/>
  <c r="T60" i="1"/>
  <c r="Y3" i="1"/>
  <c r="T79" i="1"/>
  <c r="Y73" i="1"/>
  <c r="W3" i="1"/>
  <c r="AB47" i="1"/>
  <c r="U12" i="1"/>
  <c r="AA15" i="1"/>
  <c r="W26" i="1"/>
  <c r="AA30" i="1"/>
  <c r="AB45" i="1"/>
  <c r="S38" i="1"/>
  <c r="V51" i="1"/>
  <c r="V21" i="1"/>
  <c r="X83" i="1"/>
  <c r="AA67" i="1"/>
  <c r="Y29" i="1"/>
  <c r="AC70" i="1"/>
  <c r="AD78" i="1"/>
  <c r="AF78" i="1" s="1"/>
  <c r="S84" i="1"/>
  <c r="W4" i="1"/>
  <c r="AA32" i="1"/>
  <c r="W39" i="1"/>
  <c r="AB29" i="1"/>
  <c r="AC34" i="1"/>
  <c r="AD65" i="1"/>
  <c r="AF65" i="1" s="1"/>
  <c r="Z2" i="1"/>
  <c r="AB83" i="1"/>
  <c r="AD47" i="1"/>
  <c r="AF47" i="1" s="1"/>
  <c r="AD45" i="1"/>
  <c r="AF45" i="1" s="1"/>
  <c r="AA14" i="1"/>
  <c r="X26" i="1"/>
  <c r="W42" i="1"/>
  <c r="T11" i="1"/>
  <c r="U22" i="1"/>
  <c r="AA70" i="1"/>
  <c r="V47" i="1"/>
  <c r="AB16" i="1"/>
  <c r="AC7" i="1"/>
  <c r="X13" i="1"/>
  <c r="Z27" i="1"/>
  <c r="AD34" i="1"/>
  <c r="AF34" i="1" s="1"/>
  <c r="Z43" i="1"/>
  <c r="Y51" i="1"/>
  <c r="AC72" i="1"/>
  <c r="T3" i="1"/>
  <c r="X7" i="1"/>
  <c r="Z39" i="1"/>
  <c r="T55" i="1"/>
  <c r="W34" i="1"/>
  <c r="X73" i="1"/>
  <c r="Z37" i="1"/>
  <c r="AA66" i="1"/>
  <c r="AB80" i="1"/>
  <c r="AC9" i="1"/>
  <c r="AB21" i="1"/>
  <c r="Y30" i="1"/>
  <c r="AD56" i="1"/>
  <c r="AF56" i="1" s="1"/>
  <c r="R31" i="1"/>
  <c r="S74" i="1"/>
  <c r="S60" i="1"/>
  <c r="U38" i="1"/>
  <c r="V62" i="1"/>
  <c r="Y78" i="1"/>
  <c r="Y44" i="1"/>
  <c r="Z74" i="1"/>
  <c r="Z29" i="1"/>
  <c r="AA65" i="1"/>
  <c r="AB79" i="1"/>
  <c r="AC81" i="1"/>
  <c r="AD82" i="1"/>
  <c r="AF82" i="1" s="1"/>
  <c r="AD44" i="1"/>
  <c r="AF44" i="1" s="1"/>
  <c r="X5" i="1"/>
  <c r="Z76" i="1"/>
  <c r="AC57" i="1"/>
  <c r="X59" i="1"/>
  <c r="U47" i="1"/>
  <c r="U11" i="1"/>
  <c r="AA68" i="1"/>
  <c r="AD11" i="1"/>
  <c r="AF11" i="1" s="1"/>
  <c r="AA19" i="1"/>
  <c r="AD29" i="1"/>
  <c r="AF29" i="1" s="1"/>
  <c r="AC60" i="1"/>
  <c r="R65" i="1"/>
  <c r="S47" i="1"/>
  <c r="V11" i="1"/>
  <c r="Y15" i="1"/>
  <c r="V3" i="1"/>
  <c r="AB23" i="1"/>
  <c r="W12" i="1"/>
  <c r="Z28" i="1"/>
  <c r="X38" i="1"/>
  <c r="AA41" i="1"/>
  <c r="Z45" i="1"/>
  <c r="R79" i="1"/>
  <c r="R47" i="1"/>
  <c r="R30" i="1"/>
  <c r="T68" i="1"/>
  <c r="T31" i="1"/>
  <c r="U82" i="1"/>
  <c r="V82" i="1"/>
  <c r="W83" i="1"/>
  <c r="W60" i="1"/>
  <c r="X43" i="1"/>
  <c r="Y41" i="1"/>
  <c r="Z73" i="1"/>
  <c r="Z25" i="1"/>
  <c r="AB78" i="1"/>
  <c r="AC79" i="1"/>
  <c r="AD81" i="1"/>
  <c r="AF81" i="1" s="1"/>
  <c r="AD43" i="1"/>
  <c r="AF43" i="1" s="1"/>
  <c r="AB30" i="1"/>
  <c r="T43" i="1"/>
  <c r="X79" i="1"/>
  <c r="S79" i="1"/>
  <c r="V65" i="1"/>
  <c r="X11" i="1"/>
  <c r="Z79" i="1"/>
  <c r="AC19" i="1"/>
  <c r="AD10" i="1"/>
  <c r="AF10" i="1" s="1"/>
  <c r="AC16" i="1"/>
  <c r="AD31" i="1"/>
  <c r="AF31" i="1" s="1"/>
  <c r="AA55" i="1"/>
  <c r="Z78" i="1"/>
  <c r="AB11" i="1"/>
  <c r="X2" i="1"/>
  <c r="U40" i="1"/>
  <c r="X47" i="1"/>
  <c r="AC44" i="1"/>
  <c r="AC6" i="1"/>
  <c r="U26" i="1"/>
  <c r="Y49" i="1"/>
  <c r="AB75" i="1"/>
  <c r="S43" i="1"/>
  <c r="S23" i="1"/>
  <c r="T67" i="1"/>
  <c r="U81" i="1"/>
  <c r="U60" i="1"/>
  <c r="V81" i="1"/>
  <c r="W82" i="1"/>
  <c r="W23" i="1"/>
  <c r="X41" i="1"/>
  <c r="Y40" i="1"/>
  <c r="Z65" i="1"/>
  <c r="AB71" i="1"/>
  <c r="AC78" i="1"/>
  <c r="AD79" i="1"/>
  <c r="AF79" i="1" s="1"/>
  <c r="X8" i="1"/>
  <c r="W8" i="1"/>
  <c r="V8" i="1"/>
  <c r="AD8" i="1"/>
  <c r="AF8" i="1" s="1"/>
  <c r="Z8" i="1"/>
  <c r="AB36" i="1"/>
  <c r="AA36" i="1"/>
  <c r="Z36" i="1"/>
  <c r="AD36" i="1"/>
  <c r="AF36" i="1" s="1"/>
  <c r="R36" i="1"/>
  <c r="U17" i="1"/>
  <c r="T17" i="1"/>
  <c r="S17" i="1"/>
  <c r="AD17" i="1"/>
  <c r="AF17" i="1" s="1"/>
  <c r="W17" i="1"/>
  <c r="V18" i="1"/>
  <c r="U18" i="1"/>
  <c r="T18" i="1"/>
  <c r="X18" i="1"/>
  <c r="U53" i="1"/>
  <c r="T53" i="1"/>
  <c r="S53" i="1"/>
  <c r="AD53" i="1"/>
  <c r="AF53" i="1" s="1"/>
  <c r="W53" i="1"/>
  <c r="R53" i="1"/>
  <c r="S33" i="1"/>
  <c r="T39" i="1"/>
  <c r="U59" i="1"/>
  <c r="U24" i="1"/>
  <c r="U8" i="1"/>
  <c r="V9" i="1"/>
  <c r="W59" i="1"/>
  <c r="X12" i="1"/>
  <c r="Y77" i="1"/>
  <c r="Y8" i="1"/>
  <c r="Z5" i="1"/>
  <c r="AA54" i="1"/>
  <c r="AA38" i="1"/>
  <c r="AA18" i="1"/>
  <c r="AA2" i="1"/>
  <c r="AB68" i="1"/>
  <c r="AC64" i="1"/>
  <c r="AC21" i="1"/>
  <c r="AD30" i="1"/>
  <c r="AF30" i="1" s="1"/>
  <c r="U5" i="1"/>
  <c r="T5" i="1"/>
  <c r="S5" i="1"/>
  <c r="AD5" i="1"/>
  <c r="AF5" i="1" s="1"/>
  <c r="W5" i="1"/>
  <c r="AD14" i="1"/>
  <c r="AF14" i="1" s="1"/>
  <c r="AC14" i="1"/>
  <c r="AB14" i="1"/>
  <c r="T14" i="1"/>
  <c r="V42" i="1"/>
  <c r="U42" i="1"/>
  <c r="X42" i="1"/>
  <c r="Z46" i="1"/>
  <c r="Y46" i="1"/>
  <c r="X46" i="1"/>
  <c r="AB46" i="1"/>
  <c r="AD63" i="1"/>
  <c r="AF63" i="1" s="1"/>
  <c r="AC63" i="1"/>
  <c r="T76" i="1"/>
  <c r="S76" i="1"/>
  <c r="AC76" i="1"/>
  <c r="AD76" i="1"/>
  <c r="AF76" i="1" s="1"/>
  <c r="R76" i="1"/>
  <c r="V76" i="1"/>
  <c r="AB84" i="1"/>
  <c r="AA84" i="1"/>
  <c r="Z84" i="1"/>
  <c r="AD84" i="1"/>
  <c r="AF84" i="1" s="1"/>
  <c r="R84" i="1"/>
  <c r="R20" i="1"/>
  <c r="R5" i="1"/>
  <c r="S18" i="1"/>
  <c r="T85" i="1"/>
  <c r="T22" i="1"/>
  <c r="U4" i="1"/>
  <c r="V39" i="1"/>
  <c r="V24" i="1"/>
  <c r="V5" i="1"/>
  <c r="W40" i="1"/>
  <c r="W25" i="1"/>
  <c r="W6" i="1"/>
  <c r="X60" i="1"/>
  <c r="Y76" i="1"/>
  <c r="Y60" i="1"/>
  <c r="Y42" i="1"/>
  <c r="Y26" i="1"/>
  <c r="Y6" i="1"/>
  <c r="Z40" i="1"/>
  <c r="Z21" i="1"/>
  <c r="AA53" i="1"/>
  <c r="AA34" i="1"/>
  <c r="AA17" i="1"/>
  <c r="AB67" i="1"/>
  <c r="AB51" i="1"/>
  <c r="AB31" i="1"/>
  <c r="AB15" i="1"/>
  <c r="AC80" i="1"/>
  <c r="AC42" i="1"/>
  <c r="AC20" i="1"/>
  <c r="AD85" i="1"/>
  <c r="AF85" i="1" s="1"/>
  <c r="AD67" i="1"/>
  <c r="AF67" i="1" s="1"/>
  <c r="AD46" i="1"/>
  <c r="AF46" i="1" s="1"/>
  <c r="V2" i="1"/>
  <c r="Z54" i="1"/>
  <c r="V85" i="1"/>
  <c r="Y39" i="1"/>
  <c r="AB64" i="1"/>
  <c r="AC77" i="1"/>
  <c r="AC13" i="1"/>
  <c r="AD27" i="1"/>
  <c r="AF27" i="1" s="1"/>
  <c r="W31" i="1"/>
  <c r="AB60" i="1"/>
  <c r="T33" i="1"/>
  <c r="T15" i="1"/>
  <c r="U84" i="1"/>
  <c r="U50" i="1"/>
  <c r="U16" i="1"/>
  <c r="V84" i="1"/>
  <c r="V50" i="1"/>
  <c r="V17" i="1"/>
  <c r="W85" i="1"/>
  <c r="W51" i="1"/>
  <c r="W36" i="1"/>
  <c r="W18" i="1"/>
  <c r="X55" i="1"/>
  <c r="X23" i="1"/>
  <c r="Y54" i="1"/>
  <c r="Y38" i="1"/>
  <c r="Y18" i="1"/>
  <c r="Y2" i="1"/>
  <c r="Z67" i="1"/>
  <c r="Z33" i="1"/>
  <c r="Z16" i="1"/>
  <c r="AA46" i="1"/>
  <c r="AA10" i="1"/>
  <c r="AB63" i="1"/>
  <c r="AB43" i="1"/>
  <c r="AB27" i="1"/>
  <c r="AB7" i="1"/>
  <c r="AC55" i="1"/>
  <c r="AC33" i="1"/>
  <c r="AC12" i="1"/>
  <c r="AD80" i="1"/>
  <c r="AF80" i="1" s="1"/>
  <c r="AD59" i="1"/>
  <c r="AF59" i="1" s="1"/>
  <c r="AD42" i="1"/>
  <c r="AF42" i="1" s="1"/>
  <c r="AD20" i="1"/>
  <c r="AF20" i="1" s="1"/>
  <c r="Y5" i="1"/>
  <c r="U85" i="1"/>
  <c r="U20" i="1"/>
  <c r="V36" i="1"/>
  <c r="W2" i="1"/>
  <c r="X24" i="1"/>
  <c r="Y20" i="1"/>
  <c r="Z53" i="1"/>
  <c r="Z17" i="1"/>
  <c r="AA50" i="1"/>
  <c r="AB8" i="1"/>
  <c r="W19" i="1"/>
  <c r="Z34" i="1"/>
  <c r="AD51" i="1"/>
  <c r="AF51" i="1" s="1"/>
  <c r="AB72" i="1"/>
  <c r="S10" i="1"/>
  <c r="T13" i="1"/>
  <c r="U33" i="1"/>
  <c r="U14" i="1"/>
  <c r="V15" i="1"/>
  <c r="W84" i="1"/>
  <c r="W66" i="1"/>
  <c r="W50" i="1"/>
  <c r="W35" i="1"/>
  <c r="W16" i="1"/>
  <c r="X85" i="1"/>
  <c r="X53" i="1"/>
  <c r="X19" i="1"/>
  <c r="Y68" i="1"/>
  <c r="Y53" i="1"/>
  <c r="Y37" i="1"/>
  <c r="Y17" i="1"/>
  <c r="Z51" i="1"/>
  <c r="Z31" i="1"/>
  <c r="Z15" i="1"/>
  <c r="AA80" i="1"/>
  <c r="AA64" i="1"/>
  <c r="AA28" i="1"/>
  <c r="AA8" i="1"/>
  <c r="AB42" i="1"/>
  <c r="AB6" i="1"/>
  <c r="AC32" i="1"/>
  <c r="AC10" i="1"/>
  <c r="AD58" i="1"/>
  <c r="AF58" i="1" s="1"/>
  <c r="AD19" i="1"/>
  <c r="AF19" i="1" s="1"/>
  <c r="T4" i="1"/>
  <c r="S4" i="1"/>
  <c r="AD4" i="1"/>
  <c r="AF4" i="1" s="1"/>
  <c r="R4" i="1"/>
  <c r="AC4" i="1"/>
  <c r="V4" i="1"/>
  <c r="V54" i="1"/>
  <c r="U54" i="1"/>
  <c r="T54" i="1"/>
  <c r="X54" i="1"/>
  <c r="R18" i="1"/>
  <c r="U36" i="1"/>
  <c r="V22" i="1"/>
  <c r="Y24" i="1"/>
  <c r="AD22" i="1"/>
  <c r="AF22" i="1" s="1"/>
  <c r="X4" i="1"/>
  <c r="Z69" i="1"/>
  <c r="S3" i="1"/>
  <c r="AD3" i="1"/>
  <c r="AF3" i="1" s="1"/>
  <c r="AB3" i="1"/>
  <c r="AC3" i="1"/>
  <c r="U3" i="1"/>
  <c r="AB48" i="1"/>
  <c r="AA48" i="1"/>
  <c r="Z48" i="1"/>
  <c r="AD48" i="1"/>
  <c r="AF48" i="1" s="1"/>
  <c r="V66" i="1"/>
  <c r="U66" i="1"/>
  <c r="T66" i="1"/>
  <c r="X66" i="1"/>
  <c r="R85" i="1"/>
  <c r="S54" i="1"/>
  <c r="T12" i="1"/>
  <c r="U48" i="1"/>
  <c r="U13" i="1"/>
  <c r="V48" i="1"/>
  <c r="V33" i="1"/>
  <c r="V14" i="1"/>
  <c r="W64" i="1"/>
  <c r="W15" i="1"/>
  <c r="X84" i="1"/>
  <c r="X17" i="1"/>
  <c r="Y66" i="1"/>
  <c r="Y36" i="1"/>
  <c r="Y16" i="1"/>
  <c r="Z50" i="1"/>
  <c r="Z30" i="1"/>
  <c r="Z14" i="1"/>
  <c r="AA63" i="1"/>
  <c r="AA43" i="1"/>
  <c r="AA27" i="1"/>
  <c r="AA7" i="1"/>
  <c r="AB57" i="1"/>
  <c r="AB41" i="1"/>
  <c r="AB5" i="1"/>
  <c r="AC53" i="1"/>
  <c r="AC31" i="1"/>
  <c r="AD57" i="1"/>
  <c r="AF57" i="1" s="1"/>
  <c r="AD35" i="1"/>
  <c r="AF35" i="1" s="1"/>
  <c r="AD18" i="1"/>
  <c r="AF18" i="1" s="1"/>
  <c r="AC85" i="1"/>
  <c r="AB85" i="1"/>
  <c r="AA85" i="1"/>
  <c r="S85" i="1"/>
  <c r="T36" i="1"/>
  <c r="AC36" i="1"/>
  <c r="AC25" i="1"/>
  <c r="AB25" i="1"/>
  <c r="AA25" i="1"/>
  <c r="S25" i="1"/>
  <c r="V13" i="1"/>
  <c r="W48" i="1"/>
  <c r="W14" i="1"/>
  <c r="X51" i="1"/>
  <c r="X36" i="1"/>
  <c r="X16" i="1"/>
  <c r="Y85" i="1"/>
  <c r="Z64" i="1"/>
  <c r="Z49" i="1"/>
  <c r="Z13" i="1"/>
  <c r="AA62" i="1"/>
  <c r="AA42" i="1"/>
  <c r="AA26" i="1"/>
  <c r="AA6" i="1"/>
  <c r="AB76" i="1"/>
  <c r="AB56" i="1"/>
  <c r="AB20" i="1"/>
  <c r="AB4" i="1"/>
  <c r="AC68" i="1"/>
  <c r="AC48" i="1"/>
  <c r="AC30" i="1"/>
  <c r="AC8" i="1"/>
  <c r="AD13" i="1"/>
  <c r="AF13" i="1" s="1"/>
  <c r="AB24" i="1"/>
  <c r="AA24" i="1"/>
  <c r="Z24" i="1"/>
  <c r="AD24" i="1"/>
  <c r="AF24" i="1" s="1"/>
  <c r="R24" i="1"/>
  <c r="Z22" i="1"/>
  <c r="Y22" i="1"/>
  <c r="X22" i="1"/>
  <c r="AB22" i="1"/>
  <c r="S39" i="1"/>
  <c r="AD39" i="1"/>
  <c r="AF39" i="1" s="1"/>
  <c r="R39" i="1"/>
  <c r="AC39" i="1"/>
  <c r="U39" i="1"/>
  <c r="AA59" i="1"/>
  <c r="Z59" i="1"/>
  <c r="Y59" i="1"/>
  <c r="AC59" i="1"/>
  <c r="U77" i="1"/>
  <c r="T77" i="1"/>
  <c r="S77" i="1"/>
  <c r="AD77" i="1"/>
  <c r="AF77" i="1" s="1"/>
  <c r="W77" i="1"/>
  <c r="W54" i="1"/>
  <c r="T40" i="1"/>
  <c r="S40" i="1"/>
  <c r="AD40" i="1"/>
  <c r="AF40" i="1" s="1"/>
  <c r="R40" i="1"/>
  <c r="AC40" i="1"/>
  <c r="V40" i="1"/>
  <c r="S15" i="1"/>
  <c r="AD15" i="1"/>
  <c r="AF15" i="1" s="1"/>
  <c r="R15" i="1"/>
  <c r="AC15" i="1"/>
  <c r="U15" i="1"/>
  <c r="R10" i="1"/>
  <c r="Y9" i="1"/>
  <c r="X9" i="1"/>
  <c r="W9" i="1"/>
  <c r="AA9" i="1"/>
  <c r="X56" i="1"/>
  <c r="W56" i="1"/>
  <c r="V56" i="1"/>
  <c r="Z56" i="1"/>
  <c r="AC61" i="1"/>
  <c r="AB61" i="1"/>
  <c r="AA61" i="1"/>
  <c r="W67" i="1"/>
  <c r="V67" i="1"/>
  <c r="U67" i="1"/>
  <c r="Y67" i="1"/>
  <c r="AD74" i="1"/>
  <c r="AF74" i="1" s="1"/>
  <c r="R74" i="1"/>
  <c r="AC74" i="1"/>
  <c r="AB74" i="1"/>
  <c r="T74" i="1"/>
  <c r="Z82" i="1"/>
  <c r="Y82" i="1"/>
  <c r="X82" i="1"/>
  <c r="AB82" i="1"/>
  <c r="R82" i="1"/>
  <c r="R56" i="1"/>
  <c r="R25" i="1"/>
  <c r="R9" i="1"/>
  <c r="S36" i="1"/>
  <c r="S22" i="1"/>
  <c r="S7" i="1"/>
  <c r="T59" i="1"/>
  <c r="T10" i="1"/>
  <c r="U62" i="1"/>
  <c r="U28" i="1"/>
  <c r="V77" i="1"/>
  <c r="V46" i="1"/>
  <c r="V12" i="1"/>
  <c r="W30" i="1"/>
  <c r="W13" i="1"/>
  <c r="X64" i="1"/>
  <c r="X50" i="1"/>
  <c r="X15" i="1"/>
  <c r="Y84" i="1"/>
  <c r="Y64" i="1"/>
  <c r="Y50" i="1"/>
  <c r="Y14" i="1"/>
  <c r="Z9" i="1"/>
  <c r="AA77" i="1"/>
  <c r="AA58" i="1"/>
  <c r="AA22" i="1"/>
  <c r="AA5" i="1"/>
  <c r="AB55" i="1"/>
  <c r="AB39" i="1"/>
  <c r="AB19" i="1"/>
  <c r="AC67" i="1"/>
  <c r="AC46" i="1"/>
  <c r="AC29" i="1"/>
  <c r="AD55" i="1"/>
  <c r="AF55" i="1" s="1"/>
  <c r="W24" i="1"/>
  <c r="AC58" i="1"/>
  <c r="X20" i="1"/>
  <c r="W20" i="1"/>
  <c r="V20" i="1"/>
  <c r="Z20" i="1"/>
  <c r="Y4" i="1"/>
  <c r="Z18" i="1"/>
  <c r="AC17" i="1"/>
  <c r="W7" i="1"/>
  <c r="V7" i="1"/>
  <c r="U7" i="1"/>
  <c r="AD7" i="1"/>
  <c r="AF7" i="1" s="1"/>
  <c r="Y7" i="1"/>
  <c r="X80" i="1"/>
  <c r="W80" i="1"/>
  <c r="V80" i="1"/>
  <c r="Z80" i="1"/>
  <c r="AD2" i="1"/>
  <c r="AF2" i="1" s="1"/>
  <c r="R2" i="1"/>
  <c r="AC2" i="1"/>
  <c r="AB2" i="1"/>
  <c r="T2" i="1"/>
  <c r="AA23" i="1"/>
  <c r="S66" i="1"/>
  <c r="T28" i="1"/>
  <c r="AC28" i="1"/>
  <c r="S28" i="1"/>
  <c r="AD28" i="1"/>
  <c r="AF28" i="1" s="1"/>
  <c r="R28" i="1"/>
  <c r="V28" i="1"/>
  <c r="X32" i="1"/>
  <c r="Z32" i="1"/>
  <c r="AA35" i="1"/>
  <c r="Z35" i="1"/>
  <c r="Y35" i="1"/>
  <c r="AC35" i="1"/>
  <c r="AD38" i="1"/>
  <c r="AF38" i="1" s="1"/>
  <c r="R38" i="1"/>
  <c r="AC38" i="1"/>
  <c r="AB38" i="1"/>
  <c r="T38" i="1"/>
  <c r="U41" i="1"/>
  <c r="AD41" i="1"/>
  <c r="AF41" i="1" s="1"/>
  <c r="T41" i="1"/>
  <c r="S41" i="1"/>
  <c r="W41" i="1"/>
  <c r="Y45" i="1"/>
  <c r="X45" i="1"/>
  <c r="W45" i="1"/>
  <c r="AA45" i="1"/>
  <c r="AC52" i="1"/>
  <c r="AD52" i="1"/>
  <c r="AF52" i="1" s="1"/>
  <c r="AD62" i="1"/>
  <c r="AF62" i="1" s="1"/>
  <c r="AC62" i="1"/>
  <c r="AB62" i="1"/>
  <c r="X68" i="1"/>
  <c r="W68" i="1"/>
  <c r="V68" i="1"/>
  <c r="Z68" i="1"/>
  <c r="R67" i="1"/>
  <c r="T25" i="1"/>
  <c r="T9" i="1"/>
  <c r="U76" i="1"/>
  <c r="U45" i="1"/>
  <c r="U10" i="1"/>
  <c r="V45" i="1"/>
  <c r="W76" i="1"/>
  <c r="W46" i="1"/>
  <c r="W28" i="1"/>
  <c r="X77" i="1"/>
  <c r="X49" i="1"/>
  <c r="X31" i="1"/>
  <c r="X14" i="1"/>
  <c r="Y80" i="1"/>
  <c r="Y13" i="1"/>
  <c r="Z62" i="1"/>
  <c r="Z7" i="1"/>
  <c r="AA76" i="1"/>
  <c r="AA56" i="1"/>
  <c r="AA40" i="1"/>
  <c r="AA20" i="1"/>
  <c r="AA4" i="1"/>
  <c r="AB54" i="1"/>
  <c r="AB35" i="1"/>
  <c r="AB18" i="1"/>
  <c r="AC84" i="1"/>
  <c r="AC66" i="1"/>
  <c r="AC45" i="1"/>
  <c r="AC24" i="1"/>
  <c r="AD54" i="1"/>
  <c r="AF54" i="1" s="1"/>
  <c r="AD32" i="1"/>
  <c r="AF32" i="1" s="1"/>
  <c r="Y69" i="1"/>
  <c r="AA69" i="1"/>
  <c r="Y33" i="1"/>
  <c r="X33" i="1"/>
  <c r="W33" i="1"/>
  <c r="AA33" i="1"/>
  <c r="AD50" i="1"/>
  <c r="AF50" i="1" s="1"/>
  <c r="R50" i="1"/>
  <c r="AC50" i="1"/>
  <c r="AB50" i="1"/>
  <c r="T50" i="1"/>
  <c r="AC18" i="1"/>
  <c r="Z10" i="1"/>
  <c r="Y10" i="1"/>
  <c r="X10" i="1"/>
  <c r="AB10" i="1"/>
  <c r="AC37" i="1"/>
  <c r="AB37" i="1"/>
  <c r="AA37" i="1"/>
  <c r="AB12" i="1"/>
  <c r="AA12" i="1"/>
  <c r="Z12" i="1"/>
  <c r="AD12" i="1"/>
  <c r="AF12" i="1" s="1"/>
  <c r="R12" i="1"/>
  <c r="V6" i="1"/>
  <c r="U6" i="1"/>
  <c r="AD6" i="1"/>
  <c r="AF6" i="1" s="1"/>
  <c r="X6" i="1"/>
  <c r="AD26" i="1"/>
  <c r="AF26" i="1" s="1"/>
  <c r="R26" i="1"/>
  <c r="AC26" i="1"/>
  <c r="AB26" i="1"/>
  <c r="T26" i="1"/>
  <c r="AC49" i="1"/>
  <c r="AB49" i="1"/>
  <c r="AA49" i="1"/>
  <c r="AD75" i="1"/>
  <c r="AF75" i="1" s="1"/>
  <c r="AC75" i="1"/>
  <c r="AA83" i="1"/>
  <c r="Z83" i="1"/>
  <c r="Y83" i="1"/>
  <c r="AC83" i="1"/>
  <c r="R66" i="1"/>
  <c r="R41" i="1"/>
  <c r="R7" i="1"/>
  <c r="S20" i="1"/>
  <c r="S2" i="1"/>
  <c r="T24" i="1"/>
  <c r="T8" i="1"/>
  <c r="U25" i="1"/>
  <c r="U9" i="1"/>
  <c r="V74" i="1"/>
  <c r="V59" i="1"/>
  <c r="V26" i="1"/>
  <c r="V10" i="1"/>
  <c r="X76" i="1"/>
  <c r="X62" i="1"/>
  <c r="X48" i="1"/>
  <c r="Y62" i="1"/>
  <c r="Y48" i="1"/>
  <c r="Y28" i="1"/>
  <c r="Y12" i="1"/>
  <c r="Z77" i="1"/>
  <c r="Z42" i="1"/>
  <c r="Z26" i="1"/>
  <c r="Z6" i="1"/>
  <c r="AA75" i="1"/>
  <c r="AA39" i="1"/>
  <c r="AA3" i="1"/>
  <c r="AB69" i="1"/>
  <c r="AB53" i="1"/>
  <c r="AB33" i="1"/>
  <c r="AB17" i="1"/>
  <c r="AC82" i="1"/>
  <c r="AC22" i="1"/>
  <c r="AC5" i="1"/>
  <c r="AD69" i="1"/>
  <c r="AF69" i="1" s="1"/>
  <c r="AD49" i="1"/>
  <c r="AF49" i="1" s="1"/>
  <c r="AD9" i="1"/>
  <c r="AF9" i="1" s="1"/>
  <c r="U51" i="1"/>
  <c r="U27" i="1"/>
  <c r="V16" i="1"/>
  <c r="W65" i="1"/>
  <c r="X78" i="1"/>
  <c r="X30" i="1"/>
  <c r="Y79" i="1"/>
  <c r="Y55" i="1"/>
  <c r="Y43" i="1"/>
  <c r="Y31" i="1"/>
  <c r="Y19" i="1"/>
  <c r="AA81" i="1"/>
  <c r="AA21" i="1"/>
  <c r="AB70" i="1"/>
  <c r="AB34" i="1"/>
  <c r="AC71" i="1"/>
  <c r="AC47" i="1"/>
  <c r="AC23" i="1"/>
  <c r="AC11" i="1"/>
  <c r="AD72" i="1"/>
  <c r="AF72" i="1" s="1"/>
  <c r="AD60" i="1"/>
  <c r="AF60" i="1" s="1"/>
  <c r="R16" i="1"/>
  <c r="S65" i="1"/>
  <c r="T78" i="1"/>
  <c r="T30" i="1"/>
  <c r="U79" i="1"/>
  <c r="U55" i="1"/>
  <c r="U43" i="1"/>
  <c r="U31" i="1"/>
  <c r="U19" i="1"/>
  <c r="W81" i="1"/>
  <c r="W21" i="1"/>
  <c r="X34" i="1"/>
  <c r="Y71" i="1"/>
  <c r="Y47" i="1"/>
  <c r="Y23" i="1"/>
  <c r="Y11" i="1"/>
  <c r="Z72" i="1"/>
  <c r="Z60" i="1"/>
  <c r="AA73" i="1"/>
  <c r="AA13" i="1"/>
  <c r="AC51" i="1"/>
  <c r="AC27" i="1"/>
  <c r="AD16" i="1"/>
  <c r="AF16" i="1" s="1"/>
  <c r="S16" i="1"/>
  <c r="T65" i="1"/>
  <c r="U78" i="1"/>
  <c r="U30" i="1"/>
  <c r="V79" i="1"/>
  <c r="V55" i="1"/>
  <c r="V43" i="1"/>
  <c r="V31" i="1"/>
  <c r="V19" i="1"/>
  <c r="X81" i="1"/>
  <c r="X21" i="1"/>
  <c r="Y70" i="1"/>
  <c r="Y34" i="1"/>
  <c r="Z71" i="1"/>
  <c r="Z47" i="1"/>
  <c r="Z23" i="1"/>
  <c r="Z11" i="1"/>
  <c r="AA72" i="1"/>
  <c r="AA60" i="1"/>
  <c r="AB73" i="1"/>
  <c r="AB13" i="1"/>
</calcChain>
</file>

<file path=xl/sharedStrings.xml><?xml version="1.0" encoding="utf-8"?>
<sst xmlns="http://schemas.openxmlformats.org/spreadsheetml/2006/main" count="339" uniqueCount="174">
  <si>
    <t>Фамилия Имя Отчество</t>
  </si>
  <si>
    <t>Пол</t>
  </si>
  <si>
    <t>Клуб</t>
  </si>
  <si>
    <t>Минск
Indoor</t>
  </si>
  <si>
    <t>Логойск
Зимний</t>
  </si>
  <si>
    <t>Дрогичин
Дуатлон</t>
  </si>
  <si>
    <t>Могилёв
Спринт</t>
  </si>
  <si>
    <t>Лепель Кросс</t>
  </si>
  <si>
    <t>Гомель Спринт</t>
  </si>
  <si>
    <t>Заславль
Мульти</t>
  </si>
  <si>
    <t>Брест
Олимпик</t>
  </si>
  <si>
    <t>Святск Триатлон</t>
  </si>
  <si>
    <t>Минск
Триатлон</t>
  </si>
  <si>
    <t>Гомель Кросс</t>
  </si>
  <si>
    <t>Минск Полный</t>
  </si>
  <si>
    <t>Раубичи
Дуатлон</t>
  </si>
  <si>
    <t>Тылиндус Александр Павлович</t>
  </si>
  <si>
    <t>Tristyle</t>
  </si>
  <si>
    <t xml:space="preserve">Креч Евгений Александрович </t>
  </si>
  <si>
    <t>Многобор</t>
  </si>
  <si>
    <t>Новицкий Александр Николаевич</t>
  </si>
  <si>
    <t>Altius!</t>
  </si>
  <si>
    <t>Маркович Александр Николаевич</t>
  </si>
  <si>
    <t>Mogilev Triathlon</t>
  </si>
  <si>
    <t>Мелях Дмитрий Николаевич</t>
  </si>
  <si>
    <t>Пульман Алексей Николаевич</t>
  </si>
  <si>
    <t>Кочержук Александр Владимирович</t>
  </si>
  <si>
    <t>On-Bike</t>
  </si>
  <si>
    <t>Тарасенко Артем Викторович</t>
  </si>
  <si>
    <t>Шинкарёв Алексей Васильевич</t>
  </si>
  <si>
    <t>Новиков Анатолий Евгеньевич</t>
  </si>
  <si>
    <t xml:space="preserve">Харитонов Никита Витальевич </t>
  </si>
  <si>
    <t>Слободько Дмитрий Владимирович</t>
  </si>
  <si>
    <t>Ворожбит Станислав Михайлович</t>
  </si>
  <si>
    <t xml:space="preserve">Шипуль Андрей Анатольевич </t>
  </si>
  <si>
    <t>Гацко Дмитрий Михайлович</t>
  </si>
  <si>
    <t>Тумаш Василий Станиславович</t>
  </si>
  <si>
    <t>Викентьев Алексей Эдуардович</t>
  </si>
  <si>
    <t>Дармель Александр Николаевич</t>
  </si>
  <si>
    <t>Ковалев Ярослав Александрович</t>
  </si>
  <si>
    <t>Дашкевич Павел Юрьевич</t>
  </si>
  <si>
    <t>СК Сож</t>
  </si>
  <si>
    <t>Харитонов Виталий Сергеевич</t>
  </si>
  <si>
    <t xml:space="preserve">Многобор </t>
  </si>
  <si>
    <t>Жиделев Александр Владимирович</t>
  </si>
  <si>
    <t>Ларионов Андрей Алексеевич</t>
  </si>
  <si>
    <t>BikeTourist.club</t>
  </si>
  <si>
    <t>Шеметов Михаил Дмитриевич</t>
  </si>
  <si>
    <t xml:space="preserve">Раёв Сергей Александрович </t>
  </si>
  <si>
    <t>Trivida</t>
  </si>
  <si>
    <t>Головаченко Денис Леонидович</t>
  </si>
  <si>
    <t>NM</t>
  </si>
  <si>
    <t>Картун Андрей Михайлович</t>
  </si>
  <si>
    <t>Алексейчиков Иван Владимирович</t>
  </si>
  <si>
    <t>Яроцкий Евгений Владимирович</t>
  </si>
  <si>
    <t xml:space="preserve">Добудько Иван Сергеевич </t>
  </si>
  <si>
    <t>Дубковский Александр Сергеевич</t>
  </si>
  <si>
    <t>СНГ</t>
  </si>
  <si>
    <t>Вашкевич Антон Михайлович</t>
  </si>
  <si>
    <t>СК Каяк</t>
  </si>
  <si>
    <t>Вашкевич Виктор Владимирович</t>
  </si>
  <si>
    <t>Poseidon</t>
  </si>
  <si>
    <t>Шараев Юрий Владимирович</t>
  </si>
  <si>
    <t>Шпакович Максим Валерьевич</t>
  </si>
  <si>
    <t>Кологрив Артемий Александрович</t>
  </si>
  <si>
    <t>Run4Fun</t>
  </si>
  <si>
    <t>Шпиленя Алексей Сергеевич</t>
  </si>
  <si>
    <t>Бузо Александр Владимирович</t>
  </si>
  <si>
    <t>Malanka</t>
  </si>
  <si>
    <t>Иткин Савелий Антонович</t>
  </si>
  <si>
    <t>Кожан Валерий Тимофеевич</t>
  </si>
  <si>
    <t>Чечура Андрей Иванович</t>
  </si>
  <si>
    <t xml:space="preserve">Третьяк Виктор Александрович </t>
  </si>
  <si>
    <t xml:space="preserve">Пальчех Василий Викторович </t>
  </si>
  <si>
    <t>Куприянов Никита Сергеевич</t>
  </si>
  <si>
    <t xml:space="preserve">Греков Андрей Юрьевич </t>
  </si>
  <si>
    <t xml:space="preserve">Щербенок Игорь Александрович </t>
  </si>
  <si>
    <t>Державец Александр Марьянович</t>
  </si>
  <si>
    <t>Лесюков Александр Игоревич</t>
  </si>
  <si>
    <t xml:space="preserve">Астапкович Алексей Николаевич </t>
  </si>
  <si>
    <t xml:space="preserve">Матюш Александр Сергеевич </t>
  </si>
  <si>
    <t>Solpi - M</t>
  </si>
  <si>
    <t>Виноградов Дмитрий Викторович</t>
  </si>
  <si>
    <t>Грицкевич Илья Олегович</t>
  </si>
  <si>
    <t>Автушко Михаил Владимирович</t>
  </si>
  <si>
    <t>Aist</t>
  </si>
  <si>
    <t>Нестерович Николай Александрович</t>
  </si>
  <si>
    <t>Качаев Олег Владимирович</t>
  </si>
  <si>
    <t>Мунтян Сергей Сергеевич</t>
  </si>
  <si>
    <t>Grebenstar</t>
  </si>
  <si>
    <t>Журавлёв Григорий Викторович</t>
  </si>
  <si>
    <t>Голуб Игорь Александрович</t>
  </si>
  <si>
    <t>Иванов Олег Григорьевич</t>
  </si>
  <si>
    <t>Литвиненко Дмитрий Сергеевич</t>
  </si>
  <si>
    <t>Шмерко Андрей Александрович</t>
  </si>
  <si>
    <t>Юрченко Александр Михайлович</t>
  </si>
  <si>
    <t>Irontrener</t>
  </si>
  <si>
    <t xml:space="preserve">Чавлытко Александр Даниилович </t>
  </si>
  <si>
    <t>Крыница</t>
  </si>
  <si>
    <t>Тумащик Александр Анатольевич</t>
  </si>
  <si>
    <t>Здор Павел Николаевич</t>
  </si>
  <si>
    <t>Арзамасов Илья Валерьевич</t>
  </si>
  <si>
    <t>Arza Running Club</t>
  </si>
  <si>
    <t>Наранович Евгений Владимирович</t>
  </si>
  <si>
    <t>Вашкевич Владимир Владимирович</t>
  </si>
  <si>
    <t>Бузук Илья Владимирович</t>
  </si>
  <si>
    <t>Ерофеев Александр Александрович</t>
  </si>
  <si>
    <t>БелГУТ</t>
  </si>
  <si>
    <t xml:space="preserve">Войтик Михаил Михайлович </t>
  </si>
  <si>
    <t>S-sportas</t>
  </si>
  <si>
    <t>Автушко Сергей Владимирович</t>
  </si>
  <si>
    <t>Козел Андрей Васильевич</t>
  </si>
  <si>
    <t>Кицук Дмитрий Александрович</t>
  </si>
  <si>
    <t>Ахметгалимов Артур Фаритович</t>
  </si>
  <si>
    <t>Мороз Чеслав Францевич</t>
  </si>
  <si>
    <t>ФСК Миоры</t>
  </si>
  <si>
    <t>Комлюк Анатолий Иванович</t>
  </si>
  <si>
    <t xml:space="preserve">Свиридов Игорь Алексеевич </t>
  </si>
  <si>
    <t>Манюхин Андрей Владимирович</t>
  </si>
  <si>
    <t>Афанасьев Владислав Владимирович</t>
  </si>
  <si>
    <t xml:space="preserve">Рыженков Юрий Алексеевич </t>
  </si>
  <si>
    <t>Недосейкин Андрей Александрович</t>
  </si>
  <si>
    <t>Шелест Юрий Владимирович</t>
  </si>
  <si>
    <t xml:space="preserve">Будай Михаил Анатольевич </t>
  </si>
  <si>
    <t>Плодунов Захар Сергеевич</t>
  </si>
  <si>
    <t>Купреев Алексей Николаевич</t>
  </si>
  <si>
    <t>Бондарь Иван Иванович</t>
  </si>
  <si>
    <t>Рыжков Руслан Дмитриевич</t>
  </si>
  <si>
    <t>Желтая субмарина</t>
  </si>
  <si>
    <t xml:space="preserve">Кныш Сергей Николаевич </t>
  </si>
  <si>
    <t xml:space="preserve">Юрченко Юрий Владимирович </t>
  </si>
  <si>
    <t>Дабл Ю</t>
  </si>
  <si>
    <t>Полегенький Владимир Владимирович</t>
  </si>
  <si>
    <t>Сухан Валерий Владимирович</t>
  </si>
  <si>
    <t>Домбровский Максим</t>
  </si>
  <si>
    <t>Автушко Денис Владимирович</t>
  </si>
  <si>
    <t>Синюк Иван Петрович</t>
  </si>
  <si>
    <t>Юрков Александр Сергеевич</t>
  </si>
  <si>
    <t>Толкачев Дмитрий Леонидович</t>
  </si>
  <si>
    <t xml:space="preserve">Мармыль Ольга Васильевна </t>
  </si>
  <si>
    <t>Черемисинова Анна Александровна</t>
  </si>
  <si>
    <t>Попова Светлана Владимировна</t>
  </si>
  <si>
    <t>Куделко Екатерина Анатольевна</t>
  </si>
  <si>
    <t>Шеремет Евгения Николаевна</t>
  </si>
  <si>
    <t>Гаврилова Алла Владиславовна</t>
  </si>
  <si>
    <t>Гайдук Ольга Валерьевна</t>
  </si>
  <si>
    <t>Викентьева Елена Александровна</t>
  </si>
  <si>
    <t>Малаховская Татьяна Игоревна</t>
  </si>
  <si>
    <t xml:space="preserve">Клебанович Виктория Николаевна </t>
  </si>
  <si>
    <t>Моисеева Вероника Сергеевна</t>
  </si>
  <si>
    <t>Адамович Ирина Владимировна</t>
  </si>
  <si>
    <t xml:space="preserve">Таначёва Александра Сергеевна </t>
  </si>
  <si>
    <t>Касперович Юлия Андреевна</t>
  </si>
  <si>
    <t>Вечорко Елена Сергеевна</t>
  </si>
  <si>
    <t>Rovar</t>
  </si>
  <si>
    <t xml:space="preserve">Войтик Татьяна Николаевна </t>
  </si>
  <si>
    <t>Минск
Indoor_</t>
  </si>
  <si>
    <t>Логойск
Зимний_</t>
  </si>
  <si>
    <t>Дрогичин
Дуатлон_</t>
  </si>
  <si>
    <t>Могилёв
Спринт_</t>
  </si>
  <si>
    <t>Лепель Кросс_</t>
  </si>
  <si>
    <t>Гомель Спринт_</t>
  </si>
  <si>
    <t>Заславль
Мульти_</t>
  </si>
  <si>
    <t>Брест
Олимпик_</t>
  </si>
  <si>
    <t>Святск Триатлон_</t>
  </si>
  <si>
    <t>Минск
Триатлон_</t>
  </si>
  <si>
    <t>Гомель Кросс_</t>
  </si>
  <si>
    <t>Минск Полный_</t>
  </si>
  <si>
    <t>Раубичи
Дуатлон_</t>
  </si>
  <si>
    <t>Старт</t>
  </si>
  <si>
    <t>Мужчина</t>
  </si>
  <si>
    <t>Женщина</t>
  </si>
  <si>
    <t>Рейтинг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</si>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</sst>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DEEAF6"/>
        <bgColor rgb="FFDEEAF6"/>
      </patternFill>
    </fill>
  </fills>
  <borders count="6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2" xfId="0" applyFont="1" applyFill="1" applyBorder="1" applyAlignment="1">
      <alignment horizontal="left" vertical="center"/>
    </xf>
    <xf numFmtId="1" fontId="1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/>
    </xf>
    <xf numFmtId="1" fontId="1" fillId="3" borderId="5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EEAF6"/>
          <bgColor rgb="FFDEEAF6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EEAF6"/>
          <bgColor rgb="FFDEEAF6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EEAF6"/>
          <bgColor rgb="FFDEEAF6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hair">
          <color rgb="FF000000"/>
        </top>
      </border>
    </dxf>
    <dxf>
      <border outline="0">
        <top style="hair">
          <color rgb="FF000000"/>
        </top>
        <bottom style="hair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FFCC"/>
          <bgColor rgb="FFCCFFC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aseline="0"/>
              <a:t>Инфографика сезона 2024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4888514908779E-2"/>
          <c:y val="2.2743127030308265E-2"/>
          <c:w val="0.9656028207476961"/>
          <c:h val="0.9440247970068115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Тылиндус Александр Павлович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Sheet1!$Q$2:$AD$2</c:f>
              <c:numCache>
                <c:formatCode>0</c:formatCode>
                <c:ptCount val="14"/>
                <c:pt idx="0">
                  <c:v>0</c:v>
                </c:pt>
                <c:pt idx="1">
                  <c:v>51</c:v>
                </c:pt>
                <c:pt idx="2">
                  <c:v>105</c:v>
                </c:pt>
                <c:pt idx="3">
                  <c:v>178</c:v>
                </c:pt>
                <c:pt idx="4">
                  <c:v>240</c:v>
                </c:pt>
                <c:pt idx="5">
                  <c:v>312</c:v>
                </c:pt>
                <c:pt idx="6">
                  <c:v>381</c:v>
                </c:pt>
                <c:pt idx="7">
                  <c:v>446</c:v>
                </c:pt>
                <c:pt idx="8">
                  <c:v>474</c:v>
                </c:pt>
                <c:pt idx="9">
                  <c:v>496</c:v>
                </c:pt>
                <c:pt idx="10">
                  <c:v>523</c:v>
                </c:pt>
                <c:pt idx="11">
                  <c:v>523</c:v>
                </c:pt>
                <c:pt idx="12">
                  <c:v>560</c:v>
                </c:pt>
                <c:pt idx="13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7-BF47-9E42-A9DBE731153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Креч Евгений Александрович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Sheet1!$Q$3:$AD$3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128</c:v>
                </c:pt>
                <c:pt idx="4">
                  <c:v>187</c:v>
                </c:pt>
                <c:pt idx="5">
                  <c:v>187</c:v>
                </c:pt>
                <c:pt idx="6">
                  <c:v>260</c:v>
                </c:pt>
                <c:pt idx="7">
                  <c:v>260</c:v>
                </c:pt>
                <c:pt idx="8">
                  <c:v>340</c:v>
                </c:pt>
                <c:pt idx="9">
                  <c:v>340</c:v>
                </c:pt>
                <c:pt idx="10">
                  <c:v>428</c:v>
                </c:pt>
                <c:pt idx="11">
                  <c:v>428</c:v>
                </c:pt>
                <c:pt idx="12">
                  <c:v>531</c:v>
                </c:pt>
                <c:pt idx="13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7-BF47-9E42-A9DBE731153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Новицкий Александр Николаевич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Sheet1!$Q$4:$AD$4</c:f>
              <c:numCache>
                <c:formatCode>0</c:formatCode>
                <c:ptCount val="14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99</c:v>
                </c:pt>
                <c:pt idx="4">
                  <c:v>151</c:v>
                </c:pt>
                <c:pt idx="5">
                  <c:v>151</c:v>
                </c:pt>
                <c:pt idx="6">
                  <c:v>210</c:v>
                </c:pt>
                <c:pt idx="7">
                  <c:v>272</c:v>
                </c:pt>
                <c:pt idx="8">
                  <c:v>350</c:v>
                </c:pt>
                <c:pt idx="9">
                  <c:v>427</c:v>
                </c:pt>
                <c:pt idx="10">
                  <c:v>454</c:v>
                </c:pt>
                <c:pt idx="11">
                  <c:v>454</c:v>
                </c:pt>
                <c:pt idx="12">
                  <c:v>503</c:v>
                </c:pt>
                <c:pt idx="13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7-BF47-9E42-A9DBE731153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Маркович Александр Николаевич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Sheet1!$Q$5:$AD$5</c:f>
              <c:numCache>
                <c:formatCode>0</c:formatCode>
                <c:ptCount val="14"/>
                <c:pt idx="0">
                  <c:v>0</c:v>
                </c:pt>
                <c:pt idx="1">
                  <c:v>53</c:v>
                </c:pt>
                <c:pt idx="2">
                  <c:v>85</c:v>
                </c:pt>
                <c:pt idx="3">
                  <c:v>148</c:v>
                </c:pt>
                <c:pt idx="4">
                  <c:v>148</c:v>
                </c:pt>
                <c:pt idx="5">
                  <c:v>221</c:v>
                </c:pt>
                <c:pt idx="6">
                  <c:v>290</c:v>
                </c:pt>
                <c:pt idx="7">
                  <c:v>361</c:v>
                </c:pt>
                <c:pt idx="8">
                  <c:v>441</c:v>
                </c:pt>
                <c:pt idx="9">
                  <c:v>441</c:v>
                </c:pt>
                <c:pt idx="10">
                  <c:v>497</c:v>
                </c:pt>
                <c:pt idx="11">
                  <c:v>507</c:v>
                </c:pt>
                <c:pt idx="12">
                  <c:v>507</c:v>
                </c:pt>
                <c:pt idx="13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7-BF47-9E42-A9DBE731153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Мелях Дмитрий Николаевич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Sheet1!$Q$6:$AD$6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</c:v>
                </c:pt>
                <c:pt idx="5">
                  <c:v>127</c:v>
                </c:pt>
                <c:pt idx="6">
                  <c:v>191</c:v>
                </c:pt>
                <c:pt idx="7">
                  <c:v>260</c:v>
                </c:pt>
                <c:pt idx="8">
                  <c:v>336</c:v>
                </c:pt>
                <c:pt idx="9">
                  <c:v>417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7-BF47-9E42-A9DBE731153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Пульман Алексей Николаевич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Sheet1!$Q$7:$AD$7</c:f>
              <c:numCache>
                <c:formatCode>0</c:formatCode>
                <c:ptCount val="14"/>
                <c:pt idx="0">
                  <c:v>0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106</c:v>
                </c:pt>
                <c:pt idx="7">
                  <c:v>173</c:v>
                </c:pt>
                <c:pt idx="8">
                  <c:v>242</c:v>
                </c:pt>
                <c:pt idx="9">
                  <c:v>321</c:v>
                </c:pt>
                <c:pt idx="10">
                  <c:v>391</c:v>
                </c:pt>
                <c:pt idx="11">
                  <c:v>391</c:v>
                </c:pt>
                <c:pt idx="12">
                  <c:v>483</c:v>
                </c:pt>
                <c:pt idx="13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7-BF47-9E42-A9DBE731153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Кочержук Александр Владимирович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Sheet1!$Q$8:$AD$8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</c:v>
                </c:pt>
                <c:pt idx="4">
                  <c:v>128</c:v>
                </c:pt>
                <c:pt idx="5">
                  <c:v>128</c:v>
                </c:pt>
                <c:pt idx="6">
                  <c:v>182</c:v>
                </c:pt>
                <c:pt idx="7">
                  <c:v>239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411</c:v>
                </c:pt>
                <c:pt idx="13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87-BF47-9E42-A9DBE731153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Тарасенко Артем Викторович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Sheet1!$Q$9:$AD$9</c:f>
              <c:numCache>
                <c:formatCode>0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52</c:v>
                </c:pt>
                <c:pt idx="4">
                  <c:v>95</c:v>
                </c:pt>
                <c:pt idx="5">
                  <c:v>159</c:v>
                </c:pt>
                <c:pt idx="6">
                  <c:v>221</c:v>
                </c:pt>
                <c:pt idx="7">
                  <c:v>280</c:v>
                </c:pt>
                <c:pt idx="8">
                  <c:v>355</c:v>
                </c:pt>
                <c:pt idx="9">
                  <c:v>420</c:v>
                </c:pt>
                <c:pt idx="10">
                  <c:v>450</c:v>
                </c:pt>
                <c:pt idx="11">
                  <c:v>461</c:v>
                </c:pt>
                <c:pt idx="12">
                  <c:v>461</c:v>
                </c:pt>
                <c:pt idx="13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87-BF47-9E42-A9DBE731153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Шинкарёв Алексей Васильевич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Sheet1!$Q$10:$AD$10</c:f>
              <c:numCache>
                <c:formatCode>0</c:formatCode>
                <c:ptCount val="14"/>
                <c:pt idx="0">
                  <c:v>0</c:v>
                </c:pt>
                <c:pt idx="1">
                  <c:v>37</c:v>
                </c:pt>
                <c:pt idx="2">
                  <c:v>82</c:v>
                </c:pt>
                <c:pt idx="3">
                  <c:v>137</c:v>
                </c:pt>
                <c:pt idx="4">
                  <c:v>190</c:v>
                </c:pt>
                <c:pt idx="5">
                  <c:v>258</c:v>
                </c:pt>
                <c:pt idx="6">
                  <c:v>308</c:v>
                </c:pt>
                <c:pt idx="7">
                  <c:v>308</c:v>
                </c:pt>
                <c:pt idx="8">
                  <c:v>382</c:v>
                </c:pt>
                <c:pt idx="9">
                  <c:v>382</c:v>
                </c:pt>
                <c:pt idx="10">
                  <c:v>405</c:v>
                </c:pt>
                <c:pt idx="11">
                  <c:v>405</c:v>
                </c:pt>
                <c:pt idx="12">
                  <c:v>444</c:v>
                </c:pt>
                <c:pt idx="13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87-BF47-9E42-A9DBE731153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Новиков Анатолий Евгеньевич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Sheet1!$Q$11:$AD$11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127</c:v>
                </c:pt>
                <c:pt idx="5">
                  <c:v>127</c:v>
                </c:pt>
                <c:pt idx="6">
                  <c:v>198</c:v>
                </c:pt>
                <c:pt idx="7">
                  <c:v>198</c:v>
                </c:pt>
                <c:pt idx="8">
                  <c:v>280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  <c:pt idx="12">
                  <c:v>363</c:v>
                </c:pt>
                <c:pt idx="1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87-BF47-9E42-A9DBE731153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Харитонов Никита Витальевич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Sheet1!$Q$12:$AD$12</c:f>
              <c:numCache>
                <c:formatCode>0</c:formatCode>
                <c:ptCount val="14"/>
                <c:pt idx="0">
                  <c:v>0</c:v>
                </c:pt>
                <c:pt idx="1">
                  <c:v>40</c:v>
                </c:pt>
                <c:pt idx="2">
                  <c:v>96</c:v>
                </c:pt>
                <c:pt idx="3">
                  <c:v>157</c:v>
                </c:pt>
                <c:pt idx="4">
                  <c:v>213</c:v>
                </c:pt>
                <c:pt idx="5">
                  <c:v>284</c:v>
                </c:pt>
                <c:pt idx="6">
                  <c:v>348</c:v>
                </c:pt>
                <c:pt idx="7">
                  <c:v>421</c:v>
                </c:pt>
                <c:pt idx="8">
                  <c:v>421</c:v>
                </c:pt>
                <c:pt idx="9">
                  <c:v>421</c:v>
                </c:pt>
                <c:pt idx="10">
                  <c:v>421</c:v>
                </c:pt>
                <c:pt idx="11">
                  <c:v>421</c:v>
                </c:pt>
                <c:pt idx="12">
                  <c:v>421</c:v>
                </c:pt>
                <c:pt idx="13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87-BF47-9E42-A9DBE731153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Слободько Дмитрий Владимирович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Sheet1!$Q$13:$AD$13</c:f>
              <c:numCache>
                <c:formatCode>0</c:formatCode>
                <c:ptCount val="14"/>
                <c:pt idx="0">
                  <c:v>0</c:v>
                </c:pt>
                <c:pt idx="1">
                  <c:v>29</c:v>
                </c:pt>
                <c:pt idx="2">
                  <c:v>81</c:v>
                </c:pt>
                <c:pt idx="3">
                  <c:v>138</c:v>
                </c:pt>
                <c:pt idx="4">
                  <c:v>182</c:v>
                </c:pt>
                <c:pt idx="5">
                  <c:v>182</c:v>
                </c:pt>
                <c:pt idx="6">
                  <c:v>182</c:v>
                </c:pt>
                <c:pt idx="7">
                  <c:v>236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386</c:v>
                </c:pt>
                <c:pt idx="13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87-BF47-9E42-A9DBE731153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Ворожбит Станислав Михайлович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Sheet1!$Q$14:$AD$14</c:f>
            </c:numRef>
          </c:val>
          <c:smooth val="0"/>
          <c:extLst>
            <c:ext xmlns:c16="http://schemas.microsoft.com/office/drawing/2014/chart" uri="{C3380CC4-5D6E-409C-BE32-E72D297353CC}">
              <c16:uniqueId val="{0000000C-6A87-BF47-9E42-A9DBE731153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Шипуль Андрей Анатольевич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Sheet1!$Q$15:$AD$15</c:f>
            </c:numRef>
          </c:val>
          <c:smooth val="0"/>
          <c:extLst>
            <c:ext xmlns:c16="http://schemas.microsoft.com/office/drawing/2014/chart" uri="{C3380CC4-5D6E-409C-BE32-E72D297353CC}">
              <c16:uniqueId val="{0000000D-6A87-BF47-9E42-A9DBE7311535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Гацко Дмитрий Михайлович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Sheet1!$Q$16:$AD$16</c:f>
            </c:numRef>
          </c:val>
          <c:smooth val="0"/>
          <c:extLst>
            <c:ext xmlns:c16="http://schemas.microsoft.com/office/drawing/2014/chart" uri="{C3380CC4-5D6E-409C-BE32-E72D297353CC}">
              <c16:uniqueId val="{0000000E-6A87-BF47-9E42-A9DBE7311535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Тумаш Василий Станиславович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Sheet1!$Q$17:$AD$17</c:f>
            </c:numRef>
          </c:val>
          <c:smooth val="0"/>
          <c:extLst>
            <c:ext xmlns:c16="http://schemas.microsoft.com/office/drawing/2014/chart" uri="{C3380CC4-5D6E-409C-BE32-E72D297353CC}">
              <c16:uniqueId val="{0000000F-6A87-BF47-9E42-A9DBE7311535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Викентьев Алексей Эдуардович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Sheet1!$Q$18:$AD$18</c:f>
            </c:numRef>
          </c:val>
          <c:smooth val="0"/>
          <c:extLst>
            <c:ext xmlns:c16="http://schemas.microsoft.com/office/drawing/2014/chart" uri="{C3380CC4-5D6E-409C-BE32-E72D297353CC}">
              <c16:uniqueId val="{00000010-6A87-BF47-9E42-A9DBE7311535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Дармель Александр Николаевич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Sheet1!$Q$19:$AD$19</c:f>
            </c:numRef>
          </c:val>
          <c:smooth val="0"/>
          <c:extLst>
            <c:ext xmlns:c16="http://schemas.microsoft.com/office/drawing/2014/chart" uri="{C3380CC4-5D6E-409C-BE32-E72D297353CC}">
              <c16:uniqueId val="{00000011-6A87-BF47-9E42-A9DBE7311535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Ковалев Ярослав Александрович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Sheet1!$Q$20:$AD$20</c:f>
            </c:numRef>
          </c:val>
          <c:smooth val="0"/>
          <c:extLst>
            <c:ext xmlns:c16="http://schemas.microsoft.com/office/drawing/2014/chart" uri="{C3380CC4-5D6E-409C-BE32-E72D297353CC}">
              <c16:uniqueId val="{00000012-6A87-BF47-9E42-A9DBE7311535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Дашкевич Павел Юрьевич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Sheet1!$Q$21:$AD$21</c:f>
            </c:numRef>
          </c:val>
          <c:smooth val="0"/>
          <c:extLst>
            <c:ext xmlns:c16="http://schemas.microsoft.com/office/drawing/2014/chart" uri="{C3380CC4-5D6E-409C-BE32-E72D297353CC}">
              <c16:uniqueId val="{00000013-6A87-BF47-9E42-A9DBE7311535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Харитонов Виталий Сергеевич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Sheet1!$Q$22:$AD$22</c:f>
            </c:numRef>
          </c:val>
          <c:smooth val="0"/>
          <c:extLst>
            <c:ext xmlns:c16="http://schemas.microsoft.com/office/drawing/2014/chart" uri="{C3380CC4-5D6E-409C-BE32-E72D297353CC}">
              <c16:uniqueId val="{00000014-6A87-BF47-9E42-A9DBE7311535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Жиделев Александр Владимирович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Sheet1!$Q$23:$AD$23</c:f>
            </c:numRef>
          </c:val>
          <c:smooth val="0"/>
          <c:extLst>
            <c:ext xmlns:c16="http://schemas.microsoft.com/office/drawing/2014/chart" uri="{C3380CC4-5D6E-409C-BE32-E72D297353CC}">
              <c16:uniqueId val="{00000015-6A87-BF47-9E42-A9DBE7311535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Ларионов Андрей Алексеевич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Sheet1!$Q$24:$AD$24</c:f>
            </c:numRef>
          </c:val>
          <c:smooth val="0"/>
          <c:extLst>
            <c:ext xmlns:c16="http://schemas.microsoft.com/office/drawing/2014/chart" uri="{C3380CC4-5D6E-409C-BE32-E72D297353CC}">
              <c16:uniqueId val="{00000016-6A87-BF47-9E42-A9DBE7311535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Шеметов Михаил Дмитриевич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Sheet1!$Q$25:$AD$25</c:f>
            </c:numRef>
          </c:val>
          <c:smooth val="0"/>
          <c:extLst>
            <c:ext xmlns:c16="http://schemas.microsoft.com/office/drawing/2014/chart" uri="{C3380CC4-5D6E-409C-BE32-E72D297353CC}">
              <c16:uniqueId val="{00000017-6A87-BF47-9E42-A9DBE7311535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Раёв Сергей Александрович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Sheet1!$Q$26:$AD$26</c:f>
            </c:numRef>
          </c:val>
          <c:smooth val="0"/>
          <c:extLst>
            <c:ext xmlns:c16="http://schemas.microsoft.com/office/drawing/2014/chart" uri="{C3380CC4-5D6E-409C-BE32-E72D297353CC}">
              <c16:uniqueId val="{00000018-6A87-BF47-9E42-A9DBE7311535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Головаченко Денис Леонидович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Sheet1!$Q$27:$AD$27</c:f>
            </c:numRef>
          </c:val>
          <c:smooth val="0"/>
          <c:extLst>
            <c:ext xmlns:c16="http://schemas.microsoft.com/office/drawing/2014/chart" uri="{C3380CC4-5D6E-409C-BE32-E72D297353CC}">
              <c16:uniqueId val="{00000019-6A87-BF47-9E42-A9DBE7311535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Картун Андрей Михайлович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Sheet1!$Q$28:$AD$28</c:f>
            </c:numRef>
          </c:val>
          <c:smooth val="0"/>
          <c:extLst>
            <c:ext xmlns:c16="http://schemas.microsoft.com/office/drawing/2014/chart" uri="{C3380CC4-5D6E-409C-BE32-E72D297353CC}">
              <c16:uniqueId val="{0000001A-6A87-BF47-9E42-A9DBE7311535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Алексейчиков Иван Владимирович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Sheet1!$Q$29:$AD$29</c:f>
            </c:numRef>
          </c:val>
          <c:smooth val="0"/>
          <c:extLst>
            <c:ext xmlns:c16="http://schemas.microsoft.com/office/drawing/2014/chart" uri="{C3380CC4-5D6E-409C-BE32-E72D297353CC}">
              <c16:uniqueId val="{0000001B-6A87-BF47-9E42-A9DBE7311535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Яроцкий Евгений Владимирович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Sheet1!$Q$30:$AD$30</c:f>
            </c:numRef>
          </c:val>
          <c:smooth val="0"/>
          <c:extLst>
            <c:ext xmlns:c16="http://schemas.microsoft.com/office/drawing/2014/chart" uri="{C3380CC4-5D6E-409C-BE32-E72D297353CC}">
              <c16:uniqueId val="{0000001C-6A87-BF47-9E42-A9DBE7311535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Добудько Иван Сергеевич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Sheet1!$Q$31:$AD$31</c:f>
            </c:numRef>
          </c:val>
          <c:smooth val="0"/>
          <c:extLst>
            <c:ext xmlns:c16="http://schemas.microsoft.com/office/drawing/2014/chart" uri="{C3380CC4-5D6E-409C-BE32-E72D297353CC}">
              <c16:uniqueId val="{0000001D-6A87-BF47-9E42-A9DBE7311535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Дубковский Александр Сергеевич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Sheet1!$Q$32:$AD$32</c:f>
            </c:numRef>
          </c:val>
          <c:smooth val="0"/>
          <c:extLst>
            <c:ext xmlns:c16="http://schemas.microsoft.com/office/drawing/2014/chart" uri="{C3380CC4-5D6E-409C-BE32-E72D297353CC}">
              <c16:uniqueId val="{0000001E-6A87-BF47-9E42-A9DBE7311535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Вашкевич Антон Михайлович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Sheet1!$Q$33:$AD$33</c:f>
            </c:numRef>
          </c:val>
          <c:smooth val="0"/>
          <c:extLst>
            <c:ext xmlns:c16="http://schemas.microsoft.com/office/drawing/2014/chart" uri="{C3380CC4-5D6E-409C-BE32-E72D297353CC}">
              <c16:uniqueId val="{0000001F-6A87-BF47-9E42-A9DBE7311535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Вашкевич Виктор Владимирович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Sheet1!$Q$34:$AD$34</c:f>
            </c:numRef>
          </c:val>
          <c:smooth val="0"/>
          <c:extLst>
            <c:ext xmlns:c16="http://schemas.microsoft.com/office/drawing/2014/chart" uri="{C3380CC4-5D6E-409C-BE32-E72D297353CC}">
              <c16:uniqueId val="{00000020-6A87-BF47-9E42-A9DBE7311535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Шараев Юрий Владимирович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Sheet1!$Q$35:$AD$35</c:f>
            </c:numRef>
          </c:val>
          <c:smooth val="0"/>
          <c:extLst>
            <c:ext xmlns:c16="http://schemas.microsoft.com/office/drawing/2014/chart" uri="{C3380CC4-5D6E-409C-BE32-E72D297353CC}">
              <c16:uniqueId val="{00000021-6A87-BF47-9E42-A9DBE7311535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Шпакович Максим Валерьевич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Sheet1!$Q$36:$AD$36</c:f>
            </c:numRef>
          </c:val>
          <c:smooth val="0"/>
          <c:extLst>
            <c:ext xmlns:c16="http://schemas.microsoft.com/office/drawing/2014/chart" uri="{C3380CC4-5D6E-409C-BE32-E72D297353CC}">
              <c16:uniqueId val="{00000022-6A87-BF47-9E42-A9DBE7311535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Кологрив Артемий Александрович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Sheet1!$Q$37:$AD$37</c:f>
            </c:numRef>
          </c:val>
          <c:smooth val="0"/>
          <c:extLst>
            <c:ext xmlns:c16="http://schemas.microsoft.com/office/drawing/2014/chart" uri="{C3380CC4-5D6E-409C-BE32-E72D297353CC}">
              <c16:uniqueId val="{00000023-6A87-BF47-9E42-A9DBE7311535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Шпиленя Алексей Сергеевич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Sheet1!$Q$38:$AD$38</c:f>
            </c:numRef>
          </c:val>
          <c:smooth val="0"/>
          <c:extLst>
            <c:ext xmlns:c16="http://schemas.microsoft.com/office/drawing/2014/chart" uri="{C3380CC4-5D6E-409C-BE32-E72D297353CC}">
              <c16:uniqueId val="{00000024-6A87-BF47-9E42-A9DBE7311535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Бузо Александр Владимирович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Sheet1!$Q$39:$AD$39</c:f>
            </c:numRef>
          </c:val>
          <c:smooth val="0"/>
          <c:extLst>
            <c:ext xmlns:c16="http://schemas.microsoft.com/office/drawing/2014/chart" uri="{C3380CC4-5D6E-409C-BE32-E72D297353CC}">
              <c16:uniqueId val="{00000025-6A87-BF47-9E42-A9DBE7311535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Иткин Савелий Антонович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Sheet1!$Q$40:$AD$40</c:f>
            </c:numRef>
          </c:val>
          <c:smooth val="0"/>
          <c:extLst>
            <c:ext xmlns:c16="http://schemas.microsoft.com/office/drawing/2014/chart" uri="{C3380CC4-5D6E-409C-BE32-E72D297353CC}">
              <c16:uniqueId val="{00000026-6A87-BF47-9E42-A9DBE7311535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Кожан Валерий Тимофеевич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Sheet1!$Q$41:$AD$41</c:f>
            </c:numRef>
          </c:val>
          <c:smooth val="0"/>
          <c:extLst>
            <c:ext xmlns:c16="http://schemas.microsoft.com/office/drawing/2014/chart" uri="{C3380CC4-5D6E-409C-BE32-E72D297353CC}">
              <c16:uniqueId val="{00000027-6A87-BF47-9E42-A9DBE7311535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Чечура Андрей Иванович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Sheet1!$Q$42:$AD$42</c:f>
            </c:numRef>
          </c:val>
          <c:smooth val="0"/>
          <c:extLst>
            <c:ext xmlns:c16="http://schemas.microsoft.com/office/drawing/2014/chart" uri="{C3380CC4-5D6E-409C-BE32-E72D297353CC}">
              <c16:uniqueId val="{00000028-6A87-BF47-9E42-A9DBE7311535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Третьяк Виктор Александрович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Sheet1!$Q$43:$AD$43</c:f>
            </c:numRef>
          </c:val>
          <c:smooth val="0"/>
          <c:extLst>
            <c:ext xmlns:c16="http://schemas.microsoft.com/office/drawing/2014/chart" uri="{C3380CC4-5D6E-409C-BE32-E72D297353CC}">
              <c16:uniqueId val="{00000029-6A87-BF47-9E42-A9DBE7311535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Пальчех Василий Викторович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Sheet1!$Q$44:$AD$44</c:f>
            </c:numRef>
          </c:val>
          <c:smooth val="0"/>
          <c:extLst>
            <c:ext xmlns:c16="http://schemas.microsoft.com/office/drawing/2014/chart" uri="{C3380CC4-5D6E-409C-BE32-E72D297353CC}">
              <c16:uniqueId val="{0000002A-6A87-BF47-9E42-A9DBE7311535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Куприянов Никита Сергеевич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Sheet1!$Q$45:$AD$45</c:f>
            </c:numRef>
          </c:val>
          <c:smooth val="0"/>
          <c:extLst>
            <c:ext xmlns:c16="http://schemas.microsoft.com/office/drawing/2014/chart" uri="{C3380CC4-5D6E-409C-BE32-E72D297353CC}">
              <c16:uniqueId val="{0000002B-6A87-BF47-9E42-A9DBE7311535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Греков Андрей Юрьевич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Sheet1!$Q$46:$AD$46</c:f>
            </c:numRef>
          </c:val>
          <c:smooth val="0"/>
          <c:extLst>
            <c:ext xmlns:c16="http://schemas.microsoft.com/office/drawing/2014/chart" uri="{C3380CC4-5D6E-409C-BE32-E72D297353CC}">
              <c16:uniqueId val="{0000002C-6A87-BF47-9E42-A9DBE7311535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Щербенок Игорь Александрович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Sheet1!$Q$47:$AD$47</c:f>
            </c:numRef>
          </c:val>
          <c:smooth val="0"/>
          <c:extLst>
            <c:ext xmlns:c16="http://schemas.microsoft.com/office/drawing/2014/chart" uri="{C3380CC4-5D6E-409C-BE32-E72D297353CC}">
              <c16:uniqueId val="{0000002D-6A87-BF47-9E42-A9DBE7311535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Державец Александр Марьянович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Sheet1!$Q$48:$AD$48</c:f>
            </c:numRef>
          </c:val>
          <c:smooth val="0"/>
          <c:extLst>
            <c:ext xmlns:c16="http://schemas.microsoft.com/office/drawing/2014/chart" uri="{C3380CC4-5D6E-409C-BE32-E72D297353CC}">
              <c16:uniqueId val="{0000002E-6A87-BF47-9E42-A9DBE7311535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Лесюков Александр Игоревич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Sheet1!$Q$49:$AD$49</c:f>
            </c:numRef>
          </c:val>
          <c:smooth val="0"/>
          <c:extLst>
            <c:ext xmlns:c16="http://schemas.microsoft.com/office/drawing/2014/chart" uri="{C3380CC4-5D6E-409C-BE32-E72D297353CC}">
              <c16:uniqueId val="{0000002F-6A87-BF47-9E42-A9DBE7311535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Астапкович Алексей Николаевич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Sheet1!$Q$50:$AD$50</c:f>
            </c:numRef>
          </c:val>
          <c:smooth val="0"/>
          <c:extLst>
            <c:ext xmlns:c16="http://schemas.microsoft.com/office/drawing/2014/chart" uri="{C3380CC4-5D6E-409C-BE32-E72D297353CC}">
              <c16:uniqueId val="{00000030-6A87-BF47-9E42-A9DBE7311535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Матюш Александр Сергеевич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Sheet1!$Q$51:$AD$51</c:f>
            </c:numRef>
          </c:val>
          <c:smooth val="0"/>
          <c:extLst>
            <c:ext xmlns:c16="http://schemas.microsoft.com/office/drawing/2014/chart" uri="{C3380CC4-5D6E-409C-BE32-E72D297353CC}">
              <c16:uniqueId val="{00000031-6A87-BF47-9E42-A9DBE7311535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Виноградов Дмитрий Викторович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Sheet1!$Q$52:$AD$52</c:f>
            </c:numRef>
          </c:val>
          <c:smooth val="0"/>
          <c:extLst>
            <c:ext xmlns:c16="http://schemas.microsoft.com/office/drawing/2014/chart" uri="{C3380CC4-5D6E-409C-BE32-E72D297353CC}">
              <c16:uniqueId val="{00000032-6A87-BF47-9E42-A9DBE7311535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Грицкевич Илья Олегович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Sheet1!$Q$53:$AD$53</c:f>
            </c:numRef>
          </c:val>
          <c:smooth val="0"/>
          <c:extLst>
            <c:ext xmlns:c16="http://schemas.microsoft.com/office/drawing/2014/chart" uri="{C3380CC4-5D6E-409C-BE32-E72D297353CC}">
              <c16:uniqueId val="{00000033-6A87-BF47-9E42-A9DBE7311535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Автушко Михаил Владимирович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Sheet1!$Q$54:$AD$54</c:f>
            </c:numRef>
          </c:val>
          <c:smooth val="0"/>
          <c:extLst>
            <c:ext xmlns:c16="http://schemas.microsoft.com/office/drawing/2014/chart" uri="{C3380CC4-5D6E-409C-BE32-E72D297353CC}">
              <c16:uniqueId val="{00000034-6A87-BF47-9E42-A9DBE7311535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Нестерович Николай Александрович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Sheet1!$Q$55:$AD$55</c:f>
            </c:numRef>
          </c:val>
          <c:smooth val="0"/>
          <c:extLst>
            <c:ext xmlns:c16="http://schemas.microsoft.com/office/drawing/2014/chart" uri="{C3380CC4-5D6E-409C-BE32-E72D297353CC}">
              <c16:uniqueId val="{00000035-6A87-BF47-9E42-A9DBE7311535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Качаев Олег Владимирович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Sheet1!$Q$56:$AD$56</c:f>
            </c:numRef>
          </c:val>
          <c:smooth val="0"/>
          <c:extLst>
            <c:ext xmlns:c16="http://schemas.microsoft.com/office/drawing/2014/chart" uri="{C3380CC4-5D6E-409C-BE32-E72D297353CC}">
              <c16:uniqueId val="{00000036-6A87-BF47-9E42-A9DBE7311535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Мунтян Сергей Сергеевич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Sheet1!$Q$57:$AD$57</c:f>
            </c:numRef>
          </c:val>
          <c:smooth val="0"/>
          <c:extLst>
            <c:ext xmlns:c16="http://schemas.microsoft.com/office/drawing/2014/chart" uri="{C3380CC4-5D6E-409C-BE32-E72D297353CC}">
              <c16:uniqueId val="{00000037-6A87-BF47-9E42-A9DBE7311535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Журавлёв Григорий Викторович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Sheet1!$Q$58:$AD$58</c:f>
            </c:numRef>
          </c:val>
          <c:smooth val="0"/>
          <c:extLst>
            <c:ext xmlns:c16="http://schemas.microsoft.com/office/drawing/2014/chart" uri="{C3380CC4-5D6E-409C-BE32-E72D297353CC}">
              <c16:uniqueId val="{00000038-6A87-BF47-9E42-A9DBE7311535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Голуб Игорь Александрович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Sheet1!$Q$59:$AD$59</c:f>
            </c:numRef>
          </c:val>
          <c:smooth val="0"/>
          <c:extLst>
            <c:ext xmlns:c16="http://schemas.microsoft.com/office/drawing/2014/chart" uri="{C3380CC4-5D6E-409C-BE32-E72D297353CC}">
              <c16:uniqueId val="{00000039-6A87-BF47-9E42-A9DBE7311535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Иванов Олег Григорьевич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Sheet1!$Q$60:$AD$60</c:f>
            </c:numRef>
          </c:val>
          <c:smooth val="0"/>
          <c:extLst>
            <c:ext xmlns:c16="http://schemas.microsoft.com/office/drawing/2014/chart" uri="{C3380CC4-5D6E-409C-BE32-E72D297353CC}">
              <c16:uniqueId val="{0000003A-6A87-BF47-9E42-A9DBE7311535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Литвиненко Дмитрий Сергеевич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Sheet1!$Q$61:$AD$61</c:f>
            </c:numRef>
          </c:val>
          <c:smooth val="0"/>
          <c:extLst>
            <c:ext xmlns:c16="http://schemas.microsoft.com/office/drawing/2014/chart" uri="{C3380CC4-5D6E-409C-BE32-E72D297353CC}">
              <c16:uniqueId val="{0000003B-6A87-BF47-9E42-A9DBE7311535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Шмерко Андрей Александрович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Sheet1!$Q$62:$AD$62</c:f>
            </c:numRef>
          </c:val>
          <c:smooth val="0"/>
          <c:extLst>
            <c:ext xmlns:c16="http://schemas.microsoft.com/office/drawing/2014/chart" uri="{C3380CC4-5D6E-409C-BE32-E72D297353CC}">
              <c16:uniqueId val="{0000003C-6A87-BF47-9E42-A9DBE7311535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Юрченко Александр Михайлович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Sheet1!$Q$63:$AD$63</c:f>
            </c:numRef>
          </c:val>
          <c:smooth val="0"/>
          <c:extLst>
            <c:ext xmlns:c16="http://schemas.microsoft.com/office/drawing/2014/chart" uri="{C3380CC4-5D6E-409C-BE32-E72D297353CC}">
              <c16:uniqueId val="{0000003D-6A87-BF47-9E42-A9DBE7311535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Чавлытко Александр Даниилович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Sheet1!$Q$64:$AD$64</c:f>
            </c:numRef>
          </c:val>
          <c:smooth val="0"/>
          <c:extLst>
            <c:ext xmlns:c16="http://schemas.microsoft.com/office/drawing/2014/chart" uri="{C3380CC4-5D6E-409C-BE32-E72D297353CC}">
              <c16:uniqueId val="{0000003E-6A87-BF47-9E42-A9DBE7311535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Тумащик Александр Анатольевич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Sheet1!$Q$65:$AD$65</c:f>
            </c:numRef>
          </c:val>
          <c:smooth val="0"/>
          <c:extLst>
            <c:ext xmlns:c16="http://schemas.microsoft.com/office/drawing/2014/chart" uri="{C3380CC4-5D6E-409C-BE32-E72D297353CC}">
              <c16:uniqueId val="{0000003F-6A87-BF47-9E42-A9DBE7311535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Здор Павел Николаевич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Sheet1!$Q$66:$AD$66</c:f>
            </c:numRef>
          </c:val>
          <c:smooth val="0"/>
          <c:extLst>
            <c:ext xmlns:c16="http://schemas.microsoft.com/office/drawing/2014/chart" uri="{C3380CC4-5D6E-409C-BE32-E72D297353CC}">
              <c16:uniqueId val="{00000040-6A87-BF47-9E42-A9DBE7311535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Арзамасов Илья Валерьевич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Sheet1!$Q$67:$AD$67</c:f>
            </c:numRef>
          </c:val>
          <c:smooth val="0"/>
          <c:extLst>
            <c:ext xmlns:c16="http://schemas.microsoft.com/office/drawing/2014/chart" uri="{C3380CC4-5D6E-409C-BE32-E72D297353CC}">
              <c16:uniqueId val="{00000041-6A87-BF47-9E42-A9DBE7311535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Наранович Евгений Владимирович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Sheet1!$Q$68:$AD$68</c:f>
            </c:numRef>
          </c:val>
          <c:smooth val="0"/>
          <c:extLst>
            <c:ext xmlns:c16="http://schemas.microsoft.com/office/drawing/2014/chart" uri="{C3380CC4-5D6E-409C-BE32-E72D297353CC}">
              <c16:uniqueId val="{00000042-6A87-BF47-9E42-A9DBE7311535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Вашкевич Владимир Владимирович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Sheet1!$Q$69:$AD$69</c:f>
            </c:numRef>
          </c:val>
          <c:smooth val="0"/>
          <c:extLst>
            <c:ext xmlns:c16="http://schemas.microsoft.com/office/drawing/2014/chart" uri="{C3380CC4-5D6E-409C-BE32-E72D297353CC}">
              <c16:uniqueId val="{00000043-6A87-BF47-9E42-A9DBE7311535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Бузук Илья Владимирович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Sheet1!$Q$70:$AD$70</c:f>
            </c:numRef>
          </c:val>
          <c:smooth val="0"/>
          <c:extLst>
            <c:ext xmlns:c16="http://schemas.microsoft.com/office/drawing/2014/chart" uri="{C3380CC4-5D6E-409C-BE32-E72D297353CC}">
              <c16:uniqueId val="{00000044-6A87-BF47-9E42-A9DBE7311535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Ерофеев Александр Александрович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Sheet1!$Q$71:$AD$71</c:f>
            </c:numRef>
          </c:val>
          <c:smooth val="0"/>
          <c:extLst>
            <c:ext xmlns:c16="http://schemas.microsoft.com/office/drawing/2014/chart" uri="{C3380CC4-5D6E-409C-BE32-E72D297353CC}">
              <c16:uniqueId val="{00000045-6A87-BF47-9E42-A9DBE7311535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Войтик Михаил Михайлович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Sheet1!$Q$72:$AD$72</c:f>
            </c:numRef>
          </c:val>
          <c:smooth val="0"/>
          <c:extLst>
            <c:ext xmlns:c16="http://schemas.microsoft.com/office/drawing/2014/chart" uri="{C3380CC4-5D6E-409C-BE32-E72D297353CC}">
              <c16:uniqueId val="{00000046-6A87-BF47-9E42-A9DBE7311535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Автушко Сергей Владимирович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Sheet1!$Q$73:$AD$73</c:f>
            </c:numRef>
          </c:val>
          <c:smooth val="0"/>
          <c:extLst>
            <c:ext xmlns:c16="http://schemas.microsoft.com/office/drawing/2014/chart" uri="{C3380CC4-5D6E-409C-BE32-E72D297353CC}">
              <c16:uniqueId val="{00000047-6A87-BF47-9E42-A9DBE7311535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Козел Андрей Васильевич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Sheet1!$Q$74:$AD$74</c:f>
            </c:numRef>
          </c:val>
          <c:smooth val="0"/>
          <c:extLst>
            <c:ext xmlns:c16="http://schemas.microsoft.com/office/drawing/2014/chart" uri="{C3380CC4-5D6E-409C-BE32-E72D297353CC}">
              <c16:uniqueId val="{00000048-6A87-BF47-9E42-A9DBE7311535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Кицук Дмитрий Александрович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Sheet1!$Q$75:$AD$75</c:f>
            </c:numRef>
          </c:val>
          <c:smooth val="0"/>
          <c:extLst>
            <c:ext xmlns:c16="http://schemas.microsoft.com/office/drawing/2014/chart" uri="{C3380CC4-5D6E-409C-BE32-E72D297353CC}">
              <c16:uniqueId val="{00000049-6A87-BF47-9E42-A9DBE7311535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Ахметгалимов Артур Фаритович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Sheet1!$Q$76:$AD$76</c:f>
            </c:numRef>
          </c:val>
          <c:smooth val="0"/>
          <c:extLst>
            <c:ext xmlns:c16="http://schemas.microsoft.com/office/drawing/2014/chart" uri="{C3380CC4-5D6E-409C-BE32-E72D297353CC}">
              <c16:uniqueId val="{0000004A-6A87-BF47-9E42-A9DBE7311535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Мороз Чеслав Францевич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Sheet1!$Q$77:$AD$77</c:f>
            </c:numRef>
          </c:val>
          <c:smooth val="0"/>
          <c:extLst>
            <c:ext xmlns:c16="http://schemas.microsoft.com/office/drawing/2014/chart" uri="{C3380CC4-5D6E-409C-BE32-E72D297353CC}">
              <c16:uniqueId val="{0000004B-6A87-BF47-9E42-A9DBE7311535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Комлюк Анатолий Иванович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Sheet1!$Q$78:$AD$78</c:f>
            </c:numRef>
          </c:val>
          <c:smooth val="0"/>
          <c:extLst>
            <c:ext xmlns:c16="http://schemas.microsoft.com/office/drawing/2014/chart" uri="{C3380CC4-5D6E-409C-BE32-E72D297353CC}">
              <c16:uniqueId val="{0000004C-6A87-BF47-9E42-A9DBE7311535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Свиридов Игорь Алексеевич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Sheet1!$Q$79:$AD$79</c:f>
            </c:numRef>
          </c:val>
          <c:smooth val="0"/>
          <c:extLst>
            <c:ext xmlns:c16="http://schemas.microsoft.com/office/drawing/2014/chart" uri="{C3380CC4-5D6E-409C-BE32-E72D297353CC}">
              <c16:uniqueId val="{0000004D-6A87-BF47-9E42-A9DBE7311535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Манюхин Андрей Владимирович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Sheet1!$Q$80:$AD$80</c:f>
            </c:numRef>
          </c:val>
          <c:smooth val="0"/>
          <c:extLst>
            <c:ext xmlns:c16="http://schemas.microsoft.com/office/drawing/2014/chart" uri="{C3380CC4-5D6E-409C-BE32-E72D297353CC}">
              <c16:uniqueId val="{0000004E-6A87-BF47-9E42-A9DBE7311535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Афанасьев Владислав Владимирович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Sheet1!$Q$81:$AD$81</c:f>
            </c:numRef>
          </c:val>
          <c:smooth val="0"/>
          <c:extLst>
            <c:ext xmlns:c16="http://schemas.microsoft.com/office/drawing/2014/chart" uri="{C3380CC4-5D6E-409C-BE32-E72D297353CC}">
              <c16:uniqueId val="{0000004F-6A87-BF47-9E42-A9DBE7311535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Рыженков Юрий Алексеевич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Sheet1!$Q$82:$AD$82</c:f>
            </c:numRef>
          </c:val>
          <c:smooth val="0"/>
          <c:extLst>
            <c:ext xmlns:c16="http://schemas.microsoft.com/office/drawing/2014/chart" uri="{C3380CC4-5D6E-409C-BE32-E72D297353CC}">
              <c16:uniqueId val="{00000050-6A87-BF47-9E42-A9DBE7311535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Недосейкин Андрей Александрович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Sheet1!$Q$83:$AD$83</c:f>
            </c:numRef>
          </c:val>
          <c:smooth val="0"/>
          <c:extLst>
            <c:ext xmlns:c16="http://schemas.microsoft.com/office/drawing/2014/chart" uri="{C3380CC4-5D6E-409C-BE32-E72D297353CC}">
              <c16:uniqueId val="{00000051-6A87-BF47-9E42-A9DBE7311535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Шелест Юрий Владимирович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Sheet1!$Q$84:$AD$84</c:f>
            </c:numRef>
          </c:val>
          <c:smooth val="0"/>
          <c:extLst>
            <c:ext xmlns:c16="http://schemas.microsoft.com/office/drawing/2014/chart" uri="{C3380CC4-5D6E-409C-BE32-E72D297353CC}">
              <c16:uniqueId val="{00000052-6A87-BF47-9E42-A9DBE7311535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Будай Михаил Анатольевич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Sheet1!$Q$85:$AD$85</c:f>
            </c:numRef>
          </c:val>
          <c:smooth val="0"/>
          <c:extLst>
            <c:ext xmlns:c16="http://schemas.microsoft.com/office/drawing/2014/chart" uri="{C3380CC4-5D6E-409C-BE32-E72D297353CC}">
              <c16:uniqueId val="{00000053-6A87-BF47-9E42-A9DBE7311535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Плодунов Захар Сергеевич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Sheet1!$Q$86:$AD$86</c:f>
            </c:numRef>
          </c:val>
          <c:smooth val="0"/>
          <c:extLst>
            <c:ext xmlns:c16="http://schemas.microsoft.com/office/drawing/2014/chart" uri="{C3380CC4-5D6E-409C-BE32-E72D297353CC}">
              <c16:uniqueId val="{00000054-6A87-BF47-9E42-A9DBE7311535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Купреев Алексей Николаевич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Sheet1!$Q$87:$AD$87</c:f>
            </c:numRef>
          </c:val>
          <c:smooth val="0"/>
          <c:extLst>
            <c:ext xmlns:c16="http://schemas.microsoft.com/office/drawing/2014/chart" uri="{C3380CC4-5D6E-409C-BE32-E72D297353CC}">
              <c16:uniqueId val="{00000055-6A87-BF47-9E42-A9DBE7311535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Бондарь Иван Иванович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Sheet1!$Q$88:$AD$88</c:f>
            </c:numRef>
          </c:val>
          <c:smooth val="0"/>
          <c:extLst>
            <c:ext xmlns:c16="http://schemas.microsoft.com/office/drawing/2014/chart" uri="{C3380CC4-5D6E-409C-BE32-E72D297353CC}">
              <c16:uniqueId val="{00000056-6A87-BF47-9E42-A9DBE7311535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Рыжков Руслан Дмитриевич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Sheet1!$Q$89:$AD$89</c:f>
            </c:numRef>
          </c:val>
          <c:smooth val="0"/>
          <c:extLst>
            <c:ext xmlns:c16="http://schemas.microsoft.com/office/drawing/2014/chart" uri="{C3380CC4-5D6E-409C-BE32-E72D297353CC}">
              <c16:uniqueId val="{00000057-6A87-BF47-9E42-A9DBE7311535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Кныш Сергей Николаевич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Sheet1!$Q$90:$AD$90</c:f>
            </c:numRef>
          </c:val>
          <c:smooth val="0"/>
          <c:extLst>
            <c:ext xmlns:c16="http://schemas.microsoft.com/office/drawing/2014/chart" uri="{C3380CC4-5D6E-409C-BE32-E72D297353CC}">
              <c16:uniqueId val="{00000058-6A87-BF47-9E42-A9DBE7311535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Юрченко Юрий Владимирович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Sheet1!$Q$91:$AD$91</c:f>
            </c:numRef>
          </c:val>
          <c:smooth val="0"/>
          <c:extLst>
            <c:ext xmlns:c16="http://schemas.microsoft.com/office/drawing/2014/chart" uri="{C3380CC4-5D6E-409C-BE32-E72D297353CC}">
              <c16:uniqueId val="{00000059-6A87-BF47-9E42-A9DBE7311535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Полегенький Владимир Владимирович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Sheet1!$Q$92:$AD$92</c:f>
            </c:numRef>
          </c:val>
          <c:smooth val="0"/>
          <c:extLst>
            <c:ext xmlns:c16="http://schemas.microsoft.com/office/drawing/2014/chart" uri="{C3380CC4-5D6E-409C-BE32-E72D297353CC}">
              <c16:uniqueId val="{0000005A-6A87-BF47-9E42-A9DBE7311535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Сухан Валерий Владимирович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Sheet1!$Q$93:$AD$93</c:f>
            </c:numRef>
          </c:val>
          <c:smooth val="0"/>
          <c:extLst>
            <c:ext xmlns:c16="http://schemas.microsoft.com/office/drawing/2014/chart" uri="{C3380CC4-5D6E-409C-BE32-E72D297353CC}">
              <c16:uniqueId val="{0000005B-6A87-BF47-9E42-A9DBE7311535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Домбровский Максим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Sheet1!$Q$94:$AD$94</c:f>
            </c:numRef>
          </c:val>
          <c:smooth val="0"/>
          <c:extLst>
            <c:ext xmlns:c16="http://schemas.microsoft.com/office/drawing/2014/chart" uri="{C3380CC4-5D6E-409C-BE32-E72D297353CC}">
              <c16:uniqueId val="{0000005C-6A87-BF47-9E42-A9DBE7311535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Автушко Денис Владимирович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Sheet1!$Q$95:$AD$95</c:f>
            </c:numRef>
          </c:val>
          <c:smooth val="0"/>
          <c:extLst>
            <c:ext xmlns:c16="http://schemas.microsoft.com/office/drawing/2014/chart" uri="{C3380CC4-5D6E-409C-BE32-E72D297353CC}">
              <c16:uniqueId val="{0000005D-6A87-BF47-9E42-A9DBE7311535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Синюк Иван Петрович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Sheet1!$Q$96:$AD$96</c:f>
            </c:numRef>
          </c:val>
          <c:smooth val="0"/>
          <c:extLst>
            <c:ext xmlns:c16="http://schemas.microsoft.com/office/drawing/2014/chart" uri="{C3380CC4-5D6E-409C-BE32-E72D297353CC}">
              <c16:uniqueId val="{0000005E-6A87-BF47-9E42-A9DBE7311535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Юрков Александр Сергеевич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Sheet1!$Q$97:$AD$97</c:f>
            </c:numRef>
          </c:val>
          <c:smooth val="0"/>
          <c:extLst>
            <c:ext xmlns:c16="http://schemas.microsoft.com/office/drawing/2014/chart" uri="{C3380CC4-5D6E-409C-BE32-E72D297353CC}">
              <c16:uniqueId val="{0000005F-6A87-BF47-9E42-A9DBE7311535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Толкачев Дмитрий Леонидович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Sheet1!$Q$98:$AD$98</c:f>
            </c:numRef>
          </c:val>
          <c:smooth val="0"/>
          <c:extLst>
            <c:ext xmlns:c16="http://schemas.microsoft.com/office/drawing/2014/chart" uri="{C3380CC4-5D6E-409C-BE32-E72D297353CC}">
              <c16:uniqueId val="{00000060-6A87-BF47-9E42-A9DBE7311535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Мармыль Ольга Васильевна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Sheet1!$Q$99:$AD$99</c:f>
            </c:numRef>
          </c:val>
          <c:smooth val="0"/>
          <c:extLst>
            <c:ext xmlns:c16="http://schemas.microsoft.com/office/drawing/2014/chart" uri="{C3380CC4-5D6E-409C-BE32-E72D297353CC}">
              <c16:uniqueId val="{00000061-6A87-BF47-9E42-A9DBE7311535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Черемисинова Анна Александровна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Sheet1!$Q$100:$AD$100</c:f>
            </c:numRef>
          </c:val>
          <c:smooth val="0"/>
          <c:extLst>
            <c:ext xmlns:c16="http://schemas.microsoft.com/office/drawing/2014/chart" uri="{C3380CC4-5D6E-409C-BE32-E72D297353CC}">
              <c16:uniqueId val="{00000062-6A87-BF47-9E42-A9DBE7311535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Попова Светлана Владимировна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Sheet1!$Q$101:$AD$101</c:f>
            </c:numRef>
          </c:val>
          <c:smooth val="0"/>
          <c:extLst>
            <c:ext xmlns:c16="http://schemas.microsoft.com/office/drawing/2014/chart" uri="{C3380CC4-5D6E-409C-BE32-E72D297353CC}">
              <c16:uniqueId val="{00000063-6A87-BF47-9E42-A9DBE7311535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Куделко Екатерина Анатольевна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Sheet1!$Q$102:$AD$102</c:f>
            </c:numRef>
          </c:val>
          <c:smooth val="0"/>
          <c:extLst>
            <c:ext xmlns:c16="http://schemas.microsoft.com/office/drawing/2014/chart" uri="{C3380CC4-5D6E-409C-BE32-E72D297353CC}">
              <c16:uniqueId val="{00000064-6A87-BF47-9E42-A9DBE7311535}"/>
            </c:ext>
          </c:extLst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Шеремет Евгения Николаевна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Sheet1!$Q$103:$AD$103</c:f>
            </c:numRef>
          </c:val>
          <c:smooth val="0"/>
          <c:extLst>
            <c:ext xmlns:c16="http://schemas.microsoft.com/office/drawing/2014/chart" uri="{C3380CC4-5D6E-409C-BE32-E72D297353CC}">
              <c16:uniqueId val="{00000065-6A87-BF47-9E42-A9DBE7311535}"/>
            </c:ext>
          </c:extLst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Гаврилова Алла Владиславовна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Sheet1!$Q$104:$AD$104</c:f>
            </c:numRef>
          </c:val>
          <c:smooth val="0"/>
          <c:extLst>
            <c:ext xmlns:c16="http://schemas.microsoft.com/office/drawing/2014/chart" uri="{C3380CC4-5D6E-409C-BE32-E72D297353CC}">
              <c16:uniqueId val="{00000066-6A87-BF47-9E42-A9DBE7311535}"/>
            </c:ext>
          </c:extLst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Гайдук Ольга Валерьевна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Sheet1!$Q$105:$AD$105</c:f>
            </c:numRef>
          </c:val>
          <c:smooth val="0"/>
          <c:extLst>
            <c:ext xmlns:c16="http://schemas.microsoft.com/office/drawing/2014/chart" uri="{C3380CC4-5D6E-409C-BE32-E72D297353CC}">
              <c16:uniqueId val="{00000067-6A87-BF47-9E42-A9DBE7311535}"/>
            </c:ext>
          </c:extLst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Викентьева Елена Александровна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Sheet1!$Q$106:$AD$106</c:f>
            </c:numRef>
          </c:val>
          <c:smooth val="0"/>
          <c:extLst>
            <c:ext xmlns:c16="http://schemas.microsoft.com/office/drawing/2014/chart" uri="{C3380CC4-5D6E-409C-BE32-E72D297353CC}">
              <c16:uniqueId val="{00000068-6A87-BF47-9E42-A9DBE7311535}"/>
            </c:ext>
          </c:extLst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Малаховская Татьяна Игоревна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Sheet1!$Q$107:$AD$107</c:f>
            </c:numRef>
          </c:val>
          <c:smooth val="0"/>
          <c:extLst>
            <c:ext xmlns:c16="http://schemas.microsoft.com/office/drawing/2014/chart" uri="{C3380CC4-5D6E-409C-BE32-E72D297353CC}">
              <c16:uniqueId val="{00000069-6A87-BF47-9E42-A9DBE7311535}"/>
            </c:ext>
          </c:extLst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Клебанович Виктория Николаевна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Sheet1!$Q$108:$AD$108</c:f>
            </c:numRef>
          </c:val>
          <c:smooth val="0"/>
          <c:extLst>
            <c:ext xmlns:c16="http://schemas.microsoft.com/office/drawing/2014/chart" uri="{C3380CC4-5D6E-409C-BE32-E72D297353CC}">
              <c16:uniqueId val="{0000006A-6A87-BF47-9E42-A9DBE7311535}"/>
            </c:ext>
          </c:extLst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Моисеева Вероника Сергеевна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Sheet1!$Q$109:$AD$109</c:f>
            </c:numRef>
          </c:val>
          <c:smooth val="0"/>
          <c:extLst>
            <c:ext xmlns:c16="http://schemas.microsoft.com/office/drawing/2014/chart" uri="{C3380CC4-5D6E-409C-BE32-E72D297353CC}">
              <c16:uniqueId val="{0000006B-6A87-BF47-9E42-A9DBE7311535}"/>
            </c:ext>
          </c:extLst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Адамович Ирина Владимировна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Sheet1!$Q$110:$AD$110</c:f>
            </c:numRef>
          </c:val>
          <c:smooth val="0"/>
          <c:extLst>
            <c:ext xmlns:c16="http://schemas.microsoft.com/office/drawing/2014/chart" uri="{C3380CC4-5D6E-409C-BE32-E72D297353CC}">
              <c16:uniqueId val="{0000006C-6A87-BF47-9E42-A9DBE7311535}"/>
            </c:ext>
          </c:extLst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Таначёва Александра Сергеевна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Sheet1!$Q$111:$AD$111</c:f>
            </c:numRef>
          </c:val>
          <c:smooth val="0"/>
          <c:extLst>
            <c:ext xmlns:c16="http://schemas.microsoft.com/office/drawing/2014/chart" uri="{C3380CC4-5D6E-409C-BE32-E72D297353CC}">
              <c16:uniqueId val="{0000006D-6A87-BF47-9E42-A9DBE7311535}"/>
            </c:ext>
          </c:extLst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Касперович Юлия Андреевна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Sheet1!$Q$112:$AD$112</c:f>
            </c:numRef>
          </c:val>
          <c:smooth val="0"/>
          <c:extLst>
            <c:ext xmlns:c16="http://schemas.microsoft.com/office/drawing/2014/chart" uri="{C3380CC4-5D6E-409C-BE32-E72D297353CC}">
              <c16:uniqueId val="{0000006E-6A87-BF47-9E42-A9DBE7311535}"/>
            </c:ext>
          </c:extLst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Вечорко Елена Сергеевна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Sheet1!$Q$113:$AD$113</c:f>
            </c:numRef>
          </c:val>
          <c:smooth val="0"/>
          <c:extLst>
            <c:ext xmlns:c16="http://schemas.microsoft.com/office/drawing/2014/chart" uri="{C3380CC4-5D6E-409C-BE32-E72D297353CC}">
              <c16:uniqueId val="{0000006F-6A87-BF47-9E42-A9DBE7311535}"/>
            </c:ext>
          </c:extLst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Войтик Татьяна Николаевна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Sheet1!$Q$1:$AD$1</c:f>
              <c:strCache>
                <c:ptCount val="14"/>
                <c:pt idx="0">
                  <c:v>Старт</c:v>
                </c:pt>
                <c:pt idx="1">
                  <c:v>Минск
Indoor</c:v>
                </c:pt>
                <c:pt idx="2">
                  <c:v>Логойск
Зимний</c:v>
                </c:pt>
                <c:pt idx="3">
                  <c:v>Дрогичин
Дуатлон</c:v>
                </c:pt>
                <c:pt idx="4">
                  <c:v>Могилёв
Спринт</c:v>
                </c:pt>
                <c:pt idx="5">
                  <c:v>Лепель Кросс</c:v>
                </c:pt>
                <c:pt idx="6">
                  <c:v>Гомель Спринт</c:v>
                </c:pt>
                <c:pt idx="7">
                  <c:v>Заславль
Мульти</c:v>
                </c:pt>
                <c:pt idx="8">
                  <c:v>Брест
Олимпик</c:v>
                </c:pt>
                <c:pt idx="9">
                  <c:v>Святск Триатлон</c:v>
                </c:pt>
                <c:pt idx="10">
                  <c:v>Минск
Триатлон</c:v>
                </c:pt>
                <c:pt idx="11">
                  <c:v>Гомель Кросс</c:v>
                </c:pt>
                <c:pt idx="12">
                  <c:v>Минск Полный</c:v>
                </c:pt>
                <c:pt idx="13">
                  <c:v>Раубичи
Дуатлон</c:v>
                </c:pt>
              </c:strCache>
            </c:strRef>
          </c:cat>
          <c:val>
            <c:numRef>
              <c:f>Sheet1!$Q$114:$AD$114</c:f>
            </c:numRef>
          </c:val>
          <c:smooth val="0"/>
          <c:extLst>
            <c:ext xmlns:c16="http://schemas.microsoft.com/office/drawing/2014/chart" uri="{C3380CC4-5D6E-409C-BE32-E72D297353CC}">
              <c16:uniqueId val="{00000070-6A87-BF47-9E42-A9DBE731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77104"/>
        <c:axId val="30291824"/>
      </c:lineChart>
      <c:catAx>
        <c:axId val="1599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1824"/>
        <c:crosses val="autoZero"/>
        <c:auto val="1"/>
        <c:lblAlgn val="ctr"/>
        <c:lblOffset val="100"/>
        <c:noMultiLvlLbl val="0"/>
      </c:catAx>
      <c:valAx>
        <c:axId val="302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265113241552967"/>
          <c:y val="5.9628529036169026E-2"/>
          <c:w val="0.10540871911199499"/>
          <c:h val="0.30520343245988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</xdr:row>
      <xdr:rowOff>150739</xdr:rowOff>
    </xdr:from>
    <xdr:to>
      <xdr:col>66</xdr:col>
      <xdr:colOff>318332</xdr:colOff>
      <xdr:row>230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0D257-6B80-841F-A11E-5D34847B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DCD30D-8E6D-3249-9CE7-3025168FA0D1}" name="Table1" displayName="Table1" ref="A1:AD114" totalsRowShown="0" headerRowDxfId="37" dataDxfId="35" headerRowBorderDxfId="36" tableBorderDxfId="34" totalsRowBorderDxfId="33">
  <autoFilter ref="A1:AD114" xr:uid="{68DCD30D-8E6D-3249-9CE7-3025168FA0D1}">
    <filterColumn colId="1">
      <filters>
        <filter val="Мужчина"/>
      </filters>
    </filterColumn>
    <filterColumn colId="29">
      <customFilters>
        <customFilter operator="greaterThan" val="400"/>
      </customFilters>
    </filterColumn>
  </autoFilter>
  <tableColumns count="30">
    <tableColumn id="2" xr3:uid="{269DF884-B5C9-1A45-B919-43ED31E36ADC}" name="Фамилия Имя Отчество" dataDxfId="32"/>
    <tableColumn id="35" xr3:uid="{79504D20-6257-2F47-94AA-16ECD2537E83}" name="Пол" dataDxfId="31"/>
    <tableColumn id="4" xr3:uid="{FA66D0CB-4F41-8948-82C2-AD02E32E3541}" name="Клуб" dataDxfId="30"/>
    <tableColumn id="7" xr3:uid="{1EFE5926-98A5-5746-93B1-39CD6D393004}" name="Минск_x000a_Indoor_" dataDxfId="29"/>
    <tableColumn id="8" xr3:uid="{E3C08805-7975-7D40-9FAF-20C11B88CEF7}" name="Логойск_x000a_Зимний_" dataDxfId="28"/>
    <tableColumn id="9" xr3:uid="{F1D498C2-1520-F948-AF1A-DB6160A8EA8D}" name="Дрогичин_x000a_Дуатлон_" dataDxfId="27"/>
    <tableColumn id="10" xr3:uid="{00B5A3F2-C5E0-2F4A-B514-EB5CB6C29FDC}" name="Могилёв_x000a_Спринт_" dataDxfId="26"/>
    <tableColumn id="11" xr3:uid="{ED4EA696-747F-1C49-9650-55A02253792D}" name="Лепель Кросс_" dataDxfId="25"/>
    <tableColumn id="12" xr3:uid="{71946F81-5A64-6144-B3FD-5AC406C99B5A}" name="Гомель Спринт_" dataDxfId="24"/>
    <tableColumn id="13" xr3:uid="{9DEF06EC-8753-104B-85A3-59E1D71E21FA}" name="Заславль_x000a_Мульти_" dataDxfId="23"/>
    <tableColumn id="14" xr3:uid="{EE33C74F-9DFE-6D4F-B8EC-8A6B228CABC2}" name="Брест_x000a_Олимпик_" dataDxfId="22"/>
    <tableColumn id="15" xr3:uid="{1E1710C5-484D-4F45-9AB5-49DEA492EFDB}" name="Святск Триатлон_" dataDxfId="21"/>
    <tableColumn id="16" xr3:uid="{A6615165-0615-8A4A-B72F-195118CF1C38}" name="Минск_x000a_Триатлон_" dataDxfId="20"/>
    <tableColumn id="17" xr3:uid="{65AF895D-73A7-5643-9935-57E4C9DE2D39}" name="Гомель Кросс_" dataDxfId="19"/>
    <tableColumn id="18" xr3:uid="{5D582F5B-09B2-FE4C-A5CC-FA6F1896C729}" name="Минск Полный_" dataDxfId="18"/>
    <tableColumn id="19" xr3:uid="{4462A7CD-FB8F-B641-92A6-5A048A8EFCFC}" name="Раубичи_x000a_Дуатлон_" dataDxfId="17"/>
    <tableColumn id="34" xr3:uid="{89D7DEAA-3DE7-1D45-B1A0-ABFD993C2A1E}" name="Старт" dataDxfId="16"/>
    <tableColumn id="21" xr3:uid="{BC9D170F-86C8-EC46-8997-310893163E75}" name="Минск_x000a_Indoor" dataDxfId="15">
      <calculatedColumnFormula>SUM(Table1[[#This Row],[Минск
Indoor_]])</calculatedColumnFormula>
    </tableColumn>
    <tableColumn id="22" xr3:uid="{A696F7EA-A543-4E4F-A383-A8CBEAA2D688}" name="Логойск_x000a_Зимний" dataDxfId="14">
      <calculatedColumnFormula>SUM(Table1[[#This Row],[Минск
Indoor_]],Table1[[#This Row],[Логойск
Зимний_]])</calculatedColumnFormula>
    </tableColumn>
    <tableColumn id="23" xr3:uid="{708B9DCA-75DE-F14B-BC73-7AFC496C4792}" name="Дрогичин_x000a_Дуатлон" dataDxfId="13">
      <calculatedColumnFormula>SUM(Table1[[#This Row],[Минск
Indoor_]:[Дрогичин
Дуатлон_]])</calculatedColumnFormula>
    </tableColumn>
    <tableColumn id="24" xr3:uid="{14BD58CF-285C-0245-9509-EEA53542DCBD}" name="Могилёв_x000a_Спринт" dataDxfId="12">
      <calculatedColumnFormula>SUM(Table1[[#This Row],[Минск
Indoor_]:[Могилёв
Спринт_]])</calculatedColumnFormula>
    </tableColumn>
    <tableColumn id="25" xr3:uid="{058C272A-4271-B941-9B23-D8A31B9FEECE}" name="Лепель Кросс" dataDxfId="11">
      <calculatedColumnFormula>SUM(Table1[[#This Row],[Минск
Indoor_]:[Лепель Кросс_]])</calculatedColumnFormula>
    </tableColumn>
    <tableColumn id="26" xr3:uid="{EEDFA8BF-9402-D043-B36A-DAF935EE90D1}" name="Гомель Спринт" dataDxfId="10">
      <calculatedColumnFormula>SUM(Table1[[#This Row],[Минск
Indoor_]:[Гомель Спринт_]])</calculatedColumnFormula>
    </tableColumn>
    <tableColumn id="27" xr3:uid="{52116FEF-586D-EC47-A65D-2535FD263413}" name="Заславль_x000a_Мульти" dataDxfId="9">
      <calculatedColumnFormula>SUM(Table1[[#This Row],[Минск
Indoor_]:[Заславль
Мульти_]])</calculatedColumnFormula>
    </tableColumn>
    <tableColumn id="28" xr3:uid="{CA632B22-53EF-A74A-A5E7-126DC677B426}" name="Брест_x000a_Олимпик" dataDxfId="8">
      <calculatedColumnFormula>SUM(Table1[[#This Row],[Минск
Indoor_]:[Брест
Олимпик_]])</calculatedColumnFormula>
    </tableColumn>
    <tableColumn id="29" xr3:uid="{F55F6DC7-AAF6-6B46-A00E-EE48A11D350B}" name="Святск Триатлон" dataDxfId="7">
      <calculatedColumnFormula>SUM(Table1[[#This Row],[Минск
Indoor_]:[Святск Триатлон_]])</calculatedColumnFormula>
    </tableColumn>
    <tableColumn id="30" xr3:uid="{857423EE-D89C-E64B-9587-58527B0271D5}" name="Минск_x000a_Триатлон" dataDxfId="6">
      <calculatedColumnFormula>SUM(Table1[[#This Row],[Минск
Indoor_]:[Минск
Триатлон_]])</calculatedColumnFormula>
    </tableColumn>
    <tableColumn id="31" xr3:uid="{20317BB0-BB43-5648-9234-DC9B3FDAC57E}" name="Гомель Кросс" dataDxfId="5">
      <calculatedColumnFormula>SUM(Table1[[#This Row],[Минск
Indoor_]:[Гомель Кросс_]])</calculatedColumnFormula>
    </tableColumn>
    <tableColumn id="32" xr3:uid="{FAA687D1-FBD2-FC45-8531-E6B5938B6F58}" name="Минск Полный" dataDxfId="4">
      <calculatedColumnFormula>SUM(Table1[[#This Row],[Минск
Indoor_]:[Минск Полный_]])</calculatedColumnFormula>
    </tableColumn>
    <tableColumn id="33" xr3:uid="{1F4C6FA3-8803-284D-BD7B-AC67CC6AD0E9}" name="Раубичи_x000a_Дуатлон" dataDxfId="3">
      <calculatedColumnFormula>SUM(Table1[[#This Row],[Минск
Indoor_]:[Раубичи
Дуатлон_]])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zoomScale="50" zoomScaleNormal="263" workbookViewId="0">
      <pane ySplit="1" topLeftCell="A2" activePane="bottomLeft" state="frozen"/>
      <selection pane="bottomLeft" activeCell="R101" sqref="R101"/>
    </sheetView>
  </sheetViews>
  <sheetFormatPr baseColWidth="10" defaultColWidth="14.5" defaultRowHeight="15" customHeight="1" x14ac:dyDescent="0.2"/>
  <cols>
    <col min="1" max="1" width="33.6640625" customWidth="1"/>
    <col min="2" max="2" width="11" customWidth="1"/>
    <col min="3" max="3" width="16.6640625" customWidth="1"/>
    <col min="4" max="7" width="9.1640625" customWidth="1"/>
    <col min="8" max="8" width="15.33203125" customWidth="1"/>
    <col min="9" max="9" width="16.6640625" customWidth="1"/>
    <col min="10" max="11" width="9.1640625" customWidth="1"/>
    <col min="12" max="12" width="18" customWidth="1"/>
    <col min="13" max="13" width="9.1640625" customWidth="1"/>
    <col min="14" max="14" width="15.5" customWidth="1"/>
    <col min="15" max="15" width="16.5" customWidth="1"/>
    <col min="16" max="17" width="9.1640625" customWidth="1"/>
    <col min="18" max="23" width="8.83203125" customWidth="1"/>
  </cols>
  <sheetData>
    <row r="1" spans="1:32" ht="24.75" customHeight="1" x14ac:dyDescent="0.2">
      <c r="A1" s="6" t="s">
        <v>0</v>
      </c>
      <c r="B1" s="6" t="s">
        <v>1</v>
      </c>
      <c r="C1" s="6" t="s">
        <v>2</v>
      </c>
      <c r="D1" s="7" t="s">
        <v>156</v>
      </c>
      <c r="E1" s="7" t="s">
        <v>157</v>
      </c>
      <c r="F1" s="7" t="s">
        <v>158</v>
      </c>
      <c r="G1" s="7" t="s">
        <v>159</v>
      </c>
      <c r="H1" s="7" t="s">
        <v>160</v>
      </c>
      <c r="I1" s="7" t="s">
        <v>161</v>
      </c>
      <c r="J1" s="7" t="s">
        <v>162</v>
      </c>
      <c r="K1" s="7" t="s">
        <v>163</v>
      </c>
      <c r="L1" s="7" t="s">
        <v>164</v>
      </c>
      <c r="M1" s="7" t="s">
        <v>165</v>
      </c>
      <c r="N1" s="7" t="s">
        <v>166</v>
      </c>
      <c r="O1" s="7" t="s">
        <v>167</v>
      </c>
      <c r="P1" s="7" t="s">
        <v>168</v>
      </c>
      <c r="Q1" s="7" t="s">
        <v>169</v>
      </c>
      <c r="R1" s="7" t="s">
        <v>3</v>
      </c>
      <c r="S1" s="7" t="s">
        <v>4</v>
      </c>
      <c r="T1" s="7" t="s">
        <v>5</v>
      </c>
      <c r="U1" s="7" t="s">
        <v>6</v>
      </c>
      <c r="V1" s="7" t="s">
        <v>7</v>
      </c>
      <c r="W1" s="7" t="s">
        <v>8</v>
      </c>
      <c r="X1" s="7" t="s">
        <v>9</v>
      </c>
      <c r="Y1" s="7" t="s">
        <v>10</v>
      </c>
      <c r="Z1" s="7" t="s">
        <v>11</v>
      </c>
      <c r="AA1" s="7" t="s">
        <v>12</v>
      </c>
      <c r="AB1" s="7" t="s">
        <v>13</v>
      </c>
      <c r="AC1" s="7" t="s">
        <v>14</v>
      </c>
      <c r="AD1" s="7" t="s">
        <v>15</v>
      </c>
      <c r="AE1" s="16" t="s">
        <v>172</v>
      </c>
      <c r="AF1" s="16" t="s">
        <v>173</v>
      </c>
    </row>
    <row r="2" spans="1:32" ht="12.75" customHeight="1" x14ac:dyDescent="0.2">
      <c r="A2" s="1" t="s">
        <v>16</v>
      </c>
      <c r="B2" s="15" t="s">
        <v>170</v>
      </c>
      <c r="C2" s="1" t="s">
        <v>17</v>
      </c>
      <c r="D2" s="2">
        <f>50+2-2+1</f>
        <v>51</v>
      </c>
      <c r="E2" s="2">
        <f>60+0-7+1</f>
        <v>54</v>
      </c>
      <c r="F2" s="3">
        <f>70+3-1+1</f>
        <v>73</v>
      </c>
      <c r="G2" s="2">
        <f>60+3-2+1</f>
        <v>62</v>
      </c>
      <c r="H2" s="3">
        <f>70+3-2+1</f>
        <v>72</v>
      </c>
      <c r="I2" s="3">
        <f>70+2-4+1</f>
        <v>69</v>
      </c>
      <c r="J2" s="2">
        <f>70+0-6+1</f>
        <v>65</v>
      </c>
      <c r="K2" s="3">
        <v>28</v>
      </c>
      <c r="L2" s="3">
        <v>22</v>
      </c>
      <c r="M2" s="3">
        <v>27</v>
      </c>
      <c r="N2" s="2">
        <v>0</v>
      </c>
      <c r="O2" s="3">
        <v>37</v>
      </c>
      <c r="P2" s="2">
        <v>0</v>
      </c>
      <c r="Q2" s="13">
        <v>0</v>
      </c>
      <c r="R2" s="12">
        <f>SUM(Table1[[#This Row],[Минск
Indoor_]])</f>
        <v>51</v>
      </c>
      <c r="S2" s="12">
        <f>SUM(Table1[[#This Row],[Минск
Indoor_]],Table1[[#This Row],[Логойск
Зимний_]])</f>
        <v>105</v>
      </c>
      <c r="T2" s="12">
        <f>SUM(Table1[[#This Row],[Минск
Indoor_]:[Дрогичин
Дуатлон_]])</f>
        <v>178</v>
      </c>
      <c r="U2" s="12">
        <f>SUM(Table1[[#This Row],[Минск
Indoor_]:[Могилёв
Спринт_]])</f>
        <v>240</v>
      </c>
      <c r="V2" s="12">
        <f>SUM(Table1[[#This Row],[Минск
Indoor_]:[Лепель Кросс_]])</f>
        <v>312</v>
      </c>
      <c r="W2" s="12">
        <f>SUM(Table1[[#This Row],[Минск
Indoor_]:[Гомель Спринт_]])</f>
        <v>381</v>
      </c>
      <c r="X2" s="12">
        <f>SUM(Table1[[#This Row],[Минск
Indoor_]:[Заславль
Мульти_]])</f>
        <v>446</v>
      </c>
      <c r="Y2" s="12">
        <f>SUM(Table1[[#This Row],[Минск
Indoor_]:[Брест
Олимпик_]])</f>
        <v>474</v>
      </c>
      <c r="Z2" s="12">
        <f>SUM(Table1[[#This Row],[Минск
Indoor_]:[Святск Триатлон_]])</f>
        <v>496</v>
      </c>
      <c r="AA2" s="12">
        <f>SUM(Table1[[#This Row],[Минск
Indoor_]:[Минск
Триатлон_]])</f>
        <v>523</v>
      </c>
      <c r="AB2" s="12">
        <f>SUM(Table1[[#This Row],[Минск
Indoor_]:[Гомель Кросс_]])</f>
        <v>523</v>
      </c>
      <c r="AC2" s="12">
        <f>SUM(Table1[[#This Row],[Минск
Indoor_]:[Минск Полный_]])</f>
        <v>560</v>
      </c>
      <c r="AD2" s="12">
        <f>SUM(Table1[[#This Row],[Минск
Indoor_]:[Раубичи
Дуатлон_]])</f>
        <v>560</v>
      </c>
      <c r="AE2" s="17">
        <v>560</v>
      </c>
      <c r="AF2" s="17">
        <f>Table1[[#This Row],[Раубичи
Дуатлон]]-AE2</f>
        <v>0</v>
      </c>
    </row>
    <row r="3" spans="1:32" ht="12.75" customHeight="1" x14ac:dyDescent="0.2">
      <c r="A3" s="1" t="s">
        <v>18</v>
      </c>
      <c r="B3" s="15" t="s">
        <v>170</v>
      </c>
      <c r="C3" s="1" t="s">
        <v>19</v>
      </c>
      <c r="D3" s="2">
        <v>0</v>
      </c>
      <c r="E3" s="2">
        <f>60+0-4+1</f>
        <v>57</v>
      </c>
      <c r="F3" s="3">
        <f>70+3-3+1</f>
        <v>71</v>
      </c>
      <c r="G3" s="3">
        <f>60+2-4+1</f>
        <v>59</v>
      </c>
      <c r="H3" s="2">
        <v>0</v>
      </c>
      <c r="I3" s="3">
        <f>70+3-1+1</f>
        <v>73</v>
      </c>
      <c r="J3" s="2">
        <v>0</v>
      </c>
      <c r="K3" s="3">
        <f>80+2-3+1</f>
        <v>80</v>
      </c>
      <c r="L3" s="2">
        <v>0</v>
      </c>
      <c r="M3" s="3">
        <f>90+1-4+1</f>
        <v>88</v>
      </c>
      <c r="N3" s="2">
        <v>0</v>
      </c>
      <c r="O3" s="3">
        <f>100+3-1+1</f>
        <v>103</v>
      </c>
      <c r="P3" s="3">
        <v>16</v>
      </c>
      <c r="Q3" s="13">
        <v>0</v>
      </c>
      <c r="R3" s="11">
        <f>SUM(Table1[[#This Row],[Минск
Indoor_]])</f>
        <v>0</v>
      </c>
      <c r="S3" s="11">
        <f>SUM(Table1[[#This Row],[Минск
Indoor_]],Table1[[#This Row],[Логойск
Зимний_]])</f>
        <v>57</v>
      </c>
      <c r="T3" s="11">
        <f>SUM(Table1[[#This Row],[Минск
Indoor_]:[Дрогичин
Дуатлон_]])</f>
        <v>128</v>
      </c>
      <c r="U3" s="11">
        <f>SUM(Table1[[#This Row],[Минск
Indoor_]:[Могилёв
Спринт_]])</f>
        <v>187</v>
      </c>
      <c r="V3" s="11">
        <f>SUM(Table1[[#This Row],[Минск
Indoor_]:[Лепель Кросс_]])</f>
        <v>187</v>
      </c>
      <c r="W3" s="11">
        <f>SUM(Table1[[#This Row],[Минск
Indoor_]:[Гомель Спринт_]])</f>
        <v>260</v>
      </c>
      <c r="X3" s="11">
        <f>SUM(Table1[[#This Row],[Минск
Indoor_]:[Заславль
Мульти_]])</f>
        <v>260</v>
      </c>
      <c r="Y3" s="11">
        <f>SUM(Table1[[#This Row],[Минск
Indoor_]:[Брест
Олимпик_]])</f>
        <v>340</v>
      </c>
      <c r="Z3" s="11">
        <f>SUM(Table1[[#This Row],[Минск
Indoor_]:[Святск Триатлон_]])</f>
        <v>340</v>
      </c>
      <c r="AA3" s="11">
        <f>SUM(Table1[[#This Row],[Минск
Indoor_]:[Минск
Триатлон_]])</f>
        <v>428</v>
      </c>
      <c r="AB3" s="11">
        <f>SUM(Table1[[#This Row],[Минск
Indoor_]:[Гомель Кросс_]])</f>
        <v>428</v>
      </c>
      <c r="AC3" s="11">
        <f>SUM(Table1[[#This Row],[Минск
Indoor_]:[Минск Полный_]])</f>
        <v>531</v>
      </c>
      <c r="AD3" s="11">
        <f>SUM(Table1[[#This Row],[Минск
Indoor_]:[Раубичи
Дуатлон_]])</f>
        <v>547</v>
      </c>
      <c r="AE3" s="17">
        <v>547</v>
      </c>
      <c r="AF3" s="17">
        <f>Table1[[#This Row],[Раубичи
Дуатлон]]-AE3</f>
        <v>0</v>
      </c>
    </row>
    <row r="4" spans="1:32" ht="12.75" customHeight="1" x14ac:dyDescent="0.2">
      <c r="A4" s="1" t="s">
        <v>20</v>
      </c>
      <c r="B4" s="15" t="s">
        <v>170</v>
      </c>
      <c r="C4" s="1" t="s">
        <v>21</v>
      </c>
      <c r="D4" s="2">
        <f>50+1-3+1</f>
        <v>49</v>
      </c>
      <c r="E4" s="2">
        <v>0</v>
      </c>
      <c r="F4" s="2">
        <f>70+0-21+1</f>
        <v>50</v>
      </c>
      <c r="G4" s="2">
        <f>60+3-12+1</f>
        <v>52</v>
      </c>
      <c r="H4" s="2">
        <v>0</v>
      </c>
      <c r="I4" s="3">
        <f>70+2-14+1</f>
        <v>59</v>
      </c>
      <c r="J4" s="3">
        <f>70+0-9+1</f>
        <v>62</v>
      </c>
      <c r="K4" s="3">
        <f>80+3-6+1</f>
        <v>78</v>
      </c>
      <c r="L4" s="3">
        <f>80+2-6+1</f>
        <v>77</v>
      </c>
      <c r="M4" s="3">
        <v>27</v>
      </c>
      <c r="N4" s="2">
        <v>0</v>
      </c>
      <c r="O4" s="3">
        <v>49</v>
      </c>
      <c r="P4" s="3">
        <v>12</v>
      </c>
      <c r="Q4" s="13">
        <v>0</v>
      </c>
      <c r="R4" s="11">
        <f>SUM(Table1[[#This Row],[Минск
Indoor_]])</f>
        <v>49</v>
      </c>
      <c r="S4" s="11">
        <f>SUM(Table1[[#This Row],[Минск
Indoor_]],Table1[[#This Row],[Логойск
Зимний_]])</f>
        <v>49</v>
      </c>
      <c r="T4" s="11">
        <f>SUM(Table1[[#This Row],[Минск
Indoor_]:[Дрогичин
Дуатлон_]])</f>
        <v>99</v>
      </c>
      <c r="U4" s="11">
        <f>SUM(Table1[[#This Row],[Минск
Indoor_]:[Могилёв
Спринт_]])</f>
        <v>151</v>
      </c>
      <c r="V4" s="11">
        <f>SUM(Table1[[#This Row],[Минск
Indoor_]:[Лепель Кросс_]])</f>
        <v>151</v>
      </c>
      <c r="W4" s="11">
        <f>SUM(Table1[[#This Row],[Минск
Indoor_]:[Гомель Спринт_]])</f>
        <v>210</v>
      </c>
      <c r="X4" s="11">
        <f>SUM(Table1[[#This Row],[Минск
Indoor_]:[Заславль
Мульти_]])</f>
        <v>272</v>
      </c>
      <c r="Y4" s="11">
        <f>SUM(Table1[[#This Row],[Минск
Indoor_]:[Брест
Олимпик_]])</f>
        <v>350</v>
      </c>
      <c r="Z4" s="11">
        <f>SUM(Table1[[#This Row],[Минск
Indoor_]:[Святск Триатлон_]])</f>
        <v>427</v>
      </c>
      <c r="AA4" s="11">
        <f>SUM(Table1[[#This Row],[Минск
Indoor_]:[Минск
Триатлон_]])</f>
        <v>454</v>
      </c>
      <c r="AB4" s="11">
        <f>SUM(Table1[[#This Row],[Минск
Indoor_]:[Гомель Кросс_]])</f>
        <v>454</v>
      </c>
      <c r="AC4" s="11">
        <f>SUM(Table1[[#This Row],[Минск
Indoor_]:[Минск Полный_]])</f>
        <v>503</v>
      </c>
      <c r="AD4" s="11">
        <f>SUM(Table1[[#This Row],[Минск
Indoor_]:[Раубичи
Дуатлон_]])</f>
        <v>515</v>
      </c>
      <c r="AE4" s="17">
        <v>515</v>
      </c>
      <c r="AF4" s="17">
        <f>Table1[[#This Row],[Раубичи
Дуатлон]]-AE4</f>
        <v>0</v>
      </c>
    </row>
    <row r="5" spans="1:32" ht="12.75" customHeight="1" x14ac:dyDescent="0.2">
      <c r="A5" s="1" t="s">
        <v>22</v>
      </c>
      <c r="B5" s="15" t="s">
        <v>170</v>
      </c>
      <c r="C5" s="1" t="s">
        <v>23</v>
      </c>
      <c r="D5" s="2">
        <f>50+3-1+1</f>
        <v>53</v>
      </c>
      <c r="E5" s="2">
        <f>60+0-29+1</f>
        <v>32</v>
      </c>
      <c r="F5" s="3">
        <f>70+2-10+1</f>
        <v>63</v>
      </c>
      <c r="G5" s="2">
        <v>0</v>
      </c>
      <c r="H5" s="3">
        <f>70+3-1+1</f>
        <v>73</v>
      </c>
      <c r="I5" s="3">
        <f>70+3-5+1</f>
        <v>69</v>
      </c>
      <c r="J5" s="3">
        <f>70+2-2+1</f>
        <v>71</v>
      </c>
      <c r="K5" s="3">
        <f>80+3-4+1</f>
        <v>80</v>
      </c>
      <c r="L5" s="2">
        <v>0</v>
      </c>
      <c r="M5" s="3">
        <v>56</v>
      </c>
      <c r="N5" s="3">
        <v>10</v>
      </c>
      <c r="O5" s="2">
        <v>0</v>
      </c>
      <c r="P5" s="2">
        <v>0</v>
      </c>
      <c r="Q5" s="13">
        <v>0</v>
      </c>
      <c r="R5" s="11">
        <f>SUM(Table1[[#This Row],[Минск
Indoor_]])</f>
        <v>53</v>
      </c>
      <c r="S5" s="11">
        <f>SUM(Table1[[#This Row],[Минск
Indoor_]],Table1[[#This Row],[Логойск
Зимний_]])</f>
        <v>85</v>
      </c>
      <c r="T5" s="11">
        <f>SUM(Table1[[#This Row],[Минск
Indoor_]:[Дрогичин
Дуатлон_]])</f>
        <v>148</v>
      </c>
      <c r="U5" s="11">
        <f>SUM(Table1[[#This Row],[Минск
Indoor_]:[Могилёв
Спринт_]])</f>
        <v>148</v>
      </c>
      <c r="V5" s="11">
        <f>SUM(Table1[[#This Row],[Минск
Indoor_]:[Лепель Кросс_]])</f>
        <v>221</v>
      </c>
      <c r="W5" s="11">
        <f>SUM(Table1[[#This Row],[Минск
Indoor_]:[Гомель Спринт_]])</f>
        <v>290</v>
      </c>
      <c r="X5" s="11">
        <f>SUM(Table1[[#This Row],[Минск
Indoor_]:[Заславль
Мульти_]])</f>
        <v>361</v>
      </c>
      <c r="Y5" s="11">
        <f>SUM(Table1[[#This Row],[Минск
Indoor_]:[Брест
Олимпик_]])</f>
        <v>441</v>
      </c>
      <c r="Z5" s="11">
        <f>SUM(Table1[[#This Row],[Минск
Indoor_]:[Святск Триатлон_]])</f>
        <v>441</v>
      </c>
      <c r="AA5" s="11">
        <f>SUM(Table1[[#This Row],[Минск
Indoor_]:[Минск
Триатлон_]])</f>
        <v>497</v>
      </c>
      <c r="AB5" s="11">
        <f>SUM(Table1[[#This Row],[Минск
Indoor_]:[Гомель Кросс_]])</f>
        <v>507</v>
      </c>
      <c r="AC5" s="11">
        <f>SUM(Table1[[#This Row],[Минск
Indoor_]:[Минск Полный_]])</f>
        <v>507</v>
      </c>
      <c r="AD5" s="11">
        <f>SUM(Table1[[#This Row],[Минск
Indoor_]:[Раубичи
Дуатлон_]])</f>
        <v>507</v>
      </c>
      <c r="AE5" s="17">
        <v>507</v>
      </c>
      <c r="AF5" s="17">
        <f>Table1[[#This Row],[Раубичи
Дуатлон]]-AE5</f>
        <v>0</v>
      </c>
    </row>
    <row r="6" spans="1:32" ht="12.75" customHeight="1" x14ac:dyDescent="0.2">
      <c r="A6" s="1" t="s">
        <v>24</v>
      </c>
      <c r="B6" s="15" t="s">
        <v>170</v>
      </c>
      <c r="C6" s="1" t="s">
        <v>17</v>
      </c>
      <c r="D6" s="2">
        <v>0</v>
      </c>
      <c r="E6" s="2">
        <v>0</v>
      </c>
      <c r="F6" s="2">
        <v>0</v>
      </c>
      <c r="G6" s="2">
        <f>60+2-5+1</f>
        <v>58</v>
      </c>
      <c r="H6" s="3">
        <f>70+2-4+1</f>
        <v>69</v>
      </c>
      <c r="I6" s="3">
        <f>70+1-8+1</f>
        <v>64</v>
      </c>
      <c r="J6" s="3">
        <f>70+1-3+1</f>
        <v>69</v>
      </c>
      <c r="K6" s="3">
        <f>80+2-7+1</f>
        <v>76</v>
      </c>
      <c r="L6" s="3">
        <f>80+2-2+1</f>
        <v>81</v>
      </c>
      <c r="M6" s="3">
        <f>90+3-11+1</f>
        <v>83</v>
      </c>
      <c r="N6" s="2">
        <v>0</v>
      </c>
      <c r="O6" s="2">
        <v>0</v>
      </c>
      <c r="P6" s="3">
        <v>5</v>
      </c>
      <c r="Q6" s="13">
        <v>0</v>
      </c>
      <c r="R6" s="11">
        <f>SUM(Table1[[#This Row],[Минск
Indoor_]])</f>
        <v>0</v>
      </c>
      <c r="S6" s="11">
        <f>SUM(Table1[[#This Row],[Минск
Indoor_]],Table1[[#This Row],[Логойск
Зимний_]])</f>
        <v>0</v>
      </c>
      <c r="T6" s="11">
        <f>SUM(Table1[[#This Row],[Минск
Indoor_]:[Дрогичин
Дуатлон_]])</f>
        <v>0</v>
      </c>
      <c r="U6" s="11">
        <f>SUM(Table1[[#This Row],[Минск
Indoor_]:[Могилёв
Спринт_]])</f>
        <v>58</v>
      </c>
      <c r="V6" s="11">
        <f>SUM(Table1[[#This Row],[Минск
Indoor_]:[Лепель Кросс_]])</f>
        <v>127</v>
      </c>
      <c r="W6" s="11">
        <f>SUM(Table1[[#This Row],[Минск
Indoor_]:[Гомель Спринт_]])</f>
        <v>191</v>
      </c>
      <c r="X6" s="11">
        <f>SUM(Table1[[#This Row],[Минск
Indoor_]:[Заславль
Мульти_]])</f>
        <v>260</v>
      </c>
      <c r="Y6" s="11">
        <f>SUM(Table1[[#This Row],[Минск
Indoor_]:[Брест
Олимпик_]])</f>
        <v>336</v>
      </c>
      <c r="Z6" s="11">
        <f>SUM(Table1[[#This Row],[Минск
Indoor_]:[Святск Триатлон_]])</f>
        <v>417</v>
      </c>
      <c r="AA6" s="11">
        <f>SUM(Table1[[#This Row],[Минск
Indoor_]:[Минск
Триатлон_]])</f>
        <v>500</v>
      </c>
      <c r="AB6" s="11">
        <f>SUM(Table1[[#This Row],[Минск
Indoor_]:[Гомель Кросс_]])</f>
        <v>500</v>
      </c>
      <c r="AC6" s="11">
        <f>SUM(Table1[[#This Row],[Минск
Indoor_]:[Минск Полный_]])</f>
        <v>500</v>
      </c>
      <c r="AD6" s="11">
        <f>SUM(Table1[[#This Row],[Минск
Indoor_]:[Раубичи
Дуатлон_]])</f>
        <v>505</v>
      </c>
      <c r="AE6" s="17">
        <v>505</v>
      </c>
      <c r="AF6" s="17">
        <f>Table1[[#This Row],[Раубичи
Дуатлон]]-AE6</f>
        <v>0</v>
      </c>
    </row>
    <row r="7" spans="1:32" ht="12.75" customHeight="1" x14ac:dyDescent="0.2">
      <c r="A7" s="1" t="s">
        <v>25</v>
      </c>
      <c r="B7" s="15" t="s">
        <v>170</v>
      </c>
      <c r="C7" s="1"/>
      <c r="D7" s="3">
        <f>50+0-10+1</f>
        <v>41</v>
      </c>
      <c r="E7" s="2">
        <v>0</v>
      </c>
      <c r="F7" s="2">
        <v>0</v>
      </c>
      <c r="G7" s="2">
        <v>0</v>
      </c>
      <c r="H7" s="2">
        <v>0</v>
      </c>
      <c r="I7" s="3">
        <f>70+1-7+1</f>
        <v>65</v>
      </c>
      <c r="J7" s="3">
        <f>70+0-4+1</f>
        <v>67</v>
      </c>
      <c r="K7" s="3">
        <f>80+0-12+1</f>
        <v>69</v>
      </c>
      <c r="L7" s="3">
        <f>80+1-3+1</f>
        <v>79</v>
      </c>
      <c r="M7" s="3">
        <f>90+0-21+1</f>
        <v>70</v>
      </c>
      <c r="N7" s="2">
        <v>0</v>
      </c>
      <c r="O7" s="3">
        <f>100+0-9+1</f>
        <v>92</v>
      </c>
      <c r="P7" s="2">
        <v>0</v>
      </c>
      <c r="Q7" s="13">
        <v>0</v>
      </c>
      <c r="R7" s="11">
        <f>SUM(Table1[[#This Row],[Минск
Indoor_]])</f>
        <v>41</v>
      </c>
      <c r="S7" s="11">
        <f>SUM(Table1[[#This Row],[Минск
Indoor_]],Table1[[#This Row],[Логойск
Зимний_]])</f>
        <v>41</v>
      </c>
      <c r="T7" s="11">
        <f>SUM(Table1[[#This Row],[Минск
Indoor_]:[Дрогичин
Дуатлон_]])</f>
        <v>41</v>
      </c>
      <c r="U7" s="11">
        <f>SUM(Table1[[#This Row],[Минск
Indoor_]:[Могилёв
Спринт_]])</f>
        <v>41</v>
      </c>
      <c r="V7" s="11">
        <f>SUM(Table1[[#This Row],[Минск
Indoor_]:[Лепель Кросс_]])</f>
        <v>41</v>
      </c>
      <c r="W7" s="11">
        <f>SUM(Table1[[#This Row],[Минск
Indoor_]:[Гомель Спринт_]])</f>
        <v>106</v>
      </c>
      <c r="X7" s="11">
        <f>SUM(Table1[[#This Row],[Минск
Indoor_]:[Заславль
Мульти_]])</f>
        <v>173</v>
      </c>
      <c r="Y7" s="11">
        <f>SUM(Table1[[#This Row],[Минск
Indoor_]:[Брест
Олимпик_]])</f>
        <v>242</v>
      </c>
      <c r="Z7" s="11">
        <f>SUM(Table1[[#This Row],[Минск
Indoor_]:[Святск Триатлон_]])</f>
        <v>321</v>
      </c>
      <c r="AA7" s="11">
        <f>SUM(Table1[[#This Row],[Минск
Indoor_]:[Минск
Триатлон_]])</f>
        <v>391</v>
      </c>
      <c r="AB7" s="11">
        <f>SUM(Table1[[#This Row],[Минск
Indoor_]:[Гомель Кросс_]])</f>
        <v>391</v>
      </c>
      <c r="AC7" s="11">
        <f>SUM(Table1[[#This Row],[Минск
Indoor_]:[Минск Полный_]])</f>
        <v>483</v>
      </c>
      <c r="AD7" s="11">
        <f>SUM(Table1[[#This Row],[Минск
Indoor_]:[Раубичи
Дуатлон_]])</f>
        <v>483</v>
      </c>
      <c r="AE7" s="17">
        <v>483</v>
      </c>
      <c r="AF7" s="17">
        <f>Table1[[#This Row],[Раубичи
Дуатлон]]-AE7</f>
        <v>0</v>
      </c>
    </row>
    <row r="8" spans="1:32" ht="12.75" customHeight="1" x14ac:dyDescent="0.2">
      <c r="A8" s="1" t="s">
        <v>26</v>
      </c>
      <c r="B8" s="15" t="s">
        <v>170</v>
      </c>
      <c r="C8" s="1" t="s">
        <v>27</v>
      </c>
      <c r="D8" s="2">
        <v>0</v>
      </c>
      <c r="E8" s="2">
        <v>0</v>
      </c>
      <c r="F8" s="3">
        <f>70+2-2+1</f>
        <v>71</v>
      </c>
      <c r="G8" s="3">
        <f>60+2-6+1</f>
        <v>57</v>
      </c>
      <c r="H8" s="2">
        <v>0</v>
      </c>
      <c r="I8" s="3">
        <f>70+0-17+1</f>
        <v>54</v>
      </c>
      <c r="J8" s="3">
        <f>70+0-14+1</f>
        <v>57</v>
      </c>
      <c r="K8" s="3">
        <f>80+1-10+1</f>
        <v>72</v>
      </c>
      <c r="L8" s="2">
        <v>0</v>
      </c>
      <c r="M8" s="2">
        <v>0</v>
      </c>
      <c r="N8" s="2">
        <v>0</v>
      </c>
      <c r="O8" s="3">
        <f>100+2-3+1</f>
        <v>100</v>
      </c>
      <c r="P8" s="3">
        <f>70+1-6+1</f>
        <v>66</v>
      </c>
      <c r="Q8" s="13">
        <v>0</v>
      </c>
      <c r="R8" s="11">
        <f>SUM(Table1[[#This Row],[Минск
Indoor_]])</f>
        <v>0</v>
      </c>
      <c r="S8" s="11">
        <f>SUM(Table1[[#This Row],[Минск
Indoor_]],Table1[[#This Row],[Логойск
Зимний_]])</f>
        <v>0</v>
      </c>
      <c r="T8" s="11">
        <f>SUM(Table1[[#This Row],[Минск
Indoor_]:[Дрогичин
Дуатлон_]])</f>
        <v>71</v>
      </c>
      <c r="U8" s="11">
        <f>SUM(Table1[[#This Row],[Минск
Indoor_]:[Могилёв
Спринт_]])</f>
        <v>128</v>
      </c>
      <c r="V8" s="11">
        <f>SUM(Table1[[#This Row],[Минск
Indoor_]:[Лепель Кросс_]])</f>
        <v>128</v>
      </c>
      <c r="W8" s="11">
        <f>SUM(Table1[[#This Row],[Минск
Indoor_]:[Гомель Спринт_]])</f>
        <v>182</v>
      </c>
      <c r="X8" s="11">
        <f>SUM(Table1[[#This Row],[Минск
Indoor_]:[Заславль
Мульти_]])</f>
        <v>239</v>
      </c>
      <c r="Y8" s="11">
        <f>SUM(Table1[[#This Row],[Минск
Indoor_]:[Брест
Олимпик_]])</f>
        <v>311</v>
      </c>
      <c r="Z8" s="11">
        <f>SUM(Table1[[#This Row],[Минск
Indoor_]:[Святск Триатлон_]])</f>
        <v>311</v>
      </c>
      <c r="AA8" s="11">
        <f>SUM(Table1[[#This Row],[Минск
Indoor_]:[Минск
Триатлон_]])</f>
        <v>311</v>
      </c>
      <c r="AB8" s="11">
        <f>SUM(Table1[[#This Row],[Минск
Indoor_]:[Гомель Кросс_]])</f>
        <v>311</v>
      </c>
      <c r="AC8" s="11">
        <f>SUM(Table1[[#This Row],[Минск
Indoor_]:[Минск Полный_]])</f>
        <v>411</v>
      </c>
      <c r="AD8" s="11">
        <f>SUM(Table1[[#This Row],[Минск
Indoor_]:[Раубичи
Дуатлон_]])</f>
        <v>477</v>
      </c>
      <c r="AE8" s="17">
        <v>477</v>
      </c>
      <c r="AF8" s="17">
        <f>Table1[[#This Row],[Раубичи
Дуатлон]]-AE8</f>
        <v>0</v>
      </c>
    </row>
    <row r="9" spans="1:32" ht="12.75" customHeight="1" x14ac:dyDescent="0.2">
      <c r="A9" s="1" t="s">
        <v>28</v>
      </c>
      <c r="B9" s="15" t="s">
        <v>170</v>
      </c>
      <c r="C9" s="1"/>
      <c r="D9" s="2">
        <f>50+0-44+1</f>
        <v>7</v>
      </c>
      <c r="E9" s="2">
        <v>0</v>
      </c>
      <c r="F9" s="2">
        <f>70+0-26+1</f>
        <v>45</v>
      </c>
      <c r="G9" s="2">
        <f>60+0-18+1</f>
        <v>43</v>
      </c>
      <c r="H9" s="3">
        <f>70+0-7+1</f>
        <v>64</v>
      </c>
      <c r="I9" s="3">
        <f>70+3-12+1</f>
        <v>62</v>
      </c>
      <c r="J9" s="3">
        <f>70+0-12+1</f>
        <v>59</v>
      </c>
      <c r="K9" s="3">
        <f>80+2-8+1</f>
        <v>75</v>
      </c>
      <c r="L9" s="3">
        <v>65</v>
      </c>
      <c r="M9" s="3">
        <v>30</v>
      </c>
      <c r="N9" s="3">
        <v>11</v>
      </c>
      <c r="O9" s="2">
        <v>0</v>
      </c>
      <c r="P9" s="2">
        <v>0</v>
      </c>
      <c r="Q9" s="13">
        <v>0</v>
      </c>
      <c r="R9" s="11">
        <f>SUM(Table1[[#This Row],[Минск
Indoor_]])</f>
        <v>7</v>
      </c>
      <c r="S9" s="11">
        <f>SUM(Table1[[#This Row],[Минск
Indoor_]],Table1[[#This Row],[Логойск
Зимний_]])</f>
        <v>7</v>
      </c>
      <c r="T9" s="11">
        <f>SUM(Table1[[#This Row],[Минск
Indoor_]:[Дрогичин
Дуатлон_]])</f>
        <v>52</v>
      </c>
      <c r="U9" s="11">
        <f>SUM(Table1[[#This Row],[Минск
Indoor_]:[Могилёв
Спринт_]])</f>
        <v>95</v>
      </c>
      <c r="V9" s="11">
        <f>SUM(Table1[[#This Row],[Минск
Indoor_]:[Лепель Кросс_]])</f>
        <v>159</v>
      </c>
      <c r="W9" s="11">
        <f>SUM(Table1[[#This Row],[Минск
Indoor_]:[Гомель Спринт_]])</f>
        <v>221</v>
      </c>
      <c r="X9" s="11">
        <f>SUM(Table1[[#This Row],[Минск
Indoor_]:[Заславль
Мульти_]])</f>
        <v>280</v>
      </c>
      <c r="Y9" s="11">
        <f>SUM(Table1[[#This Row],[Минск
Indoor_]:[Брест
Олимпик_]])</f>
        <v>355</v>
      </c>
      <c r="Z9" s="11">
        <f>SUM(Table1[[#This Row],[Минск
Indoor_]:[Святск Триатлон_]])</f>
        <v>420</v>
      </c>
      <c r="AA9" s="11">
        <f>SUM(Table1[[#This Row],[Минск
Indoor_]:[Минск
Триатлон_]])</f>
        <v>450</v>
      </c>
      <c r="AB9" s="11">
        <f>SUM(Table1[[#This Row],[Минск
Indoor_]:[Гомель Кросс_]])</f>
        <v>461</v>
      </c>
      <c r="AC9" s="11">
        <f>SUM(Table1[[#This Row],[Минск
Indoor_]:[Минск Полный_]])</f>
        <v>461</v>
      </c>
      <c r="AD9" s="11">
        <f>SUM(Table1[[#This Row],[Минск
Indoor_]:[Раубичи
Дуатлон_]])</f>
        <v>461</v>
      </c>
      <c r="AE9" s="17">
        <v>461</v>
      </c>
      <c r="AF9" s="17">
        <f>Table1[[#This Row],[Раубичи
Дуатлон]]-AE9</f>
        <v>0</v>
      </c>
    </row>
    <row r="10" spans="1:32" ht="12.75" customHeight="1" x14ac:dyDescent="0.2">
      <c r="A10" s="1" t="s">
        <v>29</v>
      </c>
      <c r="B10" s="15" t="s">
        <v>170</v>
      </c>
      <c r="C10" s="1" t="s">
        <v>17</v>
      </c>
      <c r="D10" s="2">
        <f>50+0-14+1</f>
        <v>37</v>
      </c>
      <c r="E10" s="2">
        <f>60+0-16+1</f>
        <v>45</v>
      </c>
      <c r="F10" s="3">
        <f>70+1-17+1</f>
        <v>55</v>
      </c>
      <c r="G10" s="3">
        <f>60+1-9+1</f>
        <v>53</v>
      </c>
      <c r="H10" s="3">
        <f>70+2-5+1</f>
        <v>68</v>
      </c>
      <c r="I10" s="3">
        <f>70+0-21+1</f>
        <v>50</v>
      </c>
      <c r="J10" s="2">
        <v>0</v>
      </c>
      <c r="K10" s="3">
        <f>80+2-9+1</f>
        <v>74</v>
      </c>
      <c r="L10" s="2">
        <v>0</v>
      </c>
      <c r="M10" s="3">
        <v>23</v>
      </c>
      <c r="N10" s="2">
        <v>0</v>
      </c>
      <c r="O10" s="3">
        <v>39</v>
      </c>
      <c r="P10" s="2">
        <v>0</v>
      </c>
      <c r="Q10" s="13">
        <v>0</v>
      </c>
      <c r="R10" s="11">
        <f>SUM(Table1[[#This Row],[Минск
Indoor_]])</f>
        <v>37</v>
      </c>
      <c r="S10" s="11">
        <f>SUM(Table1[[#This Row],[Минск
Indoor_]],Table1[[#This Row],[Логойск
Зимний_]])</f>
        <v>82</v>
      </c>
      <c r="T10" s="11">
        <f>SUM(Table1[[#This Row],[Минск
Indoor_]:[Дрогичин
Дуатлон_]])</f>
        <v>137</v>
      </c>
      <c r="U10" s="11">
        <f>SUM(Table1[[#This Row],[Минск
Indoor_]:[Могилёв
Спринт_]])</f>
        <v>190</v>
      </c>
      <c r="V10" s="11">
        <f>SUM(Table1[[#This Row],[Минск
Indoor_]:[Лепель Кросс_]])</f>
        <v>258</v>
      </c>
      <c r="W10" s="11">
        <f>SUM(Table1[[#This Row],[Минск
Indoor_]:[Гомель Спринт_]])</f>
        <v>308</v>
      </c>
      <c r="X10" s="11">
        <f>SUM(Table1[[#This Row],[Минск
Indoor_]:[Заславль
Мульти_]])</f>
        <v>308</v>
      </c>
      <c r="Y10" s="11">
        <f>SUM(Table1[[#This Row],[Минск
Indoor_]:[Брест
Олимпик_]])</f>
        <v>382</v>
      </c>
      <c r="Z10" s="11">
        <f>SUM(Table1[[#This Row],[Минск
Indoor_]:[Святск Триатлон_]])</f>
        <v>382</v>
      </c>
      <c r="AA10" s="11">
        <f>SUM(Table1[[#This Row],[Минск
Indoor_]:[Минск
Триатлон_]])</f>
        <v>405</v>
      </c>
      <c r="AB10" s="11">
        <f>SUM(Table1[[#This Row],[Минск
Indoor_]:[Гомель Кросс_]])</f>
        <v>405</v>
      </c>
      <c r="AC10" s="11">
        <f>SUM(Table1[[#This Row],[Минск
Indoor_]:[Минск Полный_]])</f>
        <v>444</v>
      </c>
      <c r="AD10" s="11">
        <f>SUM(Table1[[#This Row],[Минск
Indoor_]:[Раубичи
Дуатлон_]])</f>
        <v>444</v>
      </c>
      <c r="AE10" s="17">
        <v>444</v>
      </c>
      <c r="AF10" s="17">
        <f>Table1[[#This Row],[Раубичи
Дуатлон]]-AE10</f>
        <v>0</v>
      </c>
    </row>
    <row r="11" spans="1:32" ht="12.75" customHeight="1" x14ac:dyDescent="0.2">
      <c r="A11" s="1" t="s">
        <v>30</v>
      </c>
      <c r="B11" s="15" t="s">
        <v>170</v>
      </c>
      <c r="C11" s="1" t="s">
        <v>21</v>
      </c>
      <c r="D11" s="2">
        <v>0</v>
      </c>
      <c r="E11" s="2">
        <v>0</v>
      </c>
      <c r="F11" s="3">
        <f>70+2-7+1</f>
        <v>66</v>
      </c>
      <c r="G11" s="3">
        <f>60+3-3+1</f>
        <v>61</v>
      </c>
      <c r="H11" s="2">
        <v>0</v>
      </c>
      <c r="I11" s="3">
        <f>70+3-3+1</f>
        <v>71</v>
      </c>
      <c r="J11" s="2">
        <v>0</v>
      </c>
      <c r="K11" s="3">
        <f>80+3-2+1</f>
        <v>82</v>
      </c>
      <c r="L11" s="3">
        <f>80+3-1+1</f>
        <v>83</v>
      </c>
      <c r="M11" s="2">
        <v>0</v>
      </c>
      <c r="N11" s="2">
        <v>0</v>
      </c>
      <c r="O11" s="3">
        <v>0</v>
      </c>
      <c r="P11" s="3">
        <f>70+2-4+1</f>
        <v>69</v>
      </c>
      <c r="Q11" s="13">
        <v>0</v>
      </c>
      <c r="R11" s="11">
        <f>SUM(Table1[[#This Row],[Минск
Indoor_]])</f>
        <v>0</v>
      </c>
      <c r="S11" s="11">
        <f>SUM(Table1[[#This Row],[Минск
Indoor_]],Table1[[#This Row],[Логойск
Зимний_]])</f>
        <v>0</v>
      </c>
      <c r="T11" s="11">
        <f>SUM(Table1[[#This Row],[Минск
Indoor_]:[Дрогичин
Дуатлон_]])</f>
        <v>66</v>
      </c>
      <c r="U11" s="11">
        <f>SUM(Table1[[#This Row],[Минск
Indoor_]:[Могилёв
Спринт_]])</f>
        <v>127</v>
      </c>
      <c r="V11" s="11">
        <f>SUM(Table1[[#This Row],[Минск
Indoor_]:[Лепель Кросс_]])</f>
        <v>127</v>
      </c>
      <c r="W11" s="11">
        <f>SUM(Table1[[#This Row],[Минск
Indoor_]:[Гомель Спринт_]])</f>
        <v>198</v>
      </c>
      <c r="X11" s="11">
        <f>SUM(Table1[[#This Row],[Минск
Indoor_]:[Заславль
Мульти_]])</f>
        <v>198</v>
      </c>
      <c r="Y11" s="11">
        <f>SUM(Table1[[#This Row],[Минск
Indoor_]:[Брест
Олимпик_]])</f>
        <v>280</v>
      </c>
      <c r="Z11" s="11">
        <f>SUM(Table1[[#This Row],[Минск
Indoor_]:[Святск Триатлон_]])</f>
        <v>363</v>
      </c>
      <c r="AA11" s="11">
        <f>SUM(Table1[[#This Row],[Минск
Indoor_]:[Минск
Триатлон_]])</f>
        <v>363</v>
      </c>
      <c r="AB11" s="11">
        <f>SUM(Table1[[#This Row],[Минск
Indoor_]:[Гомель Кросс_]])</f>
        <v>363</v>
      </c>
      <c r="AC11" s="11">
        <f>SUM(Table1[[#This Row],[Минск
Indoor_]:[Минск Полный_]])</f>
        <v>363</v>
      </c>
      <c r="AD11" s="11">
        <f>SUM(Table1[[#This Row],[Минск
Indoor_]:[Раубичи
Дуатлон_]])</f>
        <v>432</v>
      </c>
      <c r="AE11" s="17">
        <v>432</v>
      </c>
      <c r="AF11" s="17">
        <f>Table1[[#This Row],[Раубичи
Дуатлон]]-AE11</f>
        <v>0</v>
      </c>
    </row>
    <row r="12" spans="1:32" ht="12.75" customHeight="1" x14ac:dyDescent="0.2">
      <c r="A12" s="1" t="s">
        <v>31</v>
      </c>
      <c r="B12" s="15" t="s">
        <v>170</v>
      </c>
      <c r="C12" s="1" t="s">
        <v>19</v>
      </c>
      <c r="D12" s="3">
        <f>50+0-11+1</f>
        <v>40</v>
      </c>
      <c r="E12" s="3">
        <f>60+0-5+1</f>
        <v>56</v>
      </c>
      <c r="F12" s="3">
        <f>70+2-12+1</f>
        <v>61</v>
      </c>
      <c r="G12" s="3">
        <f>60+3-8+1</f>
        <v>56</v>
      </c>
      <c r="H12" s="3">
        <f>70+3-3+1</f>
        <v>71</v>
      </c>
      <c r="I12" s="3">
        <f>70+2-9+1</f>
        <v>64</v>
      </c>
      <c r="J12" s="3">
        <f>70+3-1+1</f>
        <v>73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13">
        <v>0</v>
      </c>
      <c r="R12" s="11">
        <f>SUM(Table1[[#This Row],[Минск
Indoor_]])</f>
        <v>40</v>
      </c>
      <c r="S12" s="11">
        <f>SUM(Table1[[#This Row],[Минск
Indoor_]],Table1[[#This Row],[Логойск
Зимний_]])</f>
        <v>96</v>
      </c>
      <c r="T12" s="11">
        <f>SUM(Table1[[#This Row],[Минск
Indoor_]:[Дрогичин
Дуатлон_]])</f>
        <v>157</v>
      </c>
      <c r="U12" s="11">
        <f>SUM(Table1[[#This Row],[Минск
Indoor_]:[Могилёв
Спринт_]])</f>
        <v>213</v>
      </c>
      <c r="V12" s="11">
        <f>SUM(Table1[[#This Row],[Минск
Indoor_]:[Лепель Кросс_]])</f>
        <v>284</v>
      </c>
      <c r="W12" s="11">
        <f>SUM(Table1[[#This Row],[Минск
Indoor_]:[Гомель Спринт_]])</f>
        <v>348</v>
      </c>
      <c r="X12" s="11">
        <f>SUM(Table1[[#This Row],[Минск
Indoor_]:[Заславль
Мульти_]])</f>
        <v>421</v>
      </c>
      <c r="Y12" s="11">
        <f>SUM(Table1[[#This Row],[Минск
Indoor_]:[Брест
Олимпик_]])</f>
        <v>421</v>
      </c>
      <c r="Z12" s="11">
        <f>SUM(Table1[[#This Row],[Минск
Indoor_]:[Святск Триатлон_]])</f>
        <v>421</v>
      </c>
      <c r="AA12" s="11">
        <f>SUM(Table1[[#This Row],[Минск
Indoor_]:[Минск
Триатлон_]])</f>
        <v>421</v>
      </c>
      <c r="AB12" s="11">
        <f>SUM(Table1[[#This Row],[Минск
Indoor_]:[Гомель Кросс_]])</f>
        <v>421</v>
      </c>
      <c r="AC12" s="11">
        <f>SUM(Table1[[#This Row],[Минск
Indoor_]:[Минск Полный_]])</f>
        <v>421</v>
      </c>
      <c r="AD12" s="11">
        <f>SUM(Table1[[#This Row],[Минск
Indoor_]:[Раубичи
Дуатлон_]])</f>
        <v>421</v>
      </c>
      <c r="AE12" s="17">
        <v>421</v>
      </c>
      <c r="AF12" s="17">
        <f>Table1[[#This Row],[Раубичи
Дуатлон]]-AE12</f>
        <v>0</v>
      </c>
    </row>
    <row r="13" spans="1:32" ht="12.75" customHeight="1" x14ac:dyDescent="0.2">
      <c r="A13" s="1" t="s">
        <v>32</v>
      </c>
      <c r="B13" s="15" t="s">
        <v>170</v>
      </c>
      <c r="C13" s="1" t="s">
        <v>27</v>
      </c>
      <c r="D13" s="2">
        <f>50+0-22+1</f>
        <v>29</v>
      </c>
      <c r="E13" s="3">
        <f>60+0-9+1</f>
        <v>52</v>
      </c>
      <c r="F13" s="3">
        <f>70+0-14+1</f>
        <v>57</v>
      </c>
      <c r="G13" s="3">
        <f>60+0-17+1</f>
        <v>44</v>
      </c>
      <c r="H13" s="2">
        <v>0</v>
      </c>
      <c r="I13" s="2">
        <v>0</v>
      </c>
      <c r="J13" s="3">
        <f>70+0-17+1</f>
        <v>54</v>
      </c>
      <c r="K13" s="3">
        <f>80+0-25+1</f>
        <v>56</v>
      </c>
      <c r="L13" s="2">
        <v>0</v>
      </c>
      <c r="M13" s="2">
        <v>0</v>
      </c>
      <c r="N13" s="2">
        <v>0</v>
      </c>
      <c r="O13" s="3">
        <f>100+0-7+1</f>
        <v>94</v>
      </c>
      <c r="P13" s="3">
        <v>24</v>
      </c>
      <c r="Q13" s="13">
        <v>0</v>
      </c>
      <c r="R13" s="11">
        <f>SUM(Table1[[#This Row],[Минск
Indoor_]])</f>
        <v>29</v>
      </c>
      <c r="S13" s="11">
        <f>SUM(Table1[[#This Row],[Минск
Indoor_]],Table1[[#This Row],[Логойск
Зимний_]])</f>
        <v>81</v>
      </c>
      <c r="T13" s="11">
        <f>SUM(Table1[[#This Row],[Минск
Indoor_]:[Дрогичин
Дуатлон_]])</f>
        <v>138</v>
      </c>
      <c r="U13" s="11">
        <f>SUM(Table1[[#This Row],[Минск
Indoor_]:[Могилёв
Спринт_]])</f>
        <v>182</v>
      </c>
      <c r="V13" s="11">
        <f>SUM(Table1[[#This Row],[Минск
Indoor_]:[Лепель Кросс_]])</f>
        <v>182</v>
      </c>
      <c r="W13" s="11">
        <f>SUM(Table1[[#This Row],[Минск
Indoor_]:[Гомель Спринт_]])</f>
        <v>182</v>
      </c>
      <c r="X13" s="11">
        <f>SUM(Table1[[#This Row],[Минск
Indoor_]:[Заславль
Мульти_]])</f>
        <v>236</v>
      </c>
      <c r="Y13" s="11">
        <f>SUM(Table1[[#This Row],[Минск
Indoor_]:[Брест
Олимпик_]])</f>
        <v>292</v>
      </c>
      <c r="Z13" s="11">
        <f>SUM(Table1[[#This Row],[Минск
Indoor_]:[Святск Триатлон_]])</f>
        <v>292</v>
      </c>
      <c r="AA13" s="11">
        <f>SUM(Table1[[#This Row],[Минск
Indoor_]:[Минск
Триатлон_]])</f>
        <v>292</v>
      </c>
      <c r="AB13" s="11">
        <f>SUM(Table1[[#This Row],[Минск
Indoor_]:[Гомель Кросс_]])</f>
        <v>292</v>
      </c>
      <c r="AC13" s="11">
        <f>SUM(Table1[[#This Row],[Минск
Indoor_]:[Минск Полный_]])</f>
        <v>386</v>
      </c>
      <c r="AD13" s="11">
        <f>SUM(Table1[[#This Row],[Минск
Indoor_]:[Раубичи
Дуатлон_]])</f>
        <v>410</v>
      </c>
      <c r="AE13" s="17">
        <v>410</v>
      </c>
      <c r="AF13" s="17">
        <f>Table1[[#This Row],[Раубичи
Дуатлон]]-AE13</f>
        <v>0</v>
      </c>
    </row>
    <row r="14" spans="1:32" ht="12.75" hidden="1" customHeight="1" x14ac:dyDescent="0.2">
      <c r="A14" s="1" t="s">
        <v>33</v>
      </c>
      <c r="B14" s="15" t="s">
        <v>170</v>
      </c>
      <c r="C14" s="1" t="s">
        <v>21</v>
      </c>
      <c r="D14" s="2">
        <v>0</v>
      </c>
      <c r="E14" s="2">
        <v>0</v>
      </c>
      <c r="F14" s="3">
        <f>70+0-34+1</f>
        <v>37</v>
      </c>
      <c r="G14" s="2">
        <v>0</v>
      </c>
      <c r="H14" s="2">
        <v>0</v>
      </c>
      <c r="I14" s="2">
        <v>0</v>
      </c>
      <c r="J14" s="3">
        <f>70+0-33+1</f>
        <v>38</v>
      </c>
      <c r="K14" s="3">
        <f>80+0-16+1</f>
        <v>65</v>
      </c>
      <c r="L14" s="3">
        <f>80+0-11+1</f>
        <v>70</v>
      </c>
      <c r="M14" s="3">
        <f>80+0-24+1</f>
        <v>57</v>
      </c>
      <c r="N14" s="2">
        <v>0</v>
      </c>
      <c r="O14" s="3">
        <f>100+0-8+1</f>
        <v>93</v>
      </c>
      <c r="P14" s="3">
        <f>70+0-31+1</f>
        <v>40</v>
      </c>
      <c r="Q14" s="13">
        <v>0</v>
      </c>
      <c r="R14" s="11">
        <f>SUM(Table1[[#This Row],[Минск
Indoor_]])</f>
        <v>0</v>
      </c>
      <c r="S14" s="11">
        <f>SUM(Table1[[#This Row],[Минск
Indoor_]],Table1[[#This Row],[Логойск
Зимний_]])</f>
        <v>0</v>
      </c>
      <c r="T14" s="11">
        <f>SUM(Table1[[#This Row],[Минск
Indoor_]:[Дрогичин
Дуатлон_]])</f>
        <v>37</v>
      </c>
      <c r="U14" s="11">
        <f>SUM(Table1[[#This Row],[Минск
Indoor_]:[Могилёв
Спринт_]])</f>
        <v>37</v>
      </c>
      <c r="V14" s="11">
        <f>SUM(Table1[[#This Row],[Минск
Indoor_]:[Лепель Кросс_]])</f>
        <v>37</v>
      </c>
      <c r="W14" s="11">
        <f>SUM(Table1[[#This Row],[Минск
Indoor_]:[Гомель Спринт_]])</f>
        <v>37</v>
      </c>
      <c r="X14" s="11">
        <f>SUM(Table1[[#This Row],[Минск
Indoor_]:[Заславль
Мульти_]])</f>
        <v>75</v>
      </c>
      <c r="Y14" s="11">
        <f>SUM(Table1[[#This Row],[Минск
Indoor_]:[Брест
Олимпик_]])</f>
        <v>140</v>
      </c>
      <c r="Z14" s="11">
        <f>SUM(Table1[[#This Row],[Минск
Indoor_]:[Святск Триатлон_]])</f>
        <v>210</v>
      </c>
      <c r="AA14" s="11">
        <f>SUM(Table1[[#This Row],[Минск
Indoor_]:[Минск
Триатлон_]])</f>
        <v>267</v>
      </c>
      <c r="AB14" s="11">
        <f>SUM(Table1[[#This Row],[Минск
Indoor_]:[Гомель Кросс_]])</f>
        <v>267</v>
      </c>
      <c r="AC14" s="11">
        <f>SUM(Table1[[#This Row],[Минск
Indoor_]:[Минск Полный_]])</f>
        <v>360</v>
      </c>
      <c r="AD14" s="11">
        <f>SUM(Table1[[#This Row],[Минск
Indoor_]:[Раубичи
Дуатлон_]])</f>
        <v>400</v>
      </c>
      <c r="AE14" s="17">
        <v>400</v>
      </c>
      <c r="AF14" s="17">
        <f>Table1[[#This Row],[Раубичи
Дуатлон]]-AE14</f>
        <v>0</v>
      </c>
    </row>
    <row r="15" spans="1:32" ht="12.75" hidden="1" customHeight="1" x14ac:dyDescent="0.2">
      <c r="A15" s="1" t="s">
        <v>34</v>
      </c>
      <c r="B15" s="15" t="s">
        <v>170</v>
      </c>
      <c r="C15" s="1"/>
      <c r="D15" s="2">
        <f>50+0-26+1</f>
        <v>25</v>
      </c>
      <c r="E15" s="2">
        <v>0</v>
      </c>
      <c r="F15" s="3">
        <f>70+0-25+1</f>
        <v>46</v>
      </c>
      <c r="G15" s="3">
        <f>60+1-11+1</f>
        <v>51</v>
      </c>
      <c r="H15" s="2">
        <v>0</v>
      </c>
      <c r="I15" s="3">
        <f>70+1-20+1</f>
        <v>52</v>
      </c>
      <c r="J15" s="3">
        <f>70+0-13+1</f>
        <v>58</v>
      </c>
      <c r="K15" s="3">
        <f>80+0-15+1</f>
        <v>66</v>
      </c>
      <c r="L15" s="2">
        <v>0</v>
      </c>
      <c r="M15" s="3">
        <f>80+2-16+1</f>
        <v>67</v>
      </c>
      <c r="N15" s="3">
        <v>33</v>
      </c>
      <c r="O15" s="2">
        <v>0</v>
      </c>
      <c r="P15" s="2">
        <v>0</v>
      </c>
      <c r="Q15" s="13">
        <v>0</v>
      </c>
      <c r="R15" s="11">
        <f>SUM(Table1[[#This Row],[Минск
Indoor_]])</f>
        <v>25</v>
      </c>
      <c r="S15" s="11">
        <f>SUM(Table1[[#This Row],[Минск
Indoor_]],Table1[[#This Row],[Логойск
Зимний_]])</f>
        <v>25</v>
      </c>
      <c r="T15" s="11">
        <f>SUM(Table1[[#This Row],[Минск
Indoor_]:[Дрогичин
Дуатлон_]])</f>
        <v>71</v>
      </c>
      <c r="U15" s="11">
        <f>SUM(Table1[[#This Row],[Минск
Indoor_]:[Могилёв
Спринт_]])</f>
        <v>122</v>
      </c>
      <c r="V15" s="11">
        <f>SUM(Table1[[#This Row],[Минск
Indoor_]:[Лепель Кросс_]])</f>
        <v>122</v>
      </c>
      <c r="W15" s="11">
        <f>SUM(Table1[[#This Row],[Минск
Indoor_]:[Гомель Спринт_]])</f>
        <v>174</v>
      </c>
      <c r="X15" s="11">
        <f>SUM(Table1[[#This Row],[Минск
Indoor_]:[Заславль
Мульти_]])</f>
        <v>232</v>
      </c>
      <c r="Y15" s="11">
        <f>SUM(Table1[[#This Row],[Минск
Indoor_]:[Брест
Олимпик_]])</f>
        <v>298</v>
      </c>
      <c r="Z15" s="11">
        <f>SUM(Table1[[#This Row],[Минск
Indoor_]:[Святск Триатлон_]])</f>
        <v>298</v>
      </c>
      <c r="AA15" s="11">
        <f>SUM(Table1[[#This Row],[Минск
Indoor_]:[Минск
Триатлон_]])</f>
        <v>365</v>
      </c>
      <c r="AB15" s="11">
        <f>SUM(Table1[[#This Row],[Минск
Indoor_]:[Гомель Кросс_]])</f>
        <v>398</v>
      </c>
      <c r="AC15" s="11">
        <f>SUM(Table1[[#This Row],[Минск
Indoor_]:[Минск Полный_]])</f>
        <v>398</v>
      </c>
      <c r="AD15" s="11">
        <f>SUM(Table1[[#This Row],[Минск
Indoor_]:[Раубичи
Дуатлон_]])</f>
        <v>398</v>
      </c>
      <c r="AE15" s="17">
        <v>398</v>
      </c>
      <c r="AF15" s="17">
        <f>Table1[[#This Row],[Раубичи
Дуатлон]]-AE15</f>
        <v>0</v>
      </c>
    </row>
    <row r="16" spans="1:32" ht="12.75" hidden="1" customHeight="1" x14ac:dyDescent="0.2">
      <c r="A16" s="1" t="s">
        <v>35</v>
      </c>
      <c r="B16" s="15" t="s">
        <v>170</v>
      </c>
      <c r="C16" s="1" t="s">
        <v>17</v>
      </c>
      <c r="D16" s="3">
        <f>50+0-7+1</f>
        <v>44</v>
      </c>
      <c r="E16" s="3">
        <f>60+0-20+1</f>
        <v>41</v>
      </c>
      <c r="F16" s="2">
        <v>0</v>
      </c>
      <c r="G16" s="3">
        <f>60+0-10+1</f>
        <v>51</v>
      </c>
      <c r="H16" s="3">
        <f>70+1-9+1</f>
        <v>63</v>
      </c>
      <c r="I16" s="2">
        <v>0</v>
      </c>
      <c r="J16" s="2">
        <v>0</v>
      </c>
      <c r="K16" s="2">
        <v>0</v>
      </c>
      <c r="L16" s="3">
        <f>80+0-12+1</f>
        <v>69</v>
      </c>
      <c r="M16" s="3">
        <f>90+2-26+1</f>
        <v>67</v>
      </c>
      <c r="N16" s="2">
        <v>0</v>
      </c>
      <c r="O16" s="2">
        <v>0</v>
      </c>
      <c r="P16" s="3">
        <f>70+0-26+1</f>
        <v>45</v>
      </c>
      <c r="Q16" s="13">
        <v>0</v>
      </c>
      <c r="R16" s="11">
        <f>SUM(Table1[[#This Row],[Минск
Indoor_]])</f>
        <v>44</v>
      </c>
      <c r="S16" s="11">
        <f>SUM(Table1[[#This Row],[Минск
Indoor_]],Table1[[#This Row],[Логойск
Зимний_]])</f>
        <v>85</v>
      </c>
      <c r="T16" s="11">
        <f>SUM(Table1[[#This Row],[Минск
Indoor_]:[Дрогичин
Дуатлон_]])</f>
        <v>85</v>
      </c>
      <c r="U16" s="11">
        <f>SUM(Table1[[#This Row],[Минск
Indoor_]:[Могилёв
Спринт_]])</f>
        <v>136</v>
      </c>
      <c r="V16" s="11">
        <f>SUM(Table1[[#This Row],[Минск
Indoor_]:[Лепель Кросс_]])</f>
        <v>199</v>
      </c>
      <c r="W16" s="11">
        <f>SUM(Table1[[#This Row],[Минск
Indoor_]:[Гомель Спринт_]])</f>
        <v>199</v>
      </c>
      <c r="X16" s="11">
        <f>SUM(Table1[[#This Row],[Минск
Indoor_]:[Заславль
Мульти_]])</f>
        <v>199</v>
      </c>
      <c r="Y16" s="11">
        <f>SUM(Table1[[#This Row],[Минск
Indoor_]:[Брест
Олимпик_]])</f>
        <v>199</v>
      </c>
      <c r="Z16" s="11">
        <f>SUM(Table1[[#This Row],[Минск
Indoor_]:[Святск Триатлон_]])</f>
        <v>268</v>
      </c>
      <c r="AA16" s="11">
        <f>SUM(Table1[[#This Row],[Минск
Indoor_]:[Минск
Триатлон_]])</f>
        <v>335</v>
      </c>
      <c r="AB16" s="11">
        <f>SUM(Table1[[#This Row],[Минск
Indoor_]:[Гомель Кросс_]])</f>
        <v>335</v>
      </c>
      <c r="AC16" s="11">
        <f>SUM(Table1[[#This Row],[Минск
Indoor_]:[Минск Полный_]])</f>
        <v>335</v>
      </c>
      <c r="AD16" s="11">
        <f>SUM(Table1[[#This Row],[Минск
Indoor_]:[Раубичи
Дуатлон_]])</f>
        <v>380</v>
      </c>
      <c r="AE16" s="17">
        <v>380</v>
      </c>
      <c r="AF16" s="17">
        <f>Table1[[#This Row],[Раубичи
Дуатлон]]-AE16</f>
        <v>0</v>
      </c>
    </row>
    <row r="17" spans="1:32" ht="12.75" hidden="1" customHeight="1" x14ac:dyDescent="0.2">
      <c r="A17" s="1" t="s">
        <v>36</v>
      </c>
      <c r="B17" s="15" t="s">
        <v>170</v>
      </c>
      <c r="C17" s="1"/>
      <c r="D17" s="2">
        <v>0</v>
      </c>
      <c r="E17" s="3">
        <f>60+0-15+1</f>
        <v>46</v>
      </c>
      <c r="F17" s="2">
        <f>70+1-42+1</f>
        <v>30</v>
      </c>
      <c r="G17" s="2">
        <f>60+2-37+1</f>
        <v>26</v>
      </c>
      <c r="H17" s="3">
        <f>70+3-17+1</f>
        <v>57</v>
      </c>
      <c r="I17" s="2">
        <f>70+3-52+1</f>
        <v>22</v>
      </c>
      <c r="J17" s="3">
        <f>70+0-34+1</f>
        <v>37</v>
      </c>
      <c r="K17" s="3">
        <f>80+3-49+1</f>
        <v>35</v>
      </c>
      <c r="L17" s="3">
        <v>38</v>
      </c>
      <c r="M17" s="2">
        <v>0</v>
      </c>
      <c r="N17" s="3">
        <v>20</v>
      </c>
      <c r="O17" s="3">
        <v>45</v>
      </c>
      <c r="P17" s="2">
        <v>0</v>
      </c>
      <c r="Q17" s="13">
        <v>0</v>
      </c>
      <c r="R17" s="11">
        <f>SUM(Table1[[#This Row],[Минск
Indoor_]])</f>
        <v>0</v>
      </c>
      <c r="S17" s="11">
        <f>SUM(Table1[[#This Row],[Минск
Indoor_]],Table1[[#This Row],[Логойск
Зимний_]])</f>
        <v>46</v>
      </c>
      <c r="T17" s="11">
        <f>SUM(Table1[[#This Row],[Минск
Indoor_]:[Дрогичин
Дуатлон_]])</f>
        <v>76</v>
      </c>
      <c r="U17" s="11">
        <f>SUM(Table1[[#This Row],[Минск
Indoor_]:[Могилёв
Спринт_]])</f>
        <v>102</v>
      </c>
      <c r="V17" s="11">
        <f>SUM(Table1[[#This Row],[Минск
Indoor_]:[Лепель Кросс_]])</f>
        <v>159</v>
      </c>
      <c r="W17" s="11">
        <f>SUM(Table1[[#This Row],[Минск
Indoor_]:[Гомель Спринт_]])</f>
        <v>181</v>
      </c>
      <c r="X17" s="11">
        <f>SUM(Table1[[#This Row],[Минск
Indoor_]:[Заславль
Мульти_]])</f>
        <v>218</v>
      </c>
      <c r="Y17" s="11">
        <f>SUM(Table1[[#This Row],[Минск
Indoor_]:[Брест
Олимпик_]])</f>
        <v>253</v>
      </c>
      <c r="Z17" s="11">
        <f>SUM(Table1[[#This Row],[Минск
Indoor_]:[Святск Триатлон_]])</f>
        <v>291</v>
      </c>
      <c r="AA17" s="11">
        <f>SUM(Table1[[#This Row],[Минск
Indoor_]:[Минск
Триатлон_]])</f>
        <v>291</v>
      </c>
      <c r="AB17" s="11">
        <f>SUM(Table1[[#This Row],[Минск
Indoor_]:[Гомель Кросс_]])</f>
        <v>311</v>
      </c>
      <c r="AC17" s="11">
        <f>SUM(Table1[[#This Row],[Минск
Indoor_]:[Минск Полный_]])</f>
        <v>356</v>
      </c>
      <c r="AD17" s="11">
        <f>SUM(Table1[[#This Row],[Минск
Indoor_]:[Раубичи
Дуатлон_]])</f>
        <v>356</v>
      </c>
      <c r="AE17" s="17">
        <v>356</v>
      </c>
      <c r="AF17" s="17">
        <f>Table1[[#This Row],[Раубичи
Дуатлон]]-AE17</f>
        <v>0</v>
      </c>
    </row>
    <row r="18" spans="1:32" ht="12.75" hidden="1" customHeight="1" x14ac:dyDescent="0.2">
      <c r="A18" s="1" t="s">
        <v>37</v>
      </c>
      <c r="B18" s="15" t="s">
        <v>170</v>
      </c>
      <c r="C18" s="1"/>
      <c r="D18" s="3">
        <f>50+0-6+1</f>
        <v>45</v>
      </c>
      <c r="E18" s="2">
        <v>0</v>
      </c>
      <c r="F18" s="2">
        <v>0</v>
      </c>
      <c r="G18" s="3">
        <f>60+0-14+1</f>
        <v>47</v>
      </c>
      <c r="H18" s="2">
        <v>0</v>
      </c>
      <c r="I18" s="3">
        <f>70+0-24+1</f>
        <v>47</v>
      </c>
      <c r="J18" s="2">
        <v>0</v>
      </c>
      <c r="K18" s="3">
        <f>80+1-21+1</f>
        <v>61</v>
      </c>
      <c r="L18" s="2">
        <v>0</v>
      </c>
      <c r="M18" s="2">
        <v>0</v>
      </c>
      <c r="N18" s="3">
        <v>0</v>
      </c>
      <c r="O18" s="3">
        <f>100+0-12+1</f>
        <v>89</v>
      </c>
      <c r="P18" s="3">
        <f>70+0-19+1</f>
        <v>52</v>
      </c>
      <c r="Q18" s="13">
        <v>0</v>
      </c>
      <c r="R18" s="11">
        <f>SUM(Table1[[#This Row],[Минск
Indoor_]])</f>
        <v>45</v>
      </c>
      <c r="S18" s="11">
        <f>SUM(Table1[[#This Row],[Минск
Indoor_]],Table1[[#This Row],[Логойск
Зимний_]])</f>
        <v>45</v>
      </c>
      <c r="T18" s="11">
        <f>SUM(Table1[[#This Row],[Минск
Indoor_]:[Дрогичин
Дуатлон_]])</f>
        <v>45</v>
      </c>
      <c r="U18" s="11">
        <f>SUM(Table1[[#This Row],[Минск
Indoor_]:[Могилёв
Спринт_]])</f>
        <v>92</v>
      </c>
      <c r="V18" s="11">
        <f>SUM(Table1[[#This Row],[Минск
Indoor_]:[Лепель Кросс_]])</f>
        <v>92</v>
      </c>
      <c r="W18" s="11">
        <f>SUM(Table1[[#This Row],[Минск
Indoor_]:[Гомель Спринт_]])</f>
        <v>139</v>
      </c>
      <c r="X18" s="11">
        <f>SUM(Table1[[#This Row],[Минск
Indoor_]:[Заславль
Мульти_]])</f>
        <v>139</v>
      </c>
      <c r="Y18" s="11">
        <f>SUM(Table1[[#This Row],[Минск
Indoor_]:[Брест
Олимпик_]])</f>
        <v>200</v>
      </c>
      <c r="Z18" s="11">
        <f>SUM(Table1[[#This Row],[Минск
Indoor_]:[Святск Триатлон_]])</f>
        <v>200</v>
      </c>
      <c r="AA18" s="11">
        <f>SUM(Table1[[#This Row],[Минск
Indoor_]:[Минск
Триатлон_]])</f>
        <v>200</v>
      </c>
      <c r="AB18" s="11">
        <f>SUM(Table1[[#This Row],[Минск
Indoor_]:[Гомель Кросс_]])</f>
        <v>200</v>
      </c>
      <c r="AC18" s="11">
        <f>SUM(Table1[[#This Row],[Минск
Indoor_]:[Минск Полный_]])</f>
        <v>289</v>
      </c>
      <c r="AD18" s="11">
        <f>SUM(Table1[[#This Row],[Минск
Indoor_]:[Раубичи
Дуатлон_]])</f>
        <v>341</v>
      </c>
      <c r="AE18" s="17">
        <v>341</v>
      </c>
      <c r="AF18" s="17">
        <f>Table1[[#This Row],[Раубичи
Дуатлон]]-AE18</f>
        <v>0</v>
      </c>
    </row>
    <row r="19" spans="1:32" ht="12.75" hidden="1" customHeight="1" x14ac:dyDescent="0.2">
      <c r="A19" s="1" t="s">
        <v>38</v>
      </c>
      <c r="B19" s="15" t="s">
        <v>170</v>
      </c>
      <c r="C19" s="1" t="s">
        <v>17</v>
      </c>
      <c r="D19" s="2">
        <f>50+0-50+1</f>
        <v>1</v>
      </c>
      <c r="E19" s="3">
        <f>60+0-25+1</f>
        <v>36</v>
      </c>
      <c r="F19" s="3">
        <f>70+0-18+1</f>
        <v>53</v>
      </c>
      <c r="G19" s="2">
        <v>0</v>
      </c>
      <c r="H19" s="2">
        <v>0</v>
      </c>
      <c r="I19" s="3">
        <f>70+0-27+1</f>
        <v>44</v>
      </c>
      <c r="J19" s="3">
        <f>70+0-24+1</f>
        <v>47</v>
      </c>
      <c r="K19" s="3">
        <f>80+0-28+1</f>
        <v>53</v>
      </c>
      <c r="L19" s="2">
        <v>0</v>
      </c>
      <c r="M19" s="2">
        <f>90+0-58+1</f>
        <v>33</v>
      </c>
      <c r="N19" s="3">
        <v>48</v>
      </c>
      <c r="O19" s="2">
        <v>0</v>
      </c>
      <c r="P19" s="3">
        <v>18</v>
      </c>
      <c r="Q19" s="13">
        <v>0</v>
      </c>
      <c r="R19" s="11">
        <f>SUM(Table1[[#This Row],[Минск
Indoor_]])</f>
        <v>1</v>
      </c>
      <c r="S19" s="11">
        <f>SUM(Table1[[#This Row],[Минск
Indoor_]],Table1[[#This Row],[Логойск
Зимний_]])</f>
        <v>37</v>
      </c>
      <c r="T19" s="11">
        <f>SUM(Table1[[#This Row],[Минск
Indoor_]:[Дрогичин
Дуатлон_]])</f>
        <v>90</v>
      </c>
      <c r="U19" s="11">
        <f>SUM(Table1[[#This Row],[Минск
Indoor_]:[Могилёв
Спринт_]])</f>
        <v>90</v>
      </c>
      <c r="V19" s="11">
        <f>SUM(Table1[[#This Row],[Минск
Indoor_]:[Лепель Кросс_]])</f>
        <v>90</v>
      </c>
      <c r="W19" s="11">
        <f>SUM(Table1[[#This Row],[Минск
Indoor_]:[Гомель Спринт_]])</f>
        <v>134</v>
      </c>
      <c r="X19" s="11">
        <f>SUM(Table1[[#This Row],[Минск
Indoor_]:[Заславль
Мульти_]])</f>
        <v>181</v>
      </c>
      <c r="Y19" s="11">
        <f>SUM(Table1[[#This Row],[Минск
Indoor_]:[Брест
Олимпик_]])</f>
        <v>234</v>
      </c>
      <c r="Z19" s="11">
        <f>SUM(Table1[[#This Row],[Минск
Indoor_]:[Святск Триатлон_]])</f>
        <v>234</v>
      </c>
      <c r="AA19" s="11">
        <f>SUM(Table1[[#This Row],[Минск
Indoor_]:[Минск
Триатлон_]])</f>
        <v>267</v>
      </c>
      <c r="AB19" s="11">
        <f>SUM(Table1[[#This Row],[Минск
Indoor_]:[Гомель Кросс_]])</f>
        <v>315</v>
      </c>
      <c r="AC19" s="11">
        <f>SUM(Table1[[#This Row],[Минск
Indoor_]:[Минск Полный_]])</f>
        <v>315</v>
      </c>
      <c r="AD19" s="11">
        <f>SUM(Table1[[#This Row],[Минск
Indoor_]:[Раубичи
Дуатлон_]])</f>
        <v>333</v>
      </c>
      <c r="AE19" s="17">
        <v>333</v>
      </c>
      <c r="AF19" s="17">
        <f>Table1[[#This Row],[Раубичи
Дуатлон]]-AE19</f>
        <v>0</v>
      </c>
    </row>
    <row r="20" spans="1:32" ht="12.75" hidden="1" customHeight="1" x14ac:dyDescent="0.2">
      <c r="A20" s="1" t="s">
        <v>39</v>
      </c>
      <c r="B20" s="15" t="s">
        <v>170</v>
      </c>
      <c r="C20" s="1"/>
      <c r="D20" s="3">
        <f>50+0-8+1</f>
        <v>43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3">
        <f>80+1-11+1</f>
        <v>71</v>
      </c>
      <c r="L20" s="3">
        <f>80+1-8+1</f>
        <v>74</v>
      </c>
      <c r="M20" s="3">
        <f>90+0-12+1</f>
        <v>79</v>
      </c>
      <c r="N20" s="3">
        <v>0</v>
      </c>
      <c r="O20" s="3">
        <v>0</v>
      </c>
      <c r="P20" s="3">
        <f>70+0-12+1</f>
        <v>59</v>
      </c>
      <c r="Q20" s="13">
        <v>0</v>
      </c>
      <c r="R20" s="11">
        <f>SUM(Table1[[#This Row],[Минск
Indoor_]])</f>
        <v>43</v>
      </c>
      <c r="S20" s="11">
        <f>SUM(Table1[[#This Row],[Минск
Indoor_]],Table1[[#This Row],[Логойск
Зимний_]])</f>
        <v>43</v>
      </c>
      <c r="T20" s="11">
        <f>SUM(Table1[[#This Row],[Минск
Indoor_]:[Дрогичин
Дуатлон_]])</f>
        <v>43</v>
      </c>
      <c r="U20" s="11">
        <f>SUM(Table1[[#This Row],[Минск
Indoor_]:[Могилёв
Спринт_]])</f>
        <v>43</v>
      </c>
      <c r="V20" s="11">
        <f>SUM(Table1[[#This Row],[Минск
Indoor_]:[Лепель Кросс_]])</f>
        <v>43</v>
      </c>
      <c r="W20" s="11">
        <f>SUM(Table1[[#This Row],[Минск
Indoor_]:[Гомель Спринт_]])</f>
        <v>43</v>
      </c>
      <c r="X20" s="11">
        <f>SUM(Table1[[#This Row],[Минск
Indoor_]:[Заславль
Мульти_]])</f>
        <v>43</v>
      </c>
      <c r="Y20" s="11">
        <f>SUM(Table1[[#This Row],[Минск
Indoor_]:[Брест
Олимпик_]])</f>
        <v>114</v>
      </c>
      <c r="Z20" s="11">
        <f>SUM(Table1[[#This Row],[Минск
Indoor_]:[Святск Триатлон_]])</f>
        <v>188</v>
      </c>
      <c r="AA20" s="11">
        <f>SUM(Table1[[#This Row],[Минск
Indoor_]:[Минск
Триатлон_]])</f>
        <v>267</v>
      </c>
      <c r="AB20" s="11">
        <f>SUM(Table1[[#This Row],[Минск
Indoor_]:[Гомель Кросс_]])</f>
        <v>267</v>
      </c>
      <c r="AC20" s="11">
        <f>SUM(Table1[[#This Row],[Минск
Indoor_]:[Минск Полный_]])</f>
        <v>267</v>
      </c>
      <c r="AD20" s="11">
        <f>SUM(Table1[[#This Row],[Минск
Indoor_]:[Раубичи
Дуатлон_]])</f>
        <v>326</v>
      </c>
      <c r="AE20" s="17">
        <v>326</v>
      </c>
      <c r="AF20" s="17">
        <f>Table1[[#This Row],[Раубичи
Дуатлон]]-AE20</f>
        <v>0</v>
      </c>
    </row>
    <row r="21" spans="1:32" ht="12.75" hidden="1" customHeight="1" x14ac:dyDescent="0.2">
      <c r="A21" s="1" t="s">
        <v>40</v>
      </c>
      <c r="B21" s="15" t="s">
        <v>170</v>
      </c>
      <c r="C21" s="1" t="s">
        <v>41</v>
      </c>
      <c r="D21" s="2">
        <v>0</v>
      </c>
      <c r="E21" s="2">
        <v>0</v>
      </c>
      <c r="F21" s="3">
        <f>70+0-27+1</f>
        <v>44</v>
      </c>
      <c r="G21" s="3">
        <f>60+1-26+1</f>
        <v>36</v>
      </c>
      <c r="H21" s="3">
        <f>50+1-4+1</f>
        <v>48</v>
      </c>
      <c r="I21" s="3">
        <f>70+0-29+1</f>
        <v>42</v>
      </c>
      <c r="J21" s="2">
        <v>0</v>
      </c>
      <c r="K21" s="2">
        <v>0</v>
      </c>
      <c r="L21" s="2">
        <v>0</v>
      </c>
      <c r="M21" s="3">
        <f>80+0-29+1</f>
        <v>52</v>
      </c>
      <c r="N21" s="3">
        <f>60+0-12+1</f>
        <v>49</v>
      </c>
      <c r="O21" s="2">
        <v>0</v>
      </c>
      <c r="P21" s="3">
        <f>70+0-32+1</f>
        <v>39</v>
      </c>
      <c r="Q21" s="13">
        <v>0</v>
      </c>
      <c r="R21" s="11">
        <f>SUM(Table1[[#This Row],[Минск
Indoor_]])</f>
        <v>0</v>
      </c>
      <c r="S21" s="11">
        <f>SUM(Table1[[#This Row],[Минск
Indoor_]],Table1[[#This Row],[Логойск
Зимний_]])</f>
        <v>0</v>
      </c>
      <c r="T21" s="11">
        <f>SUM(Table1[[#This Row],[Минск
Indoor_]:[Дрогичин
Дуатлон_]])</f>
        <v>44</v>
      </c>
      <c r="U21" s="11">
        <f>SUM(Table1[[#This Row],[Минск
Indoor_]:[Могилёв
Спринт_]])</f>
        <v>80</v>
      </c>
      <c r="V21" s="11">
        <f>SUM(Table1[[#This Row],[Минск
Indoor_]:[Лепель Кросс_]])</f>
        <v>128</v>
      </c>
      <c r="W21" s="11">
        <f>SUM(Table1[[#This Row],[Минск
Indoor_]:[Гомель Спринт_]])</f>
        <v>170</v>
      </c>
      <c r="X21" s="11">
        <f>SUM(Table1[[#This Row],[Минск
Indoor_]:[Заславль
Мульти_]])</f>
        <v>170</v>
      </c>
      <c r="Y21" s="11">
        <f>SUM(Table1[[#This Row],[Минск
Indoor_]:[Брест
Олимпик_]])</f>
        <v>170</v>
      </c>
      <c r="Z21" s="11">
        <f>SUM(Table1[[#This Row],[Минск
Indoor_]:[Святск Триатлон_]])</f>
        <v>170</v>
      </c>
      <c r="AA21" s="11">
        <f>SUM(Table1[[#This Row],[Минск
Indoor_]:[Минск
Триатлон_]])</f>
        <v>222</v>
      </c>
      <c r="AB21" s="11">
        <f>SUM(Table1[[#This Row],[Минск
Indoor_]:[Гомель Кросс_]])</f>
        <v>271</v>
      </c>
      <c r="AC21" s="11">
        <f>SUM(Table1[[#This Row],[Минск
Indoor_]:[Минск Полный_]])</f>
        <v>271</v>
      </c>
      <c r="AD21" s="11">
        <f>SUM(Table1[[#This Row],[Минск
Indoor_]:[Раубичи
Дуатлон_]])</f>
        <v>310</v>
      </c>
      <c r="AE21" s="17">
        <v>310</v>
      </c>
      <c r="AF21" s="17">
        <f>Table1[[#This Row],[Раубичи
Дуатлон]]-AE21</f>
        <v>0</v>
      </c>
    </row>
    <row r="22" spans="1:32" ht="12.75" hidden="1" customHeight="1" x14ac:dyDescent="0.2">
      <c r="A22" s="1" t="s">
        <v>42</v>
      </c>
      <c r="B22" s="15" t="s">
        <v>170</v>
      </c>
      <c r="C22" s="1" t="s">
        <v>43</v>
      </c>
      <c r="D22" s="2">
        <v>0</v>
      </c>
      <c r="E22" s="3">
        <f>60+3-6+1</f>
        <v>58</v>
      </c>
      <c r="F22" s="2">
        <v>0</v>
      </c>
      <c r="G22" s="3">
        <f>60+1-7+1</f>
        <v>55</v>
      </c>
      <c r="H22" s="2">
        <v>0</v>
      </c>
      <c r="I22" s="3">
        <f>70+2-6+1</f>
        <v>67</v>
      </c>
      <c r="J22" s="3">
        <f>70+0-8+1</f>
        <v>63</v>
      </c>
      <c r="K22" s="2">
        <v>0</v>
      </c>
      <c r="L22" s="2">
        <v>0</v>
      </c>
      <c r="M22" s="2">
        <v>0</v>
      </c>
      <c r="N22" s="3">
        <v>0</v>
      </c>
      <c r="O22" s="3">
        <v>0</v>
      </c>
      <c r="P22" s="3">
        <f>70+0-17+1</f>
        <v>54</v>
      </c>
      <c r="Q22" s="13">
        <v>0</v>
      </c>
      <c r="R22" s="11">
        <f>SUM(Table1[[#This Row],[Минск
Indoor_]])</f>
        <v>0</v>
      </c>
      <c r="S22" s="11">
        <f>SUM(Table1[[#This Row],[Минск
Indoor_]],Table1[[#This Row],[Логойск
Зимний_]])</f>
        <v>58</v>
      </c>
      <c r="T22" s="11">
        <f>SUM(Table1[[#This Row],[Минск
Indoor_]:[Дрогичин
Дуатлон_]])</f>
        <v>58</v>
      </c>
      <c r="U22" s="11">
        <f>SUM(Table1[[#This Row],[Минск
Indoor_]:[Могилёв
Спринт_]])</f>
        <v>113</v>
      </c>
      <c r="V22" s="11">
        <f>SUM(Table1[[#This Row],[Минск
Indoor_]:[Лепель Кросс_]])</f>
        <v>113</v>
      </c>
      <c r="W22" s="11">
        <f>SUM(Table1[[#This Row],[Минск
Indoor_]:[Гомель Спринт_]])</f>
        <v>180</v>
      </c>
      <c r="X22" s="11">
        <f>SUM(Table1[[#This Row],[Минск
Indoor_]:[Заславль
Мульти_]])</f>
        <v>243</v>
      </c>
      <c r="Y22" s="11">
        <f>SUM(Table1[[#This Row],[Минск
Indoor_]:[Брест
Олимпик_]])</f>
        <v>243</v>
      </c>
      <c r="Z22" s="11">
        <f>SUM(Table1[[#This Row],[Минск
Indoor_]:[Святск Триатлон_]])</f>
        <v>243</v>
      </c>
      <c r="AA22" s="11">
        <f>SUM(Table1[[#This Row],[Минск
Indoor_]:[Минск
Триатлон_]])</f>
        <v>243</v>
      </c>
      <c r="AB22" s="11">
        <f>SUM(Table1[[#This Row],[Минск
Indoor_]:[Гомель Кросс_]])</f>
        <v>243</v>
      </c>
      <c r="AC22" s="11">
        <f>SUM(Table1[[#This Row],[Минск
Indoor_]:[Минск Полный_]])</f>
        <v>243</v>
      </c>
      <c r="AD22" s="11">
        <f>SUM(Table1[[#This Row],[Минск
Indoor_]:[Раубичи
Дуатлон_]])</f>
        <v>297</v>
      </c>
      <c r="AE22" s="17">
        <v>297</v>
      </c>
      <c r="AF22" s="17">
        <f>Table1[[#This Row],[Раубичи
Дуатлон]]-AE22</f>
        <v>0</v>
      </c>
    </row>
    <row r="23" spans="1:32" ht="12.75" hidden="1" customHeight="1" x14ac:dyDescent="0.2">
      <c r="A23" s="1" t="s">
        <v>44</v>
      </c>
      <c r="B23" s="15" t="s">
        <v>170</v>
      </c>
      <c r="C23" s="1"/>
      <c r="D23" s="3">
        <f>50+0-12+1</f>
        <v>39</v>
      </c>
      <c r="E23" s="2">
        <v>0</v>
      </c>
      <c r="F23" s="3">
        <f>70+1-11+1</f>
        <v>61</v>
      </c>
      <c r="G23" s="3">
        <f>60+0-20+1</f>
        <v>41</v>
      </c>
      <c r="H23" s="2">
        <v>0</v>
      </c>
      <c r="I23" s="2">
        <v>0</v>
      </c>
      <c r="J23" s="2">
        <v>0</v>
      </c>
      <c r="K23" s="3">
        <f>80+0-23+1</f>
        <v>58</v>
      </c>
      <c r="L23" s="2">
        <v>0</v>
      </c>
      <c r="M23" s="3">
        <f>90+0-42+1</f>
        <v>49</v>
      </c>
      <c r="N23" s="2">
        <v>0</v>
      </c>
      <c r="O23" s="3">
        <v>0</v>
      </c>
      <c r="P23" s="3">
        <f>70+0-25+1</f>
        <v>46</v>
      </c>
      <c r="Q23" s="13">
        <v>0</v>
      </c>
      <c r="R23" s="11">
        <f>SUM(Table1[[#This Row],[Минск
Indoor_]])</f>
        <v>39</v>
      </c>
      <c r="S23" s="11">
        <f>SUM(Table1[[#This Row],[Минск
Indoor_]],Table1[[#This Row],[Логойск
Зимний_]])</f>
        <v>39</v>
      </c>
      <c r="T23" s="11">
        <f>SUM(Table1[[#This Row],[Минск
Indoor_]:[Дрогичин
Дуатлон_]])</f>
        <v>100</v>
      </c>
      <c r="U23" s="11">
        <f>SUM(Table1[[#This Row],[Минск
Indoor_]:[Могилёв
Спринт_]])</f>
        <v>141</v>
      </c>
      <c r="V23" s="11">
        <f>SUM(Table1[[#This Row],[Минск
Indoor_]:[Лепель Кросс_]])</f>
        <v>141</v>
      </c>
      <c r="W23" s="11">
        <f>SUM(Table1[[#This Row],[Минск
Indoor_]:[Гомель Спринт_]])</f>
        <v>141</v>
      </c>
      <c r="X23" s="11">
        <f>SUM(Table1[[#This Row],[Минск
Indoor_]:[Заславль
Мульти_]])</f>
        <v>141</v>
      </c>
      <c r="Y23" s="11">
        <f>SUM(Table1[[#This Row],[Минск
Indoor_]:[Брест
Олимпик_]])</f>
        <v>199</v>
      </c>
      <c r="Z23" s="11">
        <f>SUM(Table1[[#This Row],[Минск
Indoor_]:[Святск Триатлон_]])</f>
        <v>199</v>
      </c>
      <c r="AA23" s="11">
        <f>SUM(Table1[[#This Row],[Минск
Indoor_]:[Минск
Триатлон_]])</f>
        <v>248</v>
      </c>
      <c r="AB23" s="11">
        <f>SUM(Table1[[#This Row],[Минск
Indoor_]:[Гомель Кросс_]])</f>
        <v>248</v>
      </c>
      <c r="AC23" s="11">
        <f>SUM(Table1[[#This Row],[Минск
Indoor_]:[Минск Полный_]])</f>
        <v>248</v>
      </c>
      <c r="AD23" s="11">
        <f>SUM(Table1[[#This Row],[Минск
Indoor_]:[Раубичи
Дуатлон_]])</f>
        <v>294</v>
      </c>
      <c r="AE23" s="17">
        <v>294</v>
      </c>
      <c r="AF23" s="17">
        <f>Table1[[#This Row],[Раубичи
Дуатлон]]-AE23</f>
        <v>0</v>
      </c>
    </row>
    <row r="24" spans="1:32" ht="12.75" hidden="1" customHeight="1" x14ac:dyDescent="0.2">
      <c r="A24" s="1" t="s">
        <v>45</v>
      </c>
      <c r="B24" s="15" t="s">
        <v>170</v>
      </c>
      <c r="C24" s="1" t="s">
        <v>46</v>
      </c>
      <c r="D24" s="3">
        <f>50+0-31+1</f>
        <v>20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3">
        <f>70+0-15+1</f>
        <v>56</v>
      </c>
      <c r="K24" s="2">
        <v>0</v>
      </c>
      <c r="L24" s="3">
        <v>0</v>
      </c>
      <c r="M24" s="3">
        <f>90+0-25+1</f>
        <v>66</v>
      </c>
      <c r="N24" s="3">
        <v>0</v>
      </c>
      <c r="O24" s="3">
        <f>100+1-5+1</f>
        <v>97</v>
      </c>
      <c r="P24" s="3">
        <f>70+0-21+1</f>
        <v>50</v>
      </c>
      <c r="Q24" s="13">
        <v>0</v>
      </c>
      <c r="R24" s="11">
        <f>SUM(Table1[[#This Row],[Минск
Indoor_]])</f>
        <v>20</v>
      </c>
      <c r="S24" s="11">
        <f>SUM(Table1[[#This Row],[Минск
Indoor_]],Table1[[#This Row],[Логойск
Зимний_]])</f>
        <v>20</v>
      </c>
      <c r="T24" s="11">
        <f>SUM(Table1[[#This Row],[Минск
Indoor_]:[Дрогичин
Дуатлон_]])</f>
        <v>20</v>
      </c>
      <c r="U24" s="11">
        <f>SUM(Table1[[#This Row],[Минск
Indoor_]:[Могилёв
Спринт_]])</f>
        <v>20</v>
      </c>
      <c r="V24" s="11">
        <f>SUM(Table1[[#This Row],[Минск
Indoor_]:[Лепель Кросс_]])</f>
        <v>20</v>
      </c>
      <c r="W24" s="11">
        <f>SUM(Table1[[#This Row],[Минск
Indoor_]:[Гомель Спринт_]])</f>
        <v>20</v>
      </c>
      <c r="X24" s="11">
        <f>SUM(Table1[[#This Row],[Минск
Indoor_]:[Заславль
Мульти_]])</f>
        <v>76</v>
      </c>
      <c r="Y24" s="11">
        <f>SUM(Table1[[#This Row],[Минск
Indoor_]:[Брест
Олимпик_]])</f>
        <v>76</v>
      </c>
      <c r="Z24" s="11">
        <f>SUM(Table1[[#This Row],[Минск
Indoor_]:[Святск Триатлон_]])</f>
        <v>76</v>
      </c>
      <c r="AA24" s="11">
        <f>SUM(Table1[[#This Row],[Минск
Indoor_]:[Минск
Триатлон_]])</f>
        <v>142</v>
      </c>
      <c r="AB24" s="11">
        <f>SUM(Table1[[#This Row],[Минск
Indoor_]:[Гомель Кросс_]])</f>
        <v>142</v>
      </c>
      <c r="AC24" s="11">
        <f>SUM(Table1[[#This Row],[Минск
Indoor_]:[Минск Полный_]])</f>
        <v>239</v>
      </c>
      <c r="AD24" s="11">
        <f>SUM(Table1[[#This Row],[Минск
Indoor_]:[Раубичи
Дуатлон_]])</f>
        <v>289</v>
      </c>
      <c r="AE24" s="17">
        <v>289</v>
      </c>
      <c r="AF24" s="17">
        <f>Table1[[#This Row],[Раубичи
Дуатлон]]-AE24</f>
        <v>0</v>
      </c>
    </row>
    <row r="25" spans="1:32" ht="12.75" hidden="1" customHeight="1" x14ac:dyDescent="0.2">
      <c r="A25" s="1" t="s">
        <v>47</v>
      </c>
      <c r="B25" s="15" t="s">
        <v>170</v>
      </c>
      <c r="C25" s="1"/>
      <c r="D25" s="3">
        <f>50+0-5+1</f>
        <v>46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3">
        <f>80+1-13+1</f>
        <v>69</v>
      </c>
      <c r="L25" s="3">
        <f>80+3-4+1</f>
        <v>80</v>
      </c>
      <c r="M25" s="3">
        <f>90+0-7+1</f>
        <v>84</v>
      </c>
      <c r="N25" s="3">
        <v>0</v>
      </c>
      <c r="O25" s="3">
        <v>0</v>
      </c>
      <c r="P25" s="3">
        <v>0</v>
      </c>
      <c r="Q25" s="13">
        <v>0</v>
      </c>
      <c r="R25" s="11">
        <f>SUM(Table1[[#This Row],[Минск
Indoor_]])</f>
        <v>46</v>
      </c>
      <c r="S25" s="11">
        <f>SUM(Table1[[#This Row],[Минск
Indoor_]],Table1[[#This Row],[Логойск
Зимний_]])</f>
        <v>46</v>
      </c>
      <c r="T25" s="11">
        <f>SUM(Table1[[#This Row],[Минск
Indoor_]:[Дрогичин
Дуатлон_]])</f>
        <v>46</v>
      </c>
      <c r="U25" s="11">
        <f>SUM(Table1[[#This Row],[Минск
Indoor_]:[Могилёв
Спринт_]])</f>
        <v>46</v>
      </c>
      <c r="V25" s="11">
        <f>SUM(Table1[[#This Row],[Минск
Indoor_]:[Лепель Кросс_]])</f>
        <v>46</v>
      </c>
      <c r="W25" s="11">
        <f>SUM(Table1[[#This Row],[Минск
Indoor_]:[Гомель Спринт_]])</f>
        <v>46</v>
      </c>
      <c r="X25" s="11">
        <f>SUM(Table1[[#This Row],[Минск
Indoor_]:[Заславль
Мульти_]])</f>
        <v>46</v>
      </c>
      <c r="Y25" s="11">
        <f>SUM(Table1[[#This Row],[Минск
Indoor_]:[Брест
Олимпик_]])</f>
        <v>115</v>
      </c>
      <c r="Z25" s="11">
        <f>SUM(Table1[[#This Row],[Минск
Indoor_]:[Святск Триатлон_]])</f>
        <v>195</v>
      </c>
      <c r="AA25" s="11">
        <f>SUM(Table1[[#This Row],[Минск
Indoor_]:[Минск
Триатлон_]])</f>
        <v>279</v>
      </c>
      <c r="AB25" s="11">
        <f>SUM(Table1[[#This Row],[Минск
Indoor_]:[Гомель Кросс_]])</f>
        <v>279</v>
      </c>
      <c r="AC25" s="11">
        <f>SUM(Table1[[#This Row],[Минск
Indoor_]:[Минск Полный_]])</f>
        <v>279</v>
      </c>
      <c r="AD25" s="11">
        <f>SUM(Table1[[#This Row],[Минск
Indoor_]:[Раубичи
Дуатлон_]])</f>
        <v>279</v>
      </c>
      <c r="AE25" s="17">
        <v>279</v>
      </c>
      <c r="AF25" s="17">
        <f>Table1[[#This Row],[Раубичи
Дуатлон]]-AE25</f>
        <v>0</v>
      </c>
    </row>
    <row r="26" spans="1:32" ht="12.75" hidden="1" customHeight="1" x14ac:dyDescent="0.2">
      <c r="A26" s="1" t="s">
        <v>48</v>
      </c>
      <c r="B26" s="15" t="s">
        <v>170</v>
      </c>
      <c r="C26" s="1" t="s">
        <v>49</v>
      </c>
      <c r="D26" s="3">
        <f>50+0-29+1</f>
        <v>22</v>
      </c>
      <c r="E26" s="2">
        <v>0</v>
      </c>
      <c r="F26" s="3">
        <f>70+0-8+1</f>
        <v>63</v>
      </c>
      <c r="G26" s="3">
        <f>60+0-25+1</f>
        <v>36</v>
      </c>
      <c r="H26" s="2">
        <v>0</v>
      </c>
      <c r="I26" s="3">
        <f>70+0-33+1</f>
        <v>38</v>
      </c>
      <c r="J26" s="2">
        <v>0</v>
      </c>
      <c r="K26" s="3">
        <f>80+0-20+1</f>
        <v>61</v>
      </c>
      <c r="L26" s="2">
        <v>0</v>
      </c>
      <c r="M26" s="3">
        <f>90+0-43+1</f>
        <v>48</v>
      </c>
      <c r="N26" s="2">
        <v>0</v>
      </c>
      <c r="O26" s="2">
        <v>0</v>
      </c>
      <c r="P26" s="3">
        <v>0</v>
      </c>
      <c r="Q26" s="13">
        <v>0</v>
      </c>
      <c r="R26" s="11">
        <f>SUM(Table1[[#This Row],[Минск
Indoor_]])</f>
        <v>22</v>
      </c>
      <c r="S26" s="11">
        <f>SUM(Table1[[#This Row],[Минск
Indoor_]],Table1[[#This Row],[Логойск
Зимний_]])</f>
        <v>22</v>
      </c>
      <c r="T26" s="11">
        <f>SUM(Table1[[#This Row],[Минск
Indoor_]:[Дрогичин
Дуатлон_]])</f>
        <v>85</v>
      </c>
      <c r="U26" s="11">
        <f>SUM(Table1[[#This Row],[Минск
Indoor_]:[Могилёв
Спринт_]])</f>
        <v>121</v>
      </c>
      <c r="V26" s="11">
        <f>SUM(Table1[[#This Row],[Минск
Indoor_]:[Лепель Кросс_]])</f>
        <v>121</v>
      </c>
      <c r="W26" s="11">
        <f>SUM(Table1[[#This Row],[Минск
Indoor_]:[Гомель Спринт_]])</f>
        <v>159</v>
      </c>
      <c r="X26" s="11">
        <f>SUM(Table1[[#This Row],[Минск
Indoor_]:[Заславль
Мульти_]])</f>
        <v>159</v>
      </c>
      <c r="Y26" s="11">
        <f>SUM(Table1[[#This Row],[Минск
Indoor_]:[Брест
Олимпик_]])</f>
        <v>220</v>
      </c>
      <c r="Z26" s="11">
        <f>SUM(Table1[[#This Row],[Минск
Indoor_]:[Святск Триатлон_]])</f>
        <v>220</v>
      </c>
      <c r="AA26" s="11">
        <f>SUM(Table1[[#This Row],[Минск
Indoor_]:[Минск
Триатлон_]])</f>
        <v>268</v>
      </c>
      <c r="AB26" s="11">
        <f>SUM(Table1[[#This Row],[Минск
Indoor_]:[Гомель Кросс_]])</f>
        <v>268</v>
      </c>
      <c r="AC26" s="11">
        <f>SUM(Table1[[#This Row],[Минск
Indoor_]:[Минск Полный_]])</f>
        <v>268</v>
      </c>
      <c r="AD26" s="11">
        <f>SUM(Table1[[#This Row],[Минск
Indoor_]:[Раубичи
Дуатлон_]])</f>
        <v>268</v>
      </c>
      <c r="AE26" s="17">
        <v>268</v>
      </c>
      <c r="AF26" s="17">
        <f>Table1[[#This Row],[Раубичи
Дуатлон]]-AE26</f>
        <v>0</v>
      </c>
    </row>
    <row r="27" spans="1:32" ht="12.75" hidden="1" customHeight="1" x14ac:dyDescent="0.2">
      <c r="A27" s="1" t="s">
        <v>50</v>
      </c>
      <c r="B27" s="15" t="s">
        <v>170</v>
      </c>
      <c r="C27" s="1" t="s">
        <v>51</v>
      </c>
      <c r="D27" s="2">
        <v>0</v>
      </c>
      <c r="E27" s="2">
        <v>0</v>
      </c>
      <c r="F27" s="2">
        <v>0</v>
      </c>
      <c r="G27" s="3">
        <f>60+0-13+1</f>
        <v>48</v>
      </c>
      <c r="H27" s="2">
        <v>0</v>
      </c>
      <c r="I27" s="3">
        <f>70+0-16+1</f>
        <v>55</v>
      </c>
      <c r="J27" s="2">
        <v>0</v>
      </c>
      <c r="K27" s="3">
        <f>80+0-14+1</f>
        <v>67</v>
      </c>
      <c r="L27" s="2">
        <v>0</v>
      </c>
      <c r="M27" s="3">
        <f>90+0-50+1</f>
        <v>41</v>
      </c>
      <c r="N27" s="3">
        <v>0</v>
      </c>
      <c r="O27" s="3">
        <v>0</v>
      </c>
      <c r="P27" s="3">
        <f>70+0-16+1</f>
        <v>55</v>
      </c>
      <c r="Q27" s="13">
        <v>0</v>
      </c>
      <c r="R27" s="11">
        <f>SUM(Table1[[#This Row],[Минск
Indoor_]])</f>
        <v>0</v>
      </c>
      <c r="S27" s="11">
        <f>SUM(Table1[[#This Row],[Минск
Indoor_]],Table1[[#This Row],[Логойск
Зимний_]])</f>
        <v>0</v>
      </c>
      <c r="T27" s="11">
        <f>SUM(Table1[[#This Row],[Минск
Indoor_]:[Дрогичин
Дуатлон_]])</f>
        <v>0</v>
      </c>
      <c r="U27" s="11">
        <f>SUM(Table1[[#This Row],[Минск
Indoor_]:[Могилёв
Спринт_]])</f>
        <v>48</v>
      </c>
      <c r="V27" s="11">
        <f>SUM(Table1[[#This Row],[Минск
Indoor_]:[Лепель Кросс_]])</f>
        <v>48</v>
      </c>
      <c r="W27" s="11">
        <f>SUM(Table1[[#This Row],[Минск
Indoor_]:[Гомель Спринт_]])</f>
        <v>103</v>
      </c>
      <c r="X27" s="11">
        <f>SUM(Table1[[#This Row],[Минск
Indoor_]:[Заславль
Мульти_]])</f>
        <v>103</v>
      </c>
      <c r="Y27" s="11">
        <f>SUM(Table1[[#This Row],[Минск
Indoor_]:[Брест
Олимпик_]])</f>
        <v>170</v>
      </c>
      <c r="Z27" s="11">
        <f>SUM(Table1[[#This Row],[Минск
Indoor_]:[Святск Триатлон_]])</f>
        <v>170</v>
      </c>
      <c r="AA27" s="11">
        <f>SUM(Table1[[#This Row],[Минск
Indoor_]:[Минск
Триатлон_]])</f>
        <v>211</v>
      </c>
      <c r="AB27" s="11">
        <f>SUM(Table1[[#This Row],[Минск
Indoor_]:[Гомель Кросс_]])</f>
        <v>211</v>
      </c>
      <c r="AC27" s="11">
        <f>SUM(Table1[[#This Row],[Минск
Indoor_]:[Минск Полный_]])</f>
        <v>211</v>
      </c>
      <c r="AD27" s="11">
        <f>SUM(Table1[[#This Row],[Минск
Indoor_]:[Раубичи
Дуатлон_]])</f>
        <v>266</v>
      </c>
      <c r="AE27" s="17">
        <v>266</v>
      </c>
      <c r="AF27" s="17">
        <f>Table1[[#This Row],[Раубичи
Дуатлон]]-AE27</f>
        <v>0</v>
      </c>
    </row>
    <row r="28" spans="1:32" ht="12.75" hidden="1" customHeight="1" x14ac:dyDescent="0.2">
      <c r="A28" s="1" t="s">
        <v>52</v>
      </c>
      <c r="B28" s="15" t="s">
        <v>170</v>
      </c>
      <c r="C28" s="1" t="s">
        <v>17</v>
      </c>
      <c r="D28" s="3">
        <f>50+0-35+1</f>
        <v>16</v>
      </c>
      <c r="E28" s="2">
        <v>0</v>
      </c>
      <c r="F28" s="2">
        <v>0</v>
      </c>
      <c r="G28" s="2">
        <v>0</v>
      </c>
      <c r="H28" s="2">
        <v>0</v>
      </c>
      <c r="I28" s="3">
        <f>70+0-39+1</f>
        <v>32</v>
      </c>
      <c r="J28" s="2">
        <v>0</v>
      </c>
      <c r="K28" s="3">
        <f>80+0-34+1</f>
        <v>47</v>
      </c>
      <c r="L28" s="3">
        <f>70+3-6+1</f>
        <v>68</v>
      </c>
      <c r="M28" s="3">
        <f>70+0-15+1</f>
        <v>56</v>
      </c>
      <c r="N28" s="2">
        <v>0</v>
      </c>
      <c r="O28" s="3">
        <v>0</v>
      </c>
      <c r="P28" s="3">
        <f>70+0-35+1</f>
        <v>36</v>
      </c>
      <c r="Q28" s="13">
        <v>0</v>
      </c>
      <c r="R28" s="11">
        <f>SUM(Table1[[#This Row],[Минск
Indoor_]])</f>
        <v>16</v>
      </c>
      <c r="S28" s="11">
        <f>SUM(Table1[[#This Row],[Минск
Indoor_]],Table1[[#This Row],[Логойск
Зимний_]])</f>
        <v>16</v>
      </c>
      <c r="T28" s="11">
        <f>SUM(Table1[[#This Row],[Минск
Indoor_]:[Дрогичин
Дуатлон_]])</f>
        <v>16</v>
      </c>
      <c r="U28" s="11">
        <f>SUM(Table1[[#This Row],[Минск
Indoor_]:[Могилёв
Спринт_]])</f>
        <v>16</v>
      </c>
      <c r="V28" s="11">
        <f>SUM(Table1[[#This Row],[Минск
Indoor_]:[Лепель Кросс_]])</f>
        <v>16</v>
      </c>
      <c r="W28" s="11">
        <f>SUM(Table1[[#This Row],[Минск
Indoor_]:[Гомель Спринт_]])</f>
        <v>48</v>
      </c>
      <c r="X28" s="11">
        <f>SUM(Table1[[#This Row],[Минск
Indoor_]:[Заславль
Мульти_]])</f>
        <v>48</v>
      </c>
      <c r="Y28" s="11">
        <f>SUM(Table1[[#This Row],[Минск
Indoor_]:[Брест
Олимпик_]])</f>
        <v>95</v>
      </c>
      <c r="Z28" s="11">
        <f>SUM(Table1[[#This Row],[Минск
Indoor_]:[Святск Триатлон_]])</f>
        <v>163</v>
      </c>
      <c r="AA28" s="11">
        <f>SUM(Table1[[#This Row],[Минск
Indoor_]:[Минск
Триатлон_]])</f>
        <v>219</v>
      </c>
      <c r="AB28" s="11">
        <f>SUM(Table1[[#This Row],[Минск
Indoor_]:[Гомель Кросс_]])</f>
        <v>219</v>
      </c>
      <c r="AC28" s="11">
        <f>SUM(Table1[[#This Row],[Минск
Indoor_]:[Минск Полный_]])</f>
        <v>219</v>
      </c>
      <c r="AD28" s="11">
        <f>SUM(Table1[[#This Row],[Минск
Indoor_]:[Раубичи
Дуатлон_]])</f>
        <v>255</v>
      </c>
      <c r="AE28" s="17">
        <v>255</v>
      </c>
      <c r="AF28" s="17">
        <f>Table1[[#This Row],[Раубичи
Дуатлон]]-AE28</f>
        <v>0</v>
      </c>
    </row>
    <row r="29" spans="1:32" ht="12.75" hidden="1" customHeight="1" x14ac:dyDescent="0.2">
      <c r="A29" s="1" t="s">
        <v>53</v>
      </c>
      <c r="B29" s="15" t="s">
        <v>170</v>
      </c>
      <c r="C29" s="1" t="s">
        <v>23</v>
      </c>
      <c r="D29" s="2">
        <v>0</v>
      </c>
      <c r="E29" s="2">
        <v>0</v>
      </c>
      <c r="F29" s="2">
        <v>0</v>
      </c>
      <c r="G29" s="2">
        <v>0</v>
      </c>
      <c r="H29" s="3">
        <f>70+0-10+1</f>
        <v>61</v>
      </c>
      <c r="I29" s="3">
        <f>70+0-18+1</f>
        <v>53</v>
      </c>
      <c r="J29" s="2">
        <v>0</v>
      </c>
      <c r="K29" s="2">
        <v>0</v>
      </c>
      <c r="L29" s="3">
        <v>0</v>
      </c>
      <c r="M29" s="3">
        <f>70+1-10+1</f>
        <v>62</v>
      </c>
      <c r="N29" s="3">
        <f>60+3-3+1</f>
        <v>61</v>
      </c>
      <c r="O29" s="3">
        <v>0</v>
      </c>
      <c r="P29" s="3">
        <v>0</v>
      </c>
      <c r="Q29" s="13">
        <v>0</v>
      </c>
      <c r="R29" s="11">
        <f>SUM(Table1[[#This Row],[Минск
Indoor_]])</f>
        <v>0</v>
      </c>
      <c r="S29" s="11">
        <f>SUM(Table1[[#This Row],[Минск
Indoor_]],Table1[[#This Row],[Логойск
Зимний_]])</f>
        <v>0</v>
      </c>
      <c r="T29" s="11">
        <f>SUM(Table1[[#This Row],[Минск
Indoor_]:[Дрогичин
Дуатлон_]])</f>
        <v>0</v>
      </c>
      <c r="U29" s="11">
        <f>SUM(Table1[[#This Row],[Минск
Indoor_]:[Могилёв
Спринт_]])</f>
        <v>0</v>
      </c>
      <c r="V29" s="11">
        <f>SUM(Table1[[#This Row],[Минск
Indoor_]:[Лепель Кросс_]])</f>
        <v>61</v>
      </c>
      <c r="W29" s="11">
        <f>SUM(Table1[[#This Row],[Минск
Indoor_]:[Гомель Спринт_]])</f>
        <v>114</v>
      </c>
      <c r="X29" s="11">
        <f>SUM(Table1[[#This Row],[Минск
Indoor_]:[Заславль
Мульти_]])</f>
        <v>114</v>
      </c>
      <c r="Y29" s="11">
        <f>SUM(Table1[[#This Row],[Минск
Indoor_]:[Брест
Олимпик_]])</f>
        <v>114</v>
      </c>
      <c r="Z29" s="11">
        <f>SUM(Table1[[#This Row],[Минск
Indoor_]:[Святск Триатлон_]])</f>
        <v>114</v>
      </c>
      <c r="AA29" s="11">
        <f>SUM(Table1[[#This Row],[Минск
Indoor_]:[Минск
Триатлон_]])</f>
        <v>176</v>
      </c>
      <c r="AB29" s="11">
        <f>SUM(Table1[[#This Row],[Минск
Indoor_]:[Гомель Кросс_]])</f>
        <v>237</v>
      </c>
      <c r="AC29" s="11">
        <f>SUM(Table1[[#This Row],[Минск
Indoor_]:[Минск Полный_]])</f>
        <v>237</v>
      </c>
      <c r="AD29" s="11">
        <f>SUM(Table1[[#This Row],[Минск
Indoor_]:[Раубичи
Дуатлон_]])</f>
        <v>237</v>
      </c>
      <c r="AE29" s="17">
        <v>237</v>
      </c>
      <c r="AF29" s="17">
        <f>Table1[[#This Row],[Раубичи
Дуатлон]]-AE29</f>
        <v>0</v>
      </c>
    </row>
    <row r="30" spans="1:32" ht="12.75" hidden="1" customHeight="1" x14ac:dyDescent="0.2">
      <c r="A30" s="1" t="s">
        <v>54</v>
      </c>
      <c r="B30" s="15" t="s">
        <v>170</v>
      </c>
      <c r="C30" s="1" t="s">
        <v>17</v>
      </c>
      <c r="D30" s="2">
        <f>50+0-50+1</f>
        <v>1</v>
      </c>
      <c r="E30" s="3">
        <f>60+0-37+1</f>
        <v>24</v>
      </c>
      <c r="F30" s="2">
        <v>0</v>
      </c>
      <c r="G30" s="3">
        <f>60+0-43+1</f>
        <v>18</v>
      </c>
      <c r="H30" s="2">
        <v>0</v>
      </c>
      <c r="I30" s="3">
        <f>70+0-47+1</f>
        <v>24</v>
      </c>
      <c r="J30" s="2">
        <v>0</v>
      </c>
      <c r="K30" s="3">
        <f>80+0-56+1</f>
        <v>25</v>
      </c>
      <c r="L30" s="3">
        <f>70+1-12+1</f>
        <v>60</v>
      </c>
      <c r="M30" s="2">
        <f>80+0-66+1</f>
        <v>15</v>
      </c>
      <c r="N30" s="3">
        <v>40</v>
      </c>
      <c r="O30" s="2">
        <v>0</v>
      </c>
      <c r="P30" s="3">
        <v>14</v>
      </c>
      <c r="Q30" s="13">
        <v>0</v>
      </c>
      <c r="R30" s="11">
        <f>SUM(Table1[[#This Row],[Минск
Indoor_]])</f>
        <v>1</v>
      </c>
      <c r="S30" s="11">
        <f>SUM(Table1[[#This Row],[Минск
Indoor_]],Table1[[#This Row],[Логойск
Зимний_]])</f>
        <v>25</v>
      </c>
      <c r="T30" s="11">
        <f>SUM(Table1[[#This Row],[Минск
Indoor_]:[Дрогичин
Дуатлон_]])</f>
        <v>25</v>
      </c>
      <c r="U30" s="11">
        <f>SUM(Table1[[#This Row],[Минск
Indoor_]:[Могилёв
Спринт_]])</f>
        <v>43</v>
      </c>
      <c r="V30" s="11">
        <f>SUM(Table1[[#This Row],[Минск
Indoor_]:[Лепель Кросс_]])</f>
        <v>43</v>
      </c>
      <c r="W30" s="11">
        <f>SUM(Table1[[#This Row],[Минск
Indoor_]:[Гомель Спринт_]])</f>
        <v>67</v>
      </c>
      <c r="X30" s="11">
        <f>SUM(Table1[[#This Row],[Минск
Indoor_]:[Заславль
Мульти_]])</f>
        <v>67</v>
      </c>
      <c r="Y30" s="11">
        <f>SUM(Table1[[#This Row],[Минск
Indoor_]:[Брест
Олимпик_]])</f>
        <v>92</v>
      </c>
      <c r="Z30" s="11">
        <f>SUM(Table1[[#This Row],[Минск
Indoor_]:[Святск Триатлон_]])</f>
        <v>152</v>
      </c>
      <c r="AA30" s="11">
        <f>SUM(Table1[[#This Row],[Минск
Indoor_]:[Минск
Триатлон_]])</f>
        <v>167</v>
      </c>
      <c r="AB30" s="11">
        <f>SUM(Table1[[#This Row],[Минск
Indoor_]:[Гомель Кросс_]])</f>
        <v>207</v>
      </c>
      <c r="AC30" s="11">
        <f>SUM(Table1[[#This Row],[Минск
Indoor_]:[Минск Полный_]])</f>
        <v>207</v>
      </c>
      <c r="AD30" s="11">
        <f>SUM(Table1[[#This Row],[Минск
Indoor_]:[Раубичи
Дуатлон_]])</f>
        <v>221</v>
      </c>
      <c r="AE30" s="17">
        <v>221</v>
      </c>
      <c r="AF30" s="17">
        <f>Table1[[#This Row],[Раубичи
Дуатлон]]-AE30</f>
        <v>0</v>
      </c>
    </row>
    <row r="31" spans="1:32" ht="12.75" hidden="1" customHeight="1" x14ac:dyDescent="0.2">
      <c r="A31" s="1" t="s">
        <v>55</v>
      </c>
      <c r="B31" s="15" t="s">
        <v>170</v>
      </c>
      <c r="C31" s="1" t="s">
        <v>17</v>
      </c>
      <c r="D31" s="3">
        <f>50+0-23+1</f>
        <v>28</v>
      </c>
      <c r="E31" s="2">
        <v>0</v>
      </c>
      <c r="F31" s="2">
        <v>0</v>
      </c>
      <c r="G31" s="3">
        <f>60+0-29+1</f>
        <v>32</v>
      </c>
      <c r="H31" s="2">
        <v>0</v>
      </c>
      <c r="I31" s="3">
        <f>70+0-37+1</f>
        <v>34</v>
      </c>
      <c r="J31" s="2">
        <v>0</v>
      </c>
      <c r="K31" s="3">
        <f>80+3-22+1</f>
        <v>62</v>
      </c>
      <c r="L31" s="2">
        <v>0</v>
      </c>
      <c r="M31" s="3">
        <f>80+1-20+1</f>
        <v>62</v>
      </c>
      <c r="N31" s="2">
        <v>0</v>
      </c>
      <c r="O31" s="3">
        <v>0</v>
      </c>
      <c r="P31" s="3">
        <v>0</v>
      </c>
      <c r="Q31" s="13">
        <v>0</v>
      </c>
      <c r="R31" s="11">
        <f>SUM(Table1[[#This Row],[Минск
Indoor_]])</f>
        <v>28</v>
      </c>
      <c r="S31" s="11">
        <f>SUM(Table1[[#This Row],[Минск
Indoor_]],Table1[[#This Row],[Логойск
Зимний_]])</f>
        <v>28</v>
      </c>
      <c r="T31" s="11">
        <f>SUM(Table1[[#This Row],[Минск
Indoor_]:[Дрогичин
Дуатлон_]])</f>
        <v>28</v>
      </c>
      <c r="U31" s="11">
        <f>SUM(Table1[[#This Row],[Минск
Indoor_]:[Могилёв
Спринт_]])</f>
        <v>60</v>
      </c>
      <c r="V31" s="11">
        <f>SUM(Table1[[#This Row],[Минск
Indoor_]:[Лепель Кросс_]])</f>
        <v>60</v>
      </c>
      <c r="W31" s="11">
        <f>SUM(Table1[[#This Row],[Минск
Indoor_]:[Гомель Спринт_]])</f>
        <v>94</v>
      </c>
      <c r="X31" s="11">
        <f>SUM(Table1[[#This Row],[Минск
Indoor_]:[Заславль
Мульти_]])</f>
        <v>94</v>
      </c>
      <c r="Y31" s="11">
        <f>SUM(Table1[[#This Row],[Минск
Indoor_]:[Брест
Олимпик_]])</f>
        <v>156</v>
      </c>
      <c r="Z31" s="11">
        <f>SUM(Table1[[#This Row],[Минск
Indoor_]:[Святск Триатлон_]])</f>
        <v>156</v>
      </c>
      <c r="AA31" s="11">
        <f>SUM(Table1[[#This Row],[Минск
Indoor_]:[Минск
Триатлон_]])</f>
        <v>218</v>
      </c>
      <c r="AB31" s="11">
        <f>SUM(Table1[[#This Row],[Минск
Indoor_]:[Гомель Кросс_]])</f>
        <v>218</v>
      </c>
      <c r="AC31" s="11">
        <f>SUM(Table1[[#This Row],[Минск
Indoor_]:[Минск Полный_]])</f>
        <v>218</v>
      </c>
      <c r="AD31" s="11">
        <f>SUM(Table1[[#This Row],[Минск
Indoor_]:[Раубичи
Дуатлон_]])</f>
        <v>218</v>
      </c>
      <c r="AE31" s="17">
        <v>218</v>
      </c>
      <c r="AF31" s="17">
        <f>Table1[[#This Row],[Раубичи
Дуатлон]]-AE31</f>
        <v>0</v>
      </c>
    </row>
    <row r="32" spans="1:32" ht="12.75" hidden="1" customHeight="1" x14ac:dyDescent="0.2">
      <c r="A32" s="1" t="s">
        <v>56</v>
      </c>
      <c r="B32" s="15" t="s">
        <v>170</v>
      </c>
      <c r="C32" s="1" t="s">
        <v>57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3">
        <f>70+0-38+1</f>
        <v>33</v>
      </c>
      <c r="K32" s="3">
        <f>80+0-48+1</f>
        <v>33</v>
      </c>
      <c r="L32" s="3">
        <f>80+0-26+1</f>
        <v>55</v>
      </c>
      <c r="M32" s="3">
        <f>90+0-90+1</f>
        <v>1</v>
      </c>
      <c r="N32" s="3">
        <v>0</v>
      </c>
      <c r="O32" s="3">
        <f>100+0-16+1</f>
        <v>85</v>
      </c>
      <c r="P32" s="3">
        <v>0</v>
      </c>
      <c r="Q32" s="13">
        <v>0</v>
      </c>
      <c r="R32" s="11">
        <f>SUM(Table1[[#This Row],[Минск
Indoor_]])</f>
        <v>0</v>
      </c>
      <c r="S32" s="11">
        <f>SUM(Table1[[#This Row],[Минск
Indoor_]],Table1[[#This Row],[Логойск
Зимний_]])</f>
        <v>0</v>
      </c>
      <c r="T32" s="11">
        <f>SUM(Table1[[#This Row],[Минск
Indoor_]:[Дрогичин
Дуатлон_]])</f>
        <v>0</v>
      </c>
      <c r="U32" s="11">
        <f>SUM(Table1[[#This Row],[Минск
Indoor_]:[Могилёв
Спринт_]])</f>
        <v>0</v>
      </c>
      <c r="V32" s="11">
        <f>SUM(Table1[[#This Row],[Минск
Indoor_]:[Лепель Кросс_]])</f>
        <v>0</v>
      </c>
      <c r="W32" s="11">
        <f>SUM(Table1[[#This Row],[Минск
Indoor_]:[Гомель Спринт_]])</f>
        <v>0</v>
      </c>
      <c r="X32" s="11">
        <f>SUM(Table1[[#This Row],[Минск
Indoor_]:[Заславль
Мульти_]])</f>
        <v>33</v>
      </c>
      <c r="Y32" s="11">
        <f>SUM(Table1[[#This Row],[Минск
Indoor_]:[Брест
Олимпик_]])</f>
        <v>66</v>
      </c>
      <c r="Z32" s="11">
        <f>SUM(Table1[[#This Row],[Минск
Indoor_]:[Святск Триатлон_]])</f>
        <v>121</v>
      </c>
      <c r="AA32" s="11">
        <f>SUM(Table1[[#This Row],[Минск
Indoor_]:[Минск
Триатлон_]])</f>
        <v>122</v>
      </c>
      <c r="AB32" s="11">
        <f>SUM(Table1[[#This Row],[Минск
Indoor_]:[Гомель Кросс_]])</f>
        <v>122</v>
      </c>
      <c r="AC32" s="11">
        <f>SUM(Table1[[#This Row],[Минск
Indoor_]:[Минск Полный_]])</f>
        <v>207</v>
      </c>
      <c r="AD32" s="11">
        <f>SUM(Table1[[#This Row],[Минск
Indoor_]:[Раубичи
Дуатлон_]])</f>
        <v>207</v>
      </c>
      <c r="AE32" s="17">
        <v>207</v>
      </c>
      <c r="AF32" s="17">
        <f>Table1[[#This Row],[Раубичи
Дуатлон]]-AE32</f>
        <v>0</v>
      </c>
    </row>
    <row r="33" spans="1:32" ht="12.75" hidden="1" customHeight="1" x14ac:dyDescent="0.2">
      <c r="A33" s="1" t="s">
        <v>58</v>
      </c>
      <c r="B33" s="15" t="s">
        <v>170</v>
      </c>
      <c r="C33" s="1" t="s">
        <v>59</v>
      </c>
      <c r="D33" s="2">
        <v>0</v>
      </c>
      <c r="E33" s="3">
        <f>60+0-8+1</f>
        <v>53</v>
      </c>
      <c r="F33" s="2">
        <v>0</v>
      </c>
      <c r="G33" s="2">
        <v>0</v>
      </c>
      <c r="H33" s="3">
        <f>70+1-6+1</f>
        <v>66</v>
      </c>
      <c r="I33" s="2">
        <v>0</v>
      </c>
      <c r="J33" s="2">
        <v>0</v>
      </c>
      <c r="K33" s="2">
        <v>0</v>
      </c>
      <c r="L33" s="3">
        <v>0</v>
      </c>
      <c r="M33" s="3">
        <v>0</v>
      </c>
      <c r="N33" s="3">
        <v>0</v>
      </c>
      <c r="O33" s="3">
        <f>100+0-14+1</f>
        <v>87</v>
      </c>
      <c r="P33" s="3">
        <v>0</v>
      </c>
      <c r="Q33" s="13">
        <v>0</v>
      </c>
      <c r="R33" s="11">
        <f>SUM(Table1[[#This Row],[Минск
Indoor_]])</f>
        <v>0</v>
      </c>
      <c r="S33" s="11">
        <f>SUM(Table1[[#This Row],[Минск
Indoor_]],Table1[[#This Row],[Логойск
Зимний_]])</f>
        <v>53</v>
      </c>
      <c r="T33" s="11">
        <f>SUM(Table1[[#This Row],[Минск
Indoor_]:[Дрогичин
Дуатлон_]])</f>
        <v>53</v>
      </c>
      <c r="U33" s="11">
        <f>SUM(Table1[[#This Row],[Минск
Indoor_]:[Могилёв
Спринт_]])</f>
        <v>53</v>
      </c>
      <c r="V33" s="11">
        <f>SUM(Table1[[#This Row],[Минск
Indoor_]:[Лепель Кросс_]])</f>
        <v>119</v>
      </c>
      <c r="W33" s="11">
        <f>SUM(Table1[[#This Row],[Минск
Indoor_]:[Гомель Спринт_]])</f>
        <v>119</v>
      </c>
      <c r="X33" s="11">
        <f>SUM(Table1[[#This Row],[Минск
Indoor_]:[Заславль
Мульти_]])</f>
        <v>119</v>
      </c>
      <c r="Y33" s="11">
        <f>SUM(Table1[[#This Row],[Минск
Indoor_]:[Брест
Олимпик_]])</f>
        <v>119</v>
      </c>
      <c r="Z33" s="11">
        <f>SUM(Table1[[#This Row],[Минск
Indoor_]:[Святск Триатлон_]])</f>
        <v>119</v>
      </c>
      <c r="AA33" s="11">
        <f>SUM(Table1[[#This Row],[Минск
Indoor_]:[Минск
Триатлон_]])</f>
        <v>119</v>
      </c>
      <c r="AB33" s="11">
        <f>SUM(Table1[[#This Row],[Минск
Indoor_]:[Гомель Кросс_]])</f>
        <v>119</v>
      </c>
      <c r="AC33" s="11">
        <f>SUM(Table1[[#This Row],[Минск
Indoor_]:[Минск Полный_]])</f>
        <v>206</v>
      </c>
      <c r="AD33" s="11">
        <f>SUM(Table1[[#This Row],[Минск
Indoor_]:[Раубичи
Дуатлон_]])</f>
        <v>206</v>
      </c>
      <c r="AE33" s="17">
        <v>206</v>
      </c>
      <c r="AF33" s="17">
        <f>Table1[[#This Row],[Раубичи
Дуатлон]]-AE33</f>
        <v>0</v>
      </c>
    </row>
    <row r="34" spans="1:32" ht="12.75" hidden="1" customHeight="1" x14ac:dyDescent="0.2">
      <c r="A34" s="1" t="s">
        <v>60</v>
      </c>
      <c r="B34" s="15" t="s">
        <v>170</v>
      </c>
      <c r="C34" s="1" t="s">
        <v>61</v>
      </c>
      <c r="D34" s="2">
        <v>0</v>
      </c>
      <c r="E34" s="2">
        <v>0</v>
      </c>
      <c r="F34" s="3">
        <f>70+0-33+1</f>
        <v>38</v>
      </c>
      <c r="G34" s="2">
        <v>0</v>
      </c>
      <c r="H34" s="2">
        <v>0</v>
      </c>
      <c r="I34" s="2">
        <v>0</v>
      </c>
      <c r="J34" s="3">
        <f>70+0-21+1</f>
        <v>50</v>
      </c>
      <c r="K34" s="3">
        <f>80+0-19+1</f>
        <v>62</v>
      </c>
      <c r="L34" s="2">
        <v>0</v>
      </c>
      <c r="M34" s="3">
        <f>90+0-57+1</f>
        <v>34</v>
      </c>
      <c r="N34" s="3">
        <v>0</v>
      </c>
      <c r="O34" s="3">
        <v>0</v>
      </c>
      <c r="P34" s="3">
        <v>0</v>
      </c>
      <c r="Q34" s="13">
        <v>0</v>
      </c>
      <c r="R34" s="11">
        <f>SUM(Table1[[#This Row],[Минск
Indoor_]])</f>
        <v>0</v>
      </c>
      <c r="S34" s="11">
        <f>SUM(Table1[[#This Row],[Минск
Indoor_]],Table1[[#This Row],[Логойск
Зимний_]])</f>
        <v>0</v>
      </c>
      <c r="T34" s="11">
        <f>SUM(Table1[[#This Row],[Минск
Indoor_]:[Дрогичин
Дуатлон_]])</f>
        <v>38</v>
      </c>
      <c r="U34" s="11">
        <f>SUM(Table1[[#This Row],[Минск
Indoor_]:[Могилёв
Спринт_]])</f>
        <v>38</v>
      </c>
      <c r="V34" s="11">
        <f>SUM(Table1[[#This Row],[Минск
Indoor_]:[Лепель Кросс_]])</f>
        <v>38</v>
      </c>
      <c r="W34" s="11">
        <f>SUM(Table1[[#This Row],[Минск
Indoor_]:[Гомель Спринт_]])</f>
        <v>38</v>
      </c>
      <c r="X34" s="11">
        <f>SUM(Table1[[#This Row],[Минск
Indoor_]:[Заславль
Мульти_]])</f>
        <v>88</v>
      </c>
      <c r="Y34" s="11">
        <f>SUM(Table1[[#This Row],[Минск
Indoor_]:[Брест
Олимпик_]])</f>
        <v>150</v>
      </c>
      <c r="Z34" s="11">
        <f>SUM(Table1[[#This Row],[Минск
Indoor_]:[Святск Триатлон_]])</f>
        <v>150</v>
      </c>
      <c r="AA34" s="11">
        <f>SUM(Table1[[#This Row],[Минск
Indoor_]:[Минск
Триатлон_]])</f>
        <v>184</v>
      </c>
      <c r="AB34" s="11">
        <f>SUM(Table1[[#This Row],[Минск
Indoor_]:[Гомель Кросс_]])</f>
        <v>184</v>
      </c>
      <c r="AC34" s="11">
        <f>SUM(Table1[[#This Row],[Минск
Indoor_]:[Минск Полный_]])</f>
        <v>184</v>
      </c>
      <c r="AD34" s="11">
        <f>SUM(Table1[[#This Row],[Минск
Indoor_]:[Раубичи
Дуатлон_]])</f>
        <v>184</v>
      </c>
      <c r="AE34" s="17">
        <v>184</v>
      </c>
      <c r="AF34" s="17">
        <f>Table1[[#This Row],[Раубичи
Дуатлон]]-AE34</f>
        <v>0</v>
      </c>
    </row>
    <row r="35" spans="1:32" ht="12.75" hidden="1" customHeight="1" x14ac:dyDescent="0.2">
      <c r="A35" s="1" t="s">
        <v>62</v>
      </c>
      <c r="B35" s="15" t="s">
        <v>170</v>
      </c>
      <c r="C35" s="1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3">
        <f>70+0-38+1</f>
        <v>33</v>
      </c>
      <c r="J35" s="3">
        <f>70+0-22+1</f>
        <v>49</v>
      </c>
      <c r="K35" s="3">
        <f>80+0-24+1</f>
        <v>57</v>
      </c>
      <c r="L35" s="2">
        <v>0</v>
      </c>
      <c r="M35" s="3">
        <f>90+0-47+1</f>
        <v>44</v>
      </c>
      <c r="N35" s="3">
        <v>0</v>
      </c>
      <c r="O35" s="3">
        <v>0</v>
      </c>
      <c r="P35" s="3">
        <v>0</v>
      </c>
      <c r="Q35" s="13">
        <v>0</v>
      </c>
      <c r="R35" s="11">
        <f>SUM(Table1[[#This Row],[Минск
Indoor_]])</f>
        <v>0</v>
      </c>
      <c r="S35" s="11">
        <f>SUM(Table1[[#This Row],[Минск
Indoor_]],Table1[[#This Row],[Логойск
Зимний_]])</f>
        <v>0</v>
      </c>
      <c r="T35" s="11">
        <f>SUM(Table1[[#This Row],[Минск
Indoor_]:[Дрогичин
Дуатлон_]])</f>
        <v>0</v>
      </c>
      <c r="U35" s="11">
        <f>SUM(Table1[[#This Row],[Минск
Indoor_]:[Могилёв
Спринт_]])</f>
        <v>0</v>
      </c>
      <c r="V35" s="11">
        <f>SUM(Table1[[#This Row],[Минск
Indoor_]:[Лепель Кросс_]])</f>
        <v>0</v>
      </c>
      <c r="W35" s="11">
        <f>SUM(Table1[[#This Row],[Минск
Indoor_]:[Гомель Спринт_]])</f>
        <v>33</v>
      </c>
      <c r="X35" s="11">
        <f>SUM(Table1[[#This Row],[Минск
Indoor_]:[Заславль
Мульти_]])</f>
        <v>82</v>
      </c>
      <c r="Y35" s="11">
        <f>SUM(Table1[[#This Row],[Минск
Indoor_]:[Брест
Олимпик_]])</f>
        <v>139</v>
      </c>
      <c r="Z35" s="11">
        <f>SUM(Table1[[#This Row],[Минск
Indoor_]:[Святск Триатлон_]])</f>
        <v>139</v>
      </c>
      <c r="AA35" s="11">
        <f>SUM(Table1[[#This Row],[Минск
Indoor_]:[Минск
Триатлон_]])</f>
        <v>183</v>
      </c>
      <c r="AB35" s="11">
        <f>SUM(Table1[[#This Row],[Минск
Indoor_]:[Гомель Кросс_]])</f>
        <v>183</v>
      </c>
      <c r="AC35" s="11">
        <f>SUM(Table1[[#This Row],[Минск
Indoor_]:[Минск Полный_]])</f>
        <v>183</v>
      </c>
      <c r="AD35" s="11">
        <f>SUM(Table1[[#This Row],[Минск
Indoor_]:[Раубичи
Дуатлон_]])</f>
        <v>183</v>
      </c>
      <c r="AE35" s="17">
        <v>183</v>
      </c>
      <c r="AF35" s="17">
        <f>Table1[[#This Row],[Раубичи
Дуатлон]]-AE35</f>
        <v>0</v>
      </c>
    </row>
    <row r="36" spans="1:32" ht="12.75" hidden="1" customHeight="1" x14ac:dyDescent="0.2">
      <c r="A36" s="1" t="s">
        <v>63</v>
      </c>
      <c r="B36" s="15" t="s">
        <v>170</v>
      </c>
      <c r="C36" s="1"/>
      <c r="D36" s="3">
        <f>50+0-50+1</f>
        <v>1</v>
      </c>
      <c r="E36" s="2">
        <v>0</v>
      </c>
      <c r="F36" s="3">
        <f>70+0-28+1</f>
        <v>43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>80+0-24+1</f>
        <v>57</v>
      </c>
      <c r="M36" s="3">
        <f>90+0-90+1</f>
        <v>1</v>
      </c>
      <c r="N36" s="3">
        <v>0</v>
      </c>
      <c r="O36" s="3">
        <f>100+0-24+1</f>
        <v>77</v>
      </c>
      <c r="P36" s="3">
        <v>0</v>
      </c>
      <c r="Q36" s="13">
        <v>0</v>
      </c>
      <c r="R36" s="11">
        <f>SUM(Table1[[#This Row],[Минск
Indoor_]])</f>
        <v>1</v>
      </c>
      <c r="S36" s="11">
        <f>SUM(Table1[[#This Row],[Минск
Indoor_]],Table1[[#This Row],[Логойск
Зимний_]])</f>
        <v>1</v>
      </c>
      <c r="T36" s="11">
        <f>SUM(Table1[[#This Row],[Минск
Indoor_]:[Дрогичин
Дуатлон_]])</f>
        <v>44</v>
      </c>
      <c r="U36" s="11">
        <f>SUM(Table1[[#This Row],[Минск
Indoor_]:[Могилёв
Спринт_]])</f>
        <v>44</v>
      </c>
      <c r="V36" s="11">
        <f>SUM(Table1[[#This Row],[Минск
Indoor_]:[Лепель Кросс_]])</f>
        <v>44</v>
      </c>
      <c r="W36" s="11">
        <f>SUM(Table1[[#This Row],[Минск
Indoor_]:[Гомель Спринт_]])</f>
        <v>44</v>
      </c>
      <c r="X36" s="11">
        <f>SUM(Table1[[#This Row],[Минск
Indoor_]:[Заславль
Мульти_]])</f>
        <v>44</v>
      </c>
      <c r="Y36" s="11">
        <f>SUM(Table1[[#This Row],[Минск
Indoor_]:[Брест
Олимпик_]])</f>
        <v>44</v>
      </c>
      <c r="Z36" s="11">
        <f>SUM(Table1[[#This Row],[Минск
Indoor_]:[Святск Триатлон_]])</f>
        <v>101</v>
      </c>
      <c r="AA36" s="11">
        <f>SUM(Table1[[#This Row],[Минск
Indoor_]:[Минск
Триатлон_]])</f>
        <v>102</v>
      </c>
      <c r="AB36" s="11">
        <f>SUM(Table1[[#This Row],[Минск
Indoor_]:[Гомель Кросс_]])</f>
        <v>102</v>
      </c>
      <c r="AC36" s="11">
        <f>SUM(Table1[[#This Row],[Минск
Indoor_]:[Минск Полный_]])</f>
        <v>179</v>
      </c>
      <c r="AD36" s="11">
        <f>SUM(Table1[[#This Row],[Минск
Indoor_]:[Раубичи
Дуатлон_]])</f>
        <v>179</v>
      </c>
      <c r="AE36" s="17">
        <v>179</v>
      </c>
      <c r="AF36" s="17">
        <f>Table1[[#This Row],[Раубичи
Дуатлон]]-AE36</f>
        <v>0</v>
      </c>
    </row>
    <row r="37" spans="1:32" ht="12.75" hidden="1" customHeight="1" x14ac:dyDescent="0.2">
      <c r="A37" s="1" t="s">
        <v>64</v>
      </c>
      <c r="B37" s="15" t="s">
        <v>170</v>
      </c>
      <c r="C37" s="1" t="s">
        <v>65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3">
        <v>0</v>
      </c>
      <c r="K37" s="3">
        <f>80+0-43+1</f>
        <v>38</v>
      </c>
      <c r="L37" s="3">
        <f>80+0-16+1</f>
        <v>65</v>
      </c>
      <c r="M37" s="3">
        <v>0</v>
      </c>
      <c r="N37" s="3">
        <v>0</v>
      </c>
      <c r="O37" s="3">
        <f>100+0-26+1</f>
        <v>75</v>
      </c>
      <c r="P37" s="3">
        <v>0</v>
      </c>
      <c r="Q37" s="13">
        <v>0</v>
      </c>
      <c r="R37" s="11">
        <f>SUM(Table1[[#This Row],[Минск
Indoor_]])</f>
        <v>0</v>
      </c>
      <c r="S37" s="11">
        <f>SUM(Table1[[#This Row],[Минск
Indoor_]],Table1[[#This Row],[Логойск
Зимний_]])</f>
        <v>0</v>
      </c>
      <c r="T37" s="11">
        <f>SUM(Table1[[#This Row],[Минск
Indoor_]:[Дрогичин
Дуатлон_]])</f>
        <v>0</v>
      </c>
      <c r="U37" s="11">
        <f>SUM(Table1[[#This Row],[Минск
Indoor_]:[Могилёв
Спринт_]])</f>
        <v>0</v>
      </c>
      <c r="V37" s="11">
        <f>SUM(Table1[[#This Row],[Минск
Indoor_]:[Лепель Кросс_]])</f>
        <v>0</v>
      </c>
      <c r="W37" s="11">
        <f>SUM(Table1[[#This Row],[Минск
Indoor_]:[Гомель Спринт_]])</f>
        <v>0</v>
      </c>
      <c r="X37" s="11">
        <f>SUM(Table1[[#This Row],[Минск
Indoor_]:[Заславль
Мульти_]])</f>
        <v>0</v>
      </c>
      <c r="Y37" s="11">
        <f>SUM(Table1[[#This Row],[Минск
Indoor_]:[Брест
Олимпик_]])</f>
        <v>38</v>
      </c>
      <c r="Z37" s="11">
        <f>SUM(Table1[[#This Row],[Минск
Indoor_]:[Святск Триатлон_]])</f>
        <v>103</v>
      </c>
      <c r="AA37" s="11">
        <f>SUM(Table1[[#This Row],[Минск
Indoor_]:[Минск
Триатлон_]])</f>
        <v>103</v>
      </c>
      <c r="AB37" s="11">
        <f>SUM(Table1[[#This Row],[Минск
Indoor_]:[Гомель Кросс_]])</f>
        <v>103</v>
      </c>
      <c r="AC37" s="11">
        <f>SUM(Table1[[#This Row],[Минск
Indoor_]:[Минск Полный_]])</f>
        <v>178</v>
      </c>
      <c r="AD37" s="11">
        <f>SUM(Table1[[#This Row],[Минск
Indoor_]:[Раубичи
Дуатлон_]])</f>
        <v>178</v>
      </c>
      <c r="AE37" s="17">
        <v>178</v>
      </c>
      <c r="AF37" s="17">
        <f>Table1[[#This Row],[Раубичи
Дуатлон]]-AE37</f>
        <v>0</v>
      </c>
    </row>
    <row r="38" spans="1:32" ht="12.75" hidden="1" customHeight="1" x14ac:dyDescent="0.2">
      <c r="A38" s="1" t="s">
        <v>66</v>
      </c>
      <c r="B38" s="15" t="s">
        <v>170</v>
      </c>
      <c r="C38" s="1"/>
      <c r="D38" s="3">
        <f>50+0-37+1</f>
        <v>14</v>
      </c>
      <c r="E38" s="3">
        <f>60+0-31+1</f>
        <v>30</v>
      </c>
      <c r="F38" s="2">
        <v>0</v>
      </c>
      <c r="G38" s="2">
        <v>0</v>
      </c>
      <c r="H38" s="2">
        <v>0</v>
      </c>
      <c r="I38" s="2">
        <v>0</v>
      </c>
      <c r="J38" s="3">
        <f>70+0-18+1</f>
        <v>53</v>
      </c>
      <c r="K38" s="3">
        <f>80+0-54+1</f>
        <v>27</v>
      </c>
      <c r="L38" s="2">
        <v>0</v>
      </c>
      <c r="M38" s="3">
        <f>80+1-32+1</f>
        <v>50</v>
      </c>
      <c r="N38" s="2">
        <v>0</v>
      </c>
      <c r="O38" s="3">
        <v>0</v>
      </c>
      <c r="P38" s="3">
        <v>0</v>
      </c>
      <c r="Q38" s="13">
        <v>0</v>
      </c>
      <c r="R38" s="11">
        <f>SUM(Table1[[#This Row],[Минск
Indoor_]])</f>
        <v>14</v>
      </c>
      <c r="S38" s="11">
        <f>SUM(Table1[[#This Row],[Минск
Indoor_]],Table1[[#This Row],[Логойск
Зимний_]])</f>
        <v>44</v>
      </c>
      <c r="T38" s="11">
        <f>SUM(Table1[[#This Row],[Минск
Indoor_]:[Дрогичин
Дуатлон_]])</f>
        <v>44</v>
      </c>
      <c r="U38" s="11">
        <f>SUM(Table1[[#This Row],[Минск
Indoor_]:[Могилёв
Спринт_]])</f>
        <v>44</v>
      </c>
      <c r="V38" s="11">
        <f>SUM(Table1[[#This Row],[Минск
Indoor_]:[Лепель Кросс_]])</f>
        <v>44</v>
      </c>
      <c r="W38" s="11">
        <f>SUM(Table1[[#This Row],[Минск
Indoor_]:[Гомель Спринт_]])</f>
        <v>44</v>
      </c>
      <c r="X38" s="11">
        <f>SUM(Table1[[#This Row],[Минск
Indoor_]:[Заславль
Мульти_]])</f>
        <v>97</v>
      </c>
      <c r="Y38" s="11">
        <f>SUM(Table1[[#This Row],[Минск
Indoor_]:[Брест
Олимпик_]])</f>
        <v>124</v>
      </c>
      <c r="Z38" s="11">
        <f>SUM(Table1[[#This Row],[Минск
Indoor_]:[Святск Триатлон_]])</f>
        <v>124</v>
      </c>
      <c r="AA38" s="11">
        <f>SUM(Table1[[#This Row],[Минск
Indoor_]:[Минск
Триатлон_]])</f>
        <v>174</v>
      </c>
      <c r="AB38" s="11">
        <f>SUM(Table1[[#This Row],[Минск
Indoor_]:[Гомель Кросс_]])</f>
        <v>174</v>
      </c>
      <c r="AC38" s="11">
        <f>SUM(Table1[[#This Row],[Минск
Indoor_]:[Минск Полный_]])</f>
        <v>174</v>
      </c>
      <c r="AD38" s="11">
        <f>SUM(Table1[[#This Row],[Минск
Indoor_]:[Раубичи
Дуатлон_]])</f>
        <v>174</v>
      </c>
      <c r="AE38" s="17">
        <v>174</v>
      </c>
      <c r="AF38" s="17">
        <f>Table1[[#This Row],[Раубичи
Дуатлон]]-AE38</f>
        <v>0</v>
      </c>
    </row>
    <row r="39" spans="1:32" ht="12.75" hidden="1" customHeight="1" x14ac:dyDescent="0.2">
      <c r="A39" s="1" t="s">
        <v>67</v>
      </c>
      <c r="B39" s="15" t="s">
        <v>170</v>
      </c>
      <c r="C39" s="1" t="s">
        <v>68</v>
      </c>
      <c r="D39" s="3">
        <f>50+0-25+1</f>
        <v>26</v>
      </c>
      <c r="E39" s="2">
        <v>0</v>
      </c>
      <c r="F39" s="3">
        <f>70+0-24+1</f>
        <v>47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3">
        <v>0</v>
      </c>
      <c r="M39" s="3">
        <f>80+0-27+1</f>
        <v>54</v>
      </c>
      <c r="N39" s="3">
        <v>0</v>
      </c>
      <c r="O39" s="3">
        <v>0</v>
      </c>
      <c r="P39" s="3">
        <f>70+0-24+1</f>
        <v>47</v>
      </c>
      <c r="Q39" s="13">
        <v>0</v>
      </c>
      <c r="R39" s="11">
        <f>SUM(Table1[[#This Row],[Минск
Indoor_]])</f>
        <v>26</v>
      </c>
      <c r="S39" s="11">
        <f>SUM(Table1[[#This Row],[Минск
Indoor_]],Table1[[#This Row],[Логойск
Зимний_]])</f>
        <v>26</v>
      </c>
      <c r="T39" s="11">
        <f>SUM(Table1[[#This Row],[Минск
Indoor_]:[Дрогичин
Дуатлон_]])</f>
        <v>73</v>
      </c>
      <c r="U39" s="11">
        <f>SUM(Table1[[#This Row],[Минск
Indoor_]:[Могилёв
Спринт_]])</f>
        <v>73</v>
      </c>
      <c r="V39" s="11">
        <f>SUM(Table1[[#This Row],[Минск
Indoor_]:[Лепель Кросс_]])</f>
        <v>73</v>
      </c>
      <c r="W39" s="11">
        <f>SUM(Table1[[#This Row],[Минск
Indoor_]:[Гомель Спринт_]])</f>
        <v>73</v>
      </c>
      <c r="X39" s="11">
        <f>SUM(Table1[[#This Row],[Минск
Indoor_]:[Заславль
Мульти_]])</f>
        <v>73</v>
      </c>
      <c r="Y39" s="11">
        <f>SUM(Table1[[#This Row],[Минск
Indoor_]:[Брест
Олимпик_]])</f>
        <v>73</v>
      </c>
      <c r="Z39" s="11">
        <f>SUM(Table1[[#This Row],[Минск
Indoor_]:[Святск Триатлон_]])</f>
        <v>73</v>
      </c>
      <c r="AA39" s="11">
        <f>SUM(Table1[[#This Row],[Минск
Indoor_]:[Минск
Триатлон_]])</f>
        <v>127</v>
      </c>
      <c r="AB39" s="11">
        <f>SUM(Table1[[#This Row],[Минск
Indoor_]:[Гомель Кросс_]])</f>
        <v>127</v>
      </c>
      <c r="AC39" s="11">
        <f>SUM(Table1[[#This Row],[Минск
Indoor_]:[Минск Полный_]])</f>
        <v>127</v>
      </c>
      <c r="AD39" s="11">
        <f>SUM(Table1[[#This Row],[Минск
Indoor_]:[Раубичи
Дуатлон_]])</f>
        <v>174</v>
      </c>
      <c r="AE39" s="17">
        <v>174</v>
      </c>
      <c r="AF39" s="17">
        <f>Table1[[#This Row],[Раубичи
Дуатлон]]-AE39</f>
        <v>0</v>
      </c>
    </row>
    <row r="40" spans="1:32" ht="12.75" hidden="1" customHeight="1" x14ac:dyDescent="0.2">
      <c r="A40" s="1" t="s">
        <v>69</v>
      </c>
      <c r="B40" s="15" t="s">
        <v>170</v>
      </c>
      <c r="C40" s="1" t="s">
        <v>49</v>
      </c>
      <c r="D40" s="3">
        <f>50+0-9+1</f>
        <v>42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3">
        <f>70+0-7+1</f>
        <v>64</v>
      </c>
      <c r="K40" s="2">
        <v>0</v>
      </c>
      <c r="L40" s="3">
        <v>0</v>
      </c>
      <c r="M40" s="3">
        <v>0</v>
      </c>
      <c r="N40" s="3">
        <v>0</v>
      </c>
      <c r="O40" s="3">
        <v>0</v>
      </c>
      <c r="P40" s="3">
        <f>70+0-13+1</f>
        <v>58</v>
      </c>
      <c r="Q40" s="13">
        <v>0</v>
      </c>
      <c r="R40" s="11">
        <f>SUM(Table1[[#This Row],[Минск
Indoor_]])</f>
        <v>42</v>
      </c>
      <c r="S40" s="11">
        <f>SUM(Table1[[#This Row],[Минск
Indoor_]],Table1[[#This Row],[Логойск
Зимний_]])</f>
        <v>42</v>
      </c>
      <c r="T40" s="11">
        <f>SUM(Table1[[#This Row],[Минск
Indoor_]:[Дрогичин
Дуатлон_]])</f>
        <v>42</v>
      </c>
      <c r="U40" s="11">
        <f>SUM(Table1[[#This Row],[Минск
Indoor_]:[Могилёв
Спринт_]])</f>
        <v>42</v>
      </c>
      <c r="V40" s="11">
        <f>SUM(Table1[[#This Row],[Минск
Indoor_]:[Лепель Кросс_]])</f>
        <v>42</v>
      </c>
      <c r="W40" s="11">
        <f>SUM(Table1[[#This Row],[Минск
Indoor_]:[Гомель Спринт_]])</f>
        <v>42</v>
      </c>
      <c r="X40" s="11">
        <f>SUM(Table1[[#This Row],[Минск
Indoor_]:[Заславль
Мульти_]])</f>
        <v>106</v>
      </c>
      <c r="Y40" s="11">
        <f>SUM(Table1[[#This Row],[Минск
Indoor_]:[Брест
Олимпик_]])</f>
        <v>106</v>
      </c>
      <c r="Z40" s="11">
        <f>SUM(Table1[[#This Row],[Минск
Indoor_]:[Святск Триатлон_]])</f>
        <v>106</v>
      </c>
      <c r="AA40" s="11">
        <f>SUM(Table1[[#This Row],[Минск
Indoor_]:[Минск
Триатлон_]])</f>
        <v>106</v>
      </c>
      <c r="AB40" s="11">
        <f>SUM(Table1[[#This Row],[Минск
Indoor_]:[Гомель Кросс_]])</f>
        <v>106</v>
      </c>
      <c r="AC40" s="11">
        <f>SUM(Table1[[#This Row],[Минск
Indoor_]:[Минск Полный_]])</f>
        <v>106</v>
      </c>
      <c r="AD40" s="11">
        <f>SUM(Table1[[#This Row],[Минск
Indoor_]:[Раубичи
Дуатлон_]])</f>
        <v>164</v>
      </c>
      <c r="AE40" s="17">
        <v>164</v>
      </c>
      <c r="AF40" s="17">
        <f>Table1[[#This Row],[Раубичи
Дуатлон]]-AE40</f>
        <v>0</v>
      </c>
    </row>
    <row r="41" spans="1:32" ht="12.75" hidden="1" customHeight="1" x14ac:dyDescent="0.2">
      <c r="A41" s="1" t="s">
        <v>70</v>
      </c>
      <c r="B41" s="15" t="s">
        <v>170</v>
      </c>
      <c r="C41" s="1" t="s">
        <v>17</v>
      </c>
      <c r="D41" s="3">
        <f>50+0-21+1</f>
        <v>30</v>
      </c>
      <c r="E41" s="2">
        <v>0</v>
      </c>
      <c r="F41" s="3">
        <f>70+3-9+1</f>
        <v>65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3">
        <v>0</v>
      </c>
      <c r="M41" s="3">
        <f>90+2-27+1</f>
        <v>66</v>
      </c>
      <c r="N41" s="3">
        <v>0</v>
      </c>
      <c r="O41" s="3">
        <v>0</v>
      </c>
      <c r="P41" s="3">
        <v>0</v>
      </c>
      <c r="Q41" s="13">
        <v>0</v>
      </c>
      <c r="R41" s="11">
        <f>SUM(Table1[[#This Row],[Минск
Indoor_]])</f>
        <v>30</v>
      </c>
      <c r="S41" s="11">
        <f>SUM(Table1[[#This Row],[Минск
Indoor_]],Table1[[#This Row],[Логойск
Зимний_]])</f>
        <v>30</v>
      </c>
      <c r="T41" s="11">
        <f>SUM(Table1[[#This Row],[Минск
Indoor_]:[Дрогичин
Дуатлон_]])</f>
        <v>95</v>
      </c>
      <c r="U41" s="11">
        <f>SUM(Table1[[#This Row],[Минск
Indoor_]:[Могилёв
Спринт_]])</f>
        <v>95</v>
      </c>
      <c r="V41" s="11">
        <f>SUM(Table1[[#This Row],[Минск
Indoor_]:[Лепель Кросс_]])</f>
        <v>95</v>
      </c>
      <c r="W41" s="11">
        <f>SUM(Table1[[#This Row],[Минск
Indoor_]:[Гомель Спринт_]])</f>
        <v>95</v>
      </c>
      <c r="X41" s="11">
        <f>SUM(Table1[[#This Row],[Минск
Indoor_]:[Заславль
Мульти_]])</f>
        <v>95</v>
      </c>
      <c r="Y41" s="11">
        <f>SUM(Table1[[#This Row],[Минск
Indoor_]:[Брест
Олимпик_]])</f>
        <v>95</v>
      </c>
      <c r="Z41" s="11">
        <f>SUM(Table1[[#This Row],[Минск
Indoor_]:[Святск Триатлон_]])</f>
        <v>95</v>
      </c>
      <c r="AA41" s="11">
        <f>SUM(Table1[[#This Row],[Минск
Indoor_]:[Минск
Триатлон_]])</f>
        <v>161</v>
      </c>
      <c r="AB41" s="11">
        <f>SUM(Table1[[#This Row],[Минск
Indoor_]:[Гомель Кросс_]])</f>
        <v>161</v>
      </c>
      <c r="AC41" s="11">
        <f>SUM(Table1[[#This Row],[Минск
Indoor_]:[Минск Полный_]])</f>
        <v>161</v>
      </c>
      <c r="AD41" s="11">
        <f>SUM(Table1[[#This Row],[Минск
Indoor_]:[Раубичи
Дуатлон_]])</f>
        <v>161</v>
      </c>
      <c r="AE41" s="17">
        <v>161</v>
      </c>
      <c r="AF41" s="17">
        <f>Table1[[#This Row],[Раубичи
Дуатлон]]-AE41</f>
        <v>0</v>
      </c>
    </row>
    <row r="42" spans="1:32" ht="12.75" hidden="1" customHeight="1" x14ac:dyDescent="0.2">
      <c r="A42" s="1" t="s">
        <v>71</v>
      </c>
      <c r="B42" s="15" t="s">
        <v>170</v>
      </c>
      <c r="C42" s="1" t="s">
        <v>43</v>
      </c>
      <c r="D42" s="2">
        <v>0</v>
      </c>
      <c r="E42" s="2">
        <v>0</v>
      </c>
      <c r="F42" s="2">
        <v>0</v>
      </c>
      <c r="G42" s="3">
        <f>60+2-15+1</f>
        <v>48</v>
      </c>
      <c r="H42" s="2">
        <v>0</v>
      </c>
      <c r="I42" s="3">
        <f>70+1-22+1</f>
        <v>50</v>
      </c>
      <c r="J42" s="3">
        <f>70+0-10+1</f>
        <v>61</v>
      </c>
      <c r="K42" s="2">
        <v>0</v>
      </c>
      <c r="L42" s="2">
        <v>0</v>
      </c>
      <c r="M42" s="3">
        <v>0</v>
      </c>
      <c r="N42" s="3">
        <v>0</v>
      </c>
      <c r="O42" s="3">
        <v>0</v>
      </c>
      <c r="P42" s="3">
        <v>0</v>
      </c>
      <c r="Q42" s="13">
        <v>0</v>
      </c>
      <c r="R42" s="11">
        <f>SUM(Table1[[#This Row],[Минск
Indoor_]])</f>
        <v>0</v>
      </c>
      <c r="S42" s="11">
        <f>SUM(Table1[[#This Row],[Минск
Indoor_]],Table1[[#This Row],[Логойск
Зимний_]])</f>
        <v>0</v>
      </c>
      <c r="T42" s="11">
        <f>SUM(Table1[[#This Row],[Минск
Indoor_]:[Дрогичин
Дуатлон_]])</f>
        <v>0</v>
      </c>
      <c r="U42" s="11">
        <f>SUM(Table1[[#This Row],[Минск
Indoor_]:[Могилёв
Спринт_]])</f>
        <v>48</v>
      </c>
      <c r="V42" s="11">
        <f>SUM(Table1[[#This Row],[Минск
Indoor_]:[Лепель Кросс_]])</f>
        <v>48</v>
      </c>
      <c r="W42" s="11">
        <f>SUM(Table1[[#This Row],[Минск
Indoor_]:[Гомель Спринт_]])</f>
        <v>98</v>
      </c>
      <c r="X42" s="11">
        <f>SUM(Table1[[#This Row],[Минск
Indoor_]:[Заславль
Мульти_]])</f>
        <v>159</v>
      </c>
      <c r="Y42" s="11">
        <f>SUM(Table1[[#This Row],[Минск
Indoor_]:[Брест
Олимпик_]])</f>
        <v>159</v>
      </c>
      <c r="Z42" s="11">
        <f>SUM(Table1[[#This Row],[Минск
Indoor_]:[Святск Триатлон_]])</f>
        <v>159</v>
      </c>
      <c r="AA42" s="11">
        <f>SUM(Table1[[#This Row],[Минск
Indoor_]:[Минск
Триатлон_]])</f>
        <v>159</v>
      </c>
      <c r="AB42" s="11">
        <f>SUM(Table1[[#This Row],[Минск
Indoor_]:[Гомель Кросс_]])</f>
        <v>159</v>
      </c>
      <c r="AC42" s="11">
        <f>SUM(Table1[[#This Row],[Минск
Indoor_]:[Минск Полный_]])</f>
        <v>159</v>
      </c>
      <c r="AD42" s="11">
        <f>SUM(Table1[[#This Row],[Минск
Indoor_]:[Раубичи
Дуатлон_]])</f>
        <v>159</v>
      </c>
      <c r="AE42" s="17">
        <v>159</v>
      </c>
      <c r="AF42" s="17">
        <f>Table1[[#This Row],[Раубичи
Дуатлон]]-AE42</f>
        <v>0</v>
      </c>
    </row>
    <row r="43" spans="1:32" ht="12.75" hidden="1" customHeight="1" x14ac:dyDescent="0.2">
      <c r="A43" s="1" t="s">
        <v>72</v>
      </c>
      <c r="B43" s="15" t="s">
        <v>170</v>
      </c>
      <c r="C43" s="1" t="s">
        <v>59</v>
      </c>
      <c r="D43" s="3">
        <f>50+0-19+1</f>
        <v>32</v>
      </c>
      <c r="E43" s="3">
        <f>60+0-13+1</f>
        <v>48</v>
      </c>
      <c r="F43" s="2">
        <v>0</v>
      </c>
      <c r="G43" s="3">
        <f>60+0-24+1</f>
        <v>37</v>
      </c>
      <c r="H43" s="2">
        <v>0</v>
      </c>
      <c r="I43" s="3">
        <f>70+0-34+1</f>
        <v>37</v>
      </c>
      <c r="J43" s="2">
        <v>0</v>
      </c>
      <c r="K43" s="2">
        <v>0</v>
      </c>
      <c r="L43" s="2">
        <v>0</v>
      </c>
      <c r="M43" s="2">
        <v>0</v>
      </c>
      <c r="N43" s="3">
        <v>0</v>
      </c>
      <c r="O43" s="3">
        <v>0</v>
      </c>
      <c r="P43" s="3">
        <v>0</v>
      </c>
      <c r="Q43" s="13">
        <v>0</v>
      </c>
      <c r="R43" s="11">
        <f>SUM(Table1[[#This Row],[Минск
Indoor_]])</f>
        <v>32</v>
      </c>
      <c r="S43" s="11">
        <f>SUM(Table1[[#This Row],[Минск
Indoor_]],Table1[[#This Row],[Логойск
Зимний_]])</f>
        <v>80</v>
      </c>
      <c r="T43" s="11">
        <f>SUM(Table1[[#This Row],[Минск
Indoor_]:[Дрогичин
Дуатлон_]])</f>
        <v>80</v>
      </c>
      <c r="U43" s="11">
        <f>SUM(Table1[[#This Row],[Минск
Indoor_]:[Могилёв
Спринт_]])</f>
        <v>117</v>
      </c>
      <c r="V43" s="11">
        <f>SUM(Table1[[#This Row],[Минск
Indoor_]:[Лепель Кросс_]])</f>
        <v>117</v>
      </c>
      <c r="W43" s="11">
        <f>SUM(Table1[[#This Row],[Минск
Indoor_]:[Гомель Спринт_]])</f>
        <v>154</v>
      </c>
      <c r="X43" s="11">
        <f>SUM(Table1[[#This Row],[Минск
Indoor_]:[Заславль
Мульти_]])</f>
        <v>154</v>
      </c>
      <c r="Y43" s="11">
        <f>SUM(Table1[[#This Row],[Минск
Indoor_]:[Брест
Олимпик_]])</f>
        <v>154</v>
      </c>
      <c r="Z43" s="11">
        <f>SUM(Table1[[#This Row],[Минск
Indoor_]:[Святск Триатлон_]])</f>
        <v>154</v>
      </c>
      <c r="AA43" s="11">
        <f>SUM(Table1[[#This Row],[Минск
Indoor_]:[Минск
Триатлон_]])</f>
        <v>154</v>
      </c>
      <c r="AB43" s="11">
        <f>SUM(Table1[[#This Row],[Минск
Indoor_]:[Гомель Кросс_]])</f>
        <v>154</v>
      </c>
      <c r="AC43" s="11">
        <f>SUM(Table1[[#This Row],[Минск
Indoor_]:[Минск Полный_]])</f>
        <v>154</v>
      </c>
      <c r="AD43" s="11">
        <f>SUM(Table1[[#This Row],[Минск
Indoor_]:[Раубичи
Дуатлон_]])</f>
        <v>154</v>
      </c>
      <c r="AE43" s="17">
        <v>154</v>
      </c>
      <c r="AF43" s="17">
        <f>Table1[[#This Row],[Раубичи
Дуатлон]]-AE43</f>
        <v>0</v>
      </c>
    </row>
    <row r="44" spans="1:32" ht="12.75" hidden="1" customHeight="1" x14ac:dyDescent="0.2">
      <c r="A44" s="1" t="s">
        <v>73</v>
      </c>
      <c r="B44" s="15" t="s">
        <v>170</v>
      </c>
      <c r="C44" s="1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3">
        <v>0</v>
      </c>
      <c r="K44" s="3">
        <f>80+0-17+1</f>
        <v>64</v>
      </c>
      <c r="L44" s="3">
        <v>0</v>
      </c>
      <c r="M44" s="3">
        <v>0</v>
      </c>
      <c r="N44" s="3">
        <v>0</v>
      </c>
      <c r="O44" s="3">
        <f>100+0-13+1</f>
        <v>88</v>
      </c>
      <c r="P44" s="3">
        <v>0</v>
      </c>
      <c r="Q44" s="13">
        <v>0</v>
      </c>
      <c r="R44" s="11">
        <f>SUM(Table1[[#This Row],[Минск
Indoor_]])</f>
        <v>0</v>
      </c>
      <c r="S44" s="11">
        <f>SUM(Table1[[#This Row],[Минск
Indoor_]],Table1[[#This Row],[Логойск
Зимний_]])</f>
        <v>0</v>
      </c>
      <c r="T44" s="11">
        <f>SUM(Table1[[#This Row],[Минск
Indoor_]:[Дрогичин
Дуатлон_]])</f>
        <v>0</v>
      </c>
      <c r="U44" s="11">
        <f>SUM(Table1[[#This Row],[Минск
Indoor_]:[Могилёв
Спринт_]])</f>
        <v>0</v>
      </c>
      <c r="V44" s="11">
        <f>SUM(Table1[[#This Row],[Минск
Indoor_]:[Лепель Кросс_]])</f>
        <v>0</v>
      </c>
      <c r="W44" s="11">
        <f>SUM(Table1[[#This Row],[Минск
Indoor_]:[Гомель Спринт_]])</f>
        <v>0</v>
      </c>
      <c r="X44" s="11">
        <f>SUM(Table1[[#This Row],[Минск
Indoor_]:[Заславль
Мульти_]])</f>
        <v>0</v>
      </c>
      <c r="Y44" s="11">
        <f>SUM(Table1[[#This Row],[Минск
Indoor_]:[Брест
Олимпик_]])</f>
        <v>64</v>
      </c>
      <c r="Z44" s="11">
        <f>SUM(Table1[[#This Row],[Минск
Indoor_]:[Святск Триатлон_]])</f>
        <v>64</v>
      </c>
      <c r="AA44" s="11">
        <f>SUM(Table1[[#This Row],[Минск
Indoor_]:[Минск
Триатлон_]])</f>
        <v>64</v>
      </c>
      <c r="AB44" s="11">
        <f>SUM(Table1[[#This Row],[Минск
Indoor_]:[Гомель Кросс_]])</f>
        <v>64</v>
      </c>
      <c r="AC44" s="11">
        <f>SUM(Table1[[#This Row],[Минск
Indoor_]:[Минск Полный_]])</f>
        <v>152</v>
      </c>
      <c r="AD44" s="11">
        <f>SUM(Table1[[#This Row],[Минск
Indoor_]:[Раубичи
Дуатлон_]])</f>
        <v>152</v>
      </c>
      <c r="AE44" s="17">
        <v>152</v>
      </c>
      <c r="AF44" s="17">
        <f>Table1[[#This Row],[Раубичи
Дуатлон]]-AE44</f>
        <v>0</v>
      </c>
    </row>
    <row r="45" spans="1:32" ht="12.75" hidden="1" customHeight="1" x14ac:dyDescent="0.2">
      <c r="A45" s="1" t="s">
        <v>74</v>
      </c>
      <c r="B45" s="15" t="s">
        <v>170</v>
      </c>
      <c r="C45" s="1"/>
      <c r="D45" s="2">
        <v>0</v>
      </c>
      <c r="E45" s="2">
        <v>0</v>
      </c>
      <c r="F45" s="3">
        <f>70+0-20+1</f>
        <v>51</v>
      </c>
      <c r="G45" s="3">
        <f>60+0-23+1</f>
        <v>38</v>
      </c>
      <c r="H45" s="3">
        <f>70+0-14+1</f>
        <v>57</v>
      </c>
      <c r="I45" s="2">
        <v>0</v>
      </c>
      <c r="J45" s="2">
        <v>0</v>
      </c>
      <c r="K45" s="2">
        <v>0</v>
      </c>
      <c r="L45" s="2">
        <v>0</v>
      </c>
      <c r="M45" s="3">
        <v>0</v>
      </c>
      <c r="N45" s="3">
        <v>0</v>
      </c>
      <c r="O45" s="3">
        <v>0</v>
      </c>
      <c r="P45" s="3">
        <v>0</v>
      </c>
      <c r="Q45" s="13">
        <v>0</v>
      </c>
      <c r="R45" s="11">
        <f>SUM(Table1[[#This Row],[Минск
Indoor_]])</f>
        <v>0</v>
      </c>
      <c r="S45" s="11">
        <f>SUM(Table1[[#This Row],[Минск
Indoor_]],Table1[[#This Row],[Логойск
Зимний_]])</f>
        <v>0</v>
      </c>
      <c r="T45" s="11">
        <f>SUM(Table1[[#This Row],[Минск
Indoor_]:[Дрогичин
Дуатлон_]])</f>
        <v>51</v>
      </c>
      <c r="U45" s="11">
        <f>SUM(Table1[[#This Row],[Минск
Indoor_]:[Могилёв
Спринт_]])</f>
        <v>89</v>
      </c>
      <c r="V45" s="11">
        <f>SUM(Table1[[#This Row],[Минск
Indoor_]:[Лепель Кросс_]])</f>
        <v>146</v>
      </c>
      <c r="W45" s="11">
        <f>SUM(Table1[[#This Row],[Минск
Indoor_]:[Гомель Спринт_]])</f>
        <v>146</v>
      </c>
      <c r="X45" s="11">
        <f>SUM(Table1[[#This Row],[Минск
Indoor_]:[Заславль
Мульти_]])</f>
        <v>146</v>
      </c>
      <c r="Y45" s="11">
        <f>SUM(Table1[[#This Row],[Минск
Indoor_]:[Брест
Олимпик_]])</f>
        <v>146</v>
      </c>
      <c r="Z45" s="11">
        <f>SUM(Table1[[#This Row],[Минск
Indoor_]:[Святск Триатлон_]])</f>
        <v>146</v>
      </c>
      <c r="AA45" s="11">
        <f>SUM(Table1[[#This Row],[Минск
Indoor_]:[Минск
Триатлон_]])</f>
        <v>146</v>
      </c>
      <c r="AB45" s="11">
        <f>SUM(Table1[[#This Row],[Минск
Indoor_]:[Гомель Кросс_]])</f>
        <v>146</v>
      </c>
      <c r="AC45" s="11">
        <f>SUM(Table1[[#This Row],[Минск
Indoor_]:[Минск Полный_]])</f>
        <v>146</v>
      </c>
      <c r="AD45" s="11">
        <f>SUM(Table1[[#This Row],[Минск
Indoor_]:[Раубичи
Дуатлон_]])</f>
        <v>146</v>
      </c>
      <c r="AE45" s="17">
        <v>146</v>
      </c>
      <c r="AF45" s="17">
        <f>Table1[[#This Row],[Раубичи
Дуатлон]]-AE45</f>
        <v>0</v>
      </c>
    </row>
    <row r="46" spans="1:32" ht="12.75" hidden="1" customHeight="1" x14ac:dyDescent="0.2">
      <c r="A46" s="1" t="s">
        <v>75</v>
      </c>
      <c r="B46" s="15" t="s">
        <v>170</v>
      </c>
      <c r="C46" s="1"/>
      <c r="D46" s="2">
        <v>0</v>
      </c>
      <c r="E46" s="2">
        <v>0</v>
      </c>
      <c r="F46" s="2">
        <v>0</v>
      </c>
      <c r="G46" s="2">
        <v>0</v>
      </c>
      <c r="H46" s="3">
        <f>70+0-13+1</f>
        <v>58</v>
      </c>
      <c r="I46" s="2">
        <v>0</v>
      </c>
      <c r="J46" s="2">
        <v>0</v>
      </c>
      <c r="K46" s="3">
        <v>0</v>
      </c>
      <c r="L46" s="3">
        <f>80+0-14+1</f>
        <v>67</v>
      </c>
      <c r="M46" s="3">
        <f>90+0-73+1</f>
        <v>18</v>
      </c>
      <c r="N46" s="3">
        <v>0</v>
      </c>
      <c r="O46" s="3">
        <v>0</v>
      </c>
      <c r="P46" s="3">
        <v>0</v>
      </c>
      <c r="Q46" s="13">
        <v>0</v>
      </c>
      <c r="R46" s="11">
        <f>SUM(Table1[[#This Row],[Минск
Indoor_]])</f>
        <v>0</v>
      </c>
      <c r="S46" s="11">
        <f>SUM(Table1[[#This Row],[Минск
Indoor_]],Table1[[#This Row],[Логойск
Зимний_]])</f>
        <v>0</v>
      </c>
      <c r="T46" s="11">
        <f>SUM(Table1[[#This Row],[Минск
Indoor_]:[Дрогичин
Дуатлон_]])</f>
        <v>0</v>
      </c>
      <c r="U46" s="11">
        <f>SUM(Table1[[#This Row],[Минск
Indoor_]:[Могилёв
Спринт_]])</f>
        <v>0</v>
      </c>
      <c r="V46" s="11">
        <f>SUM(Table1[[#This Row],[Минск
Indoor_]:[Лепель Кросс_]])</f>
        <v>58</v>
      </c>
      <c r="W46" s="11">
        <f>SUM(Table1[[#This Row],[Минск
Indoor_]:[Гомель Спринт_]])</f>
        <v>58</v>
      </c>
      <c r="X46" s="11">
        <f>SUM(Table1[[#This Row],[Минск
Indoor_]:[Заславль
Мульти_]])</f>
        <v>58</v>
      </c>
      <c r="Y46" s="11">
        <f>SUM(Table1[[#This Row],[Минск
Indoor_]:[Брест
Олимпик_]])</f>
        <v>58</v>
      </c>
      <c r="Z46" s="11">
        <f>SUM(Table1[[#This Row],[Минск
Indoor_]:[Святск Триатлон_]])</f>
        <v>125</v>
      </c>
      <c r="AA46" s="11">
        <f>SUM(Table1[[#This Row],[Минск
Indoor_]:[Минск
Триатлон_]])</f>
        <v>143</v>
      </c>
      <c r="AB46" s="11">
        <f>SUM(Table1[[#This Row],[Минск
Indoor_]:[Гомель Кросс_]])</f>
        <v>143</v>
      </c>
      <c r="AC46" s="11">
        <f>SUM(Table1[[#This Row],[Минск
Indoor_]:[Минск Полный_]])</f>
        <v>143</v>
      </c>
      <c r="AD46" s="11">
        <f>SUM(Table1[[#This Row],[Минск
Indoor_]:[Раубичи
Дуатлон_]])</f>
        <v>143</v>
      </c>
      <c r="AE46" s="17">
        <v>143</v>
      </c>
      <c r="AF46" s="17">
        <f>Table1[[#This Row],[Раубичи
Дуатлон]]-AE46</f>
        <v>0</v>
      </c>
    </row>
    <row r="47" spans="1:32" ht="12.75" hidden="1" customHeight="1" x14ac:dyDescent="0.2">
      <c r="A47" s="1" t="s">
        <v>76</v>
      </c>
      <c r="B47" s="15" t="s">
        <v>170</v>
      </c>
      <c r="C47" s="1" t="s">
        <v>17</v>
      </c>
      <c r="D47" s="3">
        <f>50+0-17+1</f>
        <v>34</v>
      </c>
      <c r="E47" s="2">
        <v>0</v>
      </c>
      <c r="F47" s="2">
        <v>0</v>
      </c>
      <c r="G47" s="3">
        <f>60+1-16+1</f>
        <v>46</v>
      </c>
      <c r="H47" s="2">
        <v>0</v>
      </c>
      <c r="I47" s="2">
        <v>0</v>
      </c>
      <c r="J47" s="2">
        <v>0</v>
      </c>
      <c r="K47" s="2">
        <v>0</v>
      </c>
      <c r="L47" s="3">
        <f>80+0-19+1</f>
        <v>62</v>
      </c>
      <c r="M47" s="3">
        <v>0</v>
      </c>
      <c r="N47" s="3">
        <v>0</v>
      </c>
      <c r="O47" s="3">
        <v>0</v>
      </c>
      <c r="P47" s="3">
        <v>0</v>
      </c>
      <c r="Q47" s="13">
        <v>0</v>
      </c>
      <c r="R47" s="11">
        <f>SUM(Table1[[#This Row],[Минск
Indoor_]])</f>
        <v>34</v>
      </c>
      <c r="S47" s="11">
        <f>SUM(Table1[[#This Row],[Минск
Indoor_]],Table1[[#This Row],[Логойск
Зимний_]])</f>
        <v>34</v>
      </c>
      <c r="T47" s="11">
        <f>SUM(Table1[[#This Row],[Минск
Indoor_]:[Дрогичин
Дуатлон_]])</f>
        <v>34</v>
      </c>
      <c r="U47" s="11">
        <f>SUM(Table1[[#This Row],[Минск
Indoor_]:[Могилёв
Спринт_]])</f>
        <v>80</v>
      </c>
      <c r="V47" s="11">
        <f>SUM(Table1[[#This Row],[Минск
Indoor_]:[Лепель Кросс_]])</f>
        <v>80</v>
      </c>
      <c r="W47" s="11">
        <f>SUM(Table1[[#This Row],[Минск
Indoor_]:[Гомель Спринт_]])</f>
        <v>80</v>
      </c>
      <c r="X47" s="11">
        <f>SUM(Table1[[#This Row],[Минск
Indoor_]:[Заславль
Мульти_]])</f>
        <v>80</v>
      </c>
      <c r="Y47" s="11">
        <f>SUM(Table1[[#This Row],[Минск
Indoor_]:[Брест
Олимпик_]])</f>
        <v>80</v>
      </c>
      <c r="Z47" s="11">
        <f>SUM(Table1[[#This Row],[Минск
Indoor_]:[Святск Триатлон_]])</f>
        <v>142</v>
      </c>
      <c r="AA47" s="11">
        <f>SUM(Table1[[#This Row],[Минск
Indoor_]:[Минск
Триатлон_]])</f>
        <v>142</v>
      </c>
      <c r="AB47" s="11">
        <f>SUM(Table1[[#This Row],[Минск
Indoor_]:[Гомель Кросс_]])</f>
        <v>142</v>
      </c>
      <c r="AC47" s="11">
        <f>SUM(Table1[[#This Row],[Минск
Indoor_]:[Минск Полный_]])</f>
        <v>142</v>
      </c>
      <c r="AD47" s="11">
        <f>SUM(Table1[[#This Row],[Минск
Indoor_]:[Раубичи
Дуатлон_]])</f>
        <v>142</v>
      </c>
      <c r="AE47" s="17">
        <v>142</v>
      </c>
      <c r="AF47" s="17">
        <f>Table1[[#This Row],[Раубичи
Дуатлон]]-AE47</f>
        <v>0</v>
      </c>
    </row>
    <row r="48" spans="1:32" ht="12.75" hidden="1" customHeight="1" x14ac:dyDescent="0.2">
      <c r="A48" s="1" t="s">
        <v>77</v>
      </c>
      <c r="B48" s="15" t="s">
        <v>170</v>
      </c>
      <c r="C48" s="1" t="s">
        <v>17</v>
      </c>
      <c r="D48" s="2">
        <v>0</v>
      </c>
      <c r="E48" s="2">
        <v>0</v>
      </c>
      <c r="F48" s="3">
        <f>70+0-36+1</f>
        <v>35</v>
      </c>
      <c r="G48" s="2">
        <v>0</v>
      </c>
      <c r="H48" s="2">
        <v>0</v>
      </c>
      <c r="I48" s="3">
        <f>70+0-48+1</f>
        <v>23</v>
      </c>
      <c r="J48" s="2">
        <v>0</v>
      </c>
      <c r="K48" s="3">
        <f>80+0-35+1</f>
        <v>46</v>
      </c>
      <c r="L48" s="2">
        <v>0</v>
      </c>
      <c r="M48" s="3">
        <f>90+0-69+1</f>
        <v>22</v>
      </c>
      <c r="N48" s="3">
        <v>0</v>
      </c>
      <c r="O48" s="3">
        <v>0</v>
      </c>
      <c r="P48" s="3">
        <v>0</v>
      </c>
      <c r="Q48" s="13">
        <v>0</v>
      </c>
      <c r="R48" s="11">
        <f>SUM(Table1[[#This Row],[Минск
Indoor_]])</f>
        <v>0</v>
      </c>
      <c r="S48" s="11">
        <f>SUM(Table1[[#This Row],[Минск
Indoor_]],Table1[[#This Row],[Логойск
Зимний_]])</f>
        <v>0</v>
      </c>
      <c r="T48" s="11">
        <f>SUM(Table1[[#This Row],[Минск
Indoor_]:[Дрогичин
Дуатлон_]])</f>
        <v>35</v>
      </c>
      <c r="U48" s="11">
        <f>SUM(Table1[[#This Row],[Минск
Indoor_]:[Могилёв
Спринт_]])</f>
        <v>35</v>
      </c>
      <c r="V48" s="11">
        <f>SUM(Table1[[#This Row],[Минск
Indoor_]:[Лепель Кросс_]])</f>
        <v>35</v>
      </c>
      <c r="W48" s="11">
        <f>SUM(Table1[[#This Row],[Минск
Indoor_]:[Гомель Спринт_]])</f>
        <v>58</v>
      </c>
      <c r="X48" s="11">
        <f>SUM(Table1[[#This Row],[Минск
Indoor_]:[Заславль
Мульти_]])</f>
        <v>58</v>
      </c>
      <c r="Y48" s="11">
        <f>SUM(Table1[[#This Row],[Минск
Indoor_]:[Брест
Олимпик_]])</f>
        <v>104</v>
      </c>
      <c r="Z48" s="11">
        <f>SUM(Table1[[#This Row],[Минск
Indoor_]:[Святск Триатлон_]])</f>
        <v>104</v>
      </c>
      <c r="AA48" s="11">
        <f>SUM(Table1[[#This Row],[Минск
Indoor_]:[Минск
Триатлон_]])</f>
        <v>126</v>
      </c>
      <c r="AB48" s="11">
        <f>SUM(Table1[[#This Row],[Минск
Indoor_]:[Гомель Кросс_]])</f>
        <v>126</v>
      </c>
      <c r="AC48" s="11">
        <f>SUM(Table1[[#This Row],[Минск
Indoor_]:[Минск Полный_]])</f>
        <v>126</v>
      </c>
      <c r="AD48" s="11">
        <f>SUM(Table1[[#This Row],[Минск
Indoor_]:[Раубичи
Дуатлон_]])</f>
        <v>126</v>
      </c>
      <c r="AE48" s="17">
        <v>126</v>
      </c>
      <c r="AF48" s="17">
        <f>Table1[[#This Row],[Раубичи
Дуатлон]]-AE48</f>
        <v>0</v>
      </c>
    </row>
    <row r="49" spans="1:32" ht="12.75" hidden="1" customHeight="1" x14ac:dyDescent="0.2">
      <c r="A49" s="1" t="s">
        <v>78</v>
      </c>
      <c r="B49" s="15" t="s">
        <v>170</v>
      </c>
      <c r="C49" s="1"/>
      <c r="D49" s="2">
        <v>0</v>
      </c>
      <c r="E49" s="2">
        <v>0</v>
      </c>
      <c r="F49" s="2">
        <v>0</v>
      </c>
      <c r="G49" s="3">
        <f>60+0-52+1</f>
        <v>9</v>
      </c>
      <c r="H49" s="2">
        <v>0</v>
      </c>
      <c r="I49" s="2">
        <v>0</v>
      </c>
      <c r="J49" s="3">
        <f>70+0-29+1</f>
        <v>42</v>
      </c>
      <c r="K49" s="2">
        <v>0</v>
      </c>
      <c r="L49" s="3">
        <v>0</v>
      </c>
      <c r="M49" s="3">
        <f>80+0-51+1</f>
        <v>30</v>
      </c>
      <c r="N49" s="3">
        <v>0</v>
      </c>
      <c r="O49" s="3">
        <v>0</v>
      </c>
      <c r="P49" s="3">
        <f>70+0-36+1</f>
        <v>35</v>
      </c>
      <c r="Q49" s="13">
        <v>0</v>
      </c>
      <c r="R49" s="11">
        <f>SUM(Table1[[#This Row],[Минск
Indoor_]])</f>
        <v>0</v>
      </c>
      <c r="S49" s="11">
        <f>SUM(Table1[[#This Row],[Минск
Indoor_]],Table1[[#This Row],[Логойск
Зимний_]])</f>
        <v>0</v>
      </c>
      <c r="T49" s="11">
        <f>SUM(Table1[[#This Row],[Минск
Indoor_]:[Дрогичин
Дуатлон_]])</f>
        <v>0</v>
      </c>
      <c r="U49" s="11">
        <f>SUM(Table1[[#This Row],[Минск
Indoor_]:[Могилёв
Спринт_]])</f>
        <v>9</v>
      </c>
      <c r="V49" s="11">
        <f>SUM(Table1[[#This Row],[Минск
Indoor_]:[Лепель Кросс_]])</f>
        <v>9</v>
      </c>
      <c r="W49" s="11">
        <f>SUM(Table1[[#This Row],[Минск
Indoor_]:[Гомель Спринт_]])</f>
        <v>9</v>
      </c>
      <c r="X49" s="11">
        <f>SUM(Table1[[#This Row],[Минск
Indoor_]:[Заславль
Мульти_]])</f>
        <v>51</v>
      </c>
      <c r="Y49" s="11">
        <f>SUM(Table1[[#This Row],[Минск
Indoor_]:[Брест
Олимпик_]])</f>
        <v>51</v>
      </c>
      <c r="Z49" s="11">
        <f>SUM(Table1[[#This Row],[Минск
Indoor_]:[Святск Триатлон_]])</f>
        <v>51</v>
      </c>
      <c r="AA49" s="11">
        <f>SUM(Table1[[#This Row],[Минск
Indoor_]:[Минск
Триатлон_]])</f>
        <v>81</v>
      </c>
      <c r="AB49" s="11">
        <f>SUM(Table1[[#This Row],[Минск
Indoor_]:[Гомель Кросс_]])</f>
        <v>81</v>
      </c>
      <c r="AC49" s="11">
        <f>SUM(Table1[[#This Row],[Минск
Indoor_]:[Минск Полный_]])</f>
        <v>81</v>
      </c>
      <c r="AD49" s="11">
        <f>SUM(Table1[[#This Row],[Минск
Indoor_]:[Раубичи
Дуатлон_]])</f>
        <v>116</v>
      </c>
      <c r="AE49" s="17">
        <v>116</v>
      </c>
      <c r="AF49" s="17">
        <f>Table1[[#This Row],[Раубичи
Дуатлон]]-AE49</f>
        <v>0</v>
      </c>
    </row>
    <row r="50" spans="1:32" ht="12.75" hidden="1" customHeight="1" x14ac:dyDescent="0.2">
      <c r="A50" s="1" t="s">
        <v>79</v>
      </c>
      <c r="B50" s="15" t="s">
        <v>170</v>
      </c>
      <c r="C50" s="1" t="s">
        <v>17</v>
      </c>
      <c r="D50" s="3">
        <f>50+0-18+1</f>
        <v>33</v>
      </c>
      <c r="E50" s="3">
        <f>60+0-33+1</f>
        <v>28</v>
      </c>
      <c r="F50" s="2">
        <v>0</v>
      </c>
      <c r="G50" s="3">
        <f>60+0-21+1</f>
        <v>40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3">
        <v>0</v>
      </c>
      <c r="N50" s="3">
        <v>0</v>
      </c>
      <c r="O50" s="3">
        <v>0</v>
      </c>
      <c r="P50" s="3">
        <v>0</v>
      </c>
      <c r="Q50" s="13">
        <v>0</v>
      </c>
      <c r="R50" s="11">
        <f>SUM(Table1[[#This Row],[Минск
Indoor_]])</f>
        <v>33</v>
      </c>
      <c r="S50" s="11">
        <f>SUM(Table1[[#This Row],[Минск
Indoor_]],Table1[[#This Row],[Логойск
Зимний_]])</f>
        <v>61</v>
      </c>
      <c r="T50" s="11">
        <f>SUM(Table1[[#This Row],[Минск
Indoor_]:[Дрогичин
Дуатлон_]])</f>
        <v>61</v>
      </c>
      <c r="U50" s="11">
        <f>SUM(Table1[[#This Row],[Минск
Indoor_]:[Могилёв
Спринт_]])</f>
        <v>101</v>
      </c>
      <c r="V50" s="11">
        <f>SUM(Table1[[#This Row],[Минск
Indoor_]:[Лепель Кросс_]])</f>
        <v>101</v>
      </c>
      <c r="W50" s="11">
        <f>SUM(Table1[[#This Row],[Минск
Indoor_]:[Гомель Спринт_]])</f>
        <v>101</v>
      </c>
      <c r="X50" s="11">
        <f>SUM(Table1[[#This Row],[Минск
Indoor_]:[Заславль
Мульти_]])</f>
        <v>101</v>
      </c>
      <c r="Y50" s="11">
        <f>SUM(Table1[[#This Row],[Минск
Indoor_]:[Брест
Олимпик_]])</f>
        <v>101</v>
      </c>
      <c r="Z50" s="11">
        <f>SUM(Table1[[#This Row],[Минск
Indoor_]:[Святск Триатлон_]])</f>
        <v>101</v>
      </c>
      <c r="AA50" s="11">
        <f>SUM(Table1[[#This Row],[Минск
Indoor_]:[Минск
Триатлон_]])</f>
        <v>101</v>
      </c>
      <c r="AB50" s="11">
        <f>SUM(Table1[[#This Row],[Минск
Indoor_]:[Гомель Кросс_]])</f>
        <v>101</v>
      </c>
      <c r="AC50" s="11">
        <f>SUM(Table1[[#This Row],[Минск
Indoor_]:[Минск Полный_]])</f>
        <v>101</v>
      </c>
      <c r="AD50" s="11">
        <f>SUM(Table1[[#This Row],[Минск
Indoor_]:[Раубичи
Дуатлон_]])</f>
        <v>101</v>
      </c>
      <c r="AE50" s="17">
        <v>101</v>
      </c>
      <c r="AF50" s="17">
        <f>Table1[[#This Row],[Раубичи
Дуатлон]]-AE50</f>
        <v>0</v>
      </c>
    </row>
    <row r="51" spans="1:32" ht="12.75" hidden="1" customHeight="1" x14ac:dyDescent="0.2">
      <c r="A51" s="1" t="s">
        <v>80</v>
      </c>
      <c r="B51" s="15" t="s">
        <v>170</v>
      </c>
      <c r="C51" s="1" t="s">
        <v>81</v>
      </c>
      <c r="D51" s="2">
        <v>0</v>
      </c>
      <c r="E51" s="2">
        <v>0</v>
      </c>
      <c r="F51" s="2">
        <v>0</v>
      </c>
      <c r="G51" s="3">
        <f>60+0-49+1</f>
        <v>12</v>
      </c>
      <c r="H51" s="3">
        <f>70+0-32+1</f>
        <v>39</v>
      </c>
      <c r="I51" s="3">
        <f>70+2-56+1</f>
        <v>17</v>
      </c>
      <c r="J51" s="3">
        <f>70+0-42+1</f>
        <v>29</v>
      </c>
      <c r="K51" s="2">
        <v>0</v>
      </c>
      <c r="L51" s="2">
        <v>0</v>
      </c>
      <c r="M51" s="2">
        <v>0</v>
      </c>
      <c r="N51" s="3">
        <v>0</v>
      </c>
      <c r="O51" s="3">
        <v>0</v>
      </c>
      <c r="P51" s="3">
        <v>0</v>
      </c>
      <c r="Q51" s="13">
        <v>0</v>
      </c>
      <c r="R51" s="11">
        <f>SUM(Table1[[#This Row],[Минск
Indoor_]])</f>
        <v>0</v>
      </c>
      <c r="S51" s="11">
        <f>SUM(Table1[[#This Row],[Минск
Indoor_]],Table1[[#This Row],[Логойск
Зимний_]])</f>
        <v>0</v>
      </c>
      <c r="T51" s="11">
        <f>SUM(Table1[[#This Row],[Минск
Indoor_]:[Дрогичин
Дуатлон_]])</f>
        <v>0</v>
      </c>
      <c r="U51" s="11">
        <f>SUM(Table1[[#This Row],[Минск
Indoor_]:[Могилёв
Спринт_]])</f>
        <v>12</v>
      </c>
      <c r="V51" s="11">
        <f>SUM(Table1[[#This Row],[Минск
Indoor_]:[Лепель Кросс_]])</f>
        <v>51</v>
      </c>
      <c r="W51" s="11">
        <f>SUM(Table1[[#This Row],[Минск
Indoor_]:[Гомель Спринт_]])</f>
        <v>68</v>
      </c>
      <c r="X51" s="11">
        <f>SUM(Table1[[#This Row],[Минск
Indoor_]:[Заславль
Мульти_]])</f>
        <v>97</v>
      </c>
      <c r="Y51" s="11">
        <f>SUM(Table1[[#This Row],[Минск
Indoor_]:[Брест
Олимпик_]])</f>
        <v>97</v>
      </c>
      <c r="Z51" s="11">
        <f>SUM(Table1[[#This Row],[Минск
Indoor_]:[Святск Триатлон_]])</f>
        <v>97</v>
      </c>
      <c r="AA51" s="11">
        <f>SUM(Table1[[#This Row],[Минск
Indoor_]:[Минск
Триатлон_]])</f>
        <v>97</v>
      </c>
      <c r="AB51" s="11">
        <f>SUM(Table1[[#This Row],[Минск
Indoor_]:[Гомель Кросс_]])</f>
        <v>97</v>
      </c>
      <c r="AC51" s="11">
        <f>SUM(Table1[[#This Row],[Минск
Indoor_]:[Минск Полный_]])</f>
        <v>97</v>
      </c>
      <c r="AD51" s="11">
        <f>SUM(Table1[[#This Row],[Минск
Indoor_]:[Раубичи
Дуатлон_]])</f>
        <v>97</v>
      </c>
      <c r="AE51" s="17">
        <v>97</v>
      </c>
      <c r="AF51" s="17">
        <f>Table1[[#This Row],[Раубичи
Дуатлон]]-AE51</f>
        <v>0</v>
      </c>
    </row>
    <row r="52" spans="1:32" ht="12.75" hidden="1" customHeight="1" x14ac:dyDescent="0.2">
      <c r="A52" s="1" t="s">
        <v>82</v>
      </c>
      <c r="B52" s="15" t="s">
        <v>170</v>
      </c>
      <c r="C52" s="1"/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3">
        <v>0</v>
      </c>
      <c r="K52" s="3">
        <v>0</v>
      </c>
      <c r="L52" s="3">
        <v>0</v>
      </c>
      <c r="M52" s="3">
        <f>90+0-83+1</f>
        <v>8</v>
      </c>
      <c r="N52" s="3">
        <v>0</v>
      </c>
      <c r="O52" s="3">
        <f>100+0-15+1</f>
        <v>86</v>
      </c>
      <c r="P52" s="3">
        <v>0</v>
      </c>
      <c r="Q52" s="13">
        <v>0</v>
      </c>
      <c r="R52" s="11">
        <f>SUM(Table1[[#This Row],[Минск
Indoor_]])</f>
        <v>0</v>
      </c>
      <c r="S52" s="11">
        <f>SUM(Table1[[#This Row],[Минск
Indoor_]],Table1[[#This Row],[Логойск
Зимний_]])</f>
        <v>0</v>
      </c>
      <c r="T52" s="11">
        <f>SUM(Table1[[#This Row],[Минск
Indoor_]:[Дрогичин
Дуатлон_]])</f>
        <v>0</v>
      </c>
      <c r="U52" s="11">
        <f>SUM(Table1[[#This Row],[Минск
Indoor_]:[Могилёв
Спринт_]])</f>
        <v>0</v>
      </c>
      <c r="V52" s="11">
        <f>SUM(Table1[[#This Row],[Минск
Indoor_]:[Лепель Кросс_]])</f>
        <v>0</v>
      </c>
      <c r="W52" s="11">
        <f>SUM(Table1[[#This Row],[Минск
Indoor_]:[Гомель Спринт_]])</f>
        <v>0</v>
      </c>
      <c r="X52" s="11">
        <f>SUM(Table1[[#This Row],[Минск
Indoor_]:[Заславль
Мульти_]])</f>
        <v>0</v>
      </c>
      <c r="Y52" s="11">
        <f>SUM(Table1[[#This Row],[Минск
Indoor_]:[Брест
Олимпик_]])</f>
        <v>0</v>
      </c>
      <c r="Z52" s="11">
        <f>SUM(Table1[[#This Row],[Минск
Indoor_]:[Святск Триатлон_]])</f>
        <v>0</v>
      </c>
      <c r="AA52" s="11">
        <f>SUM(Table1[[#This Row],[Минск
Indoor_]:[Минск
Триатлон_]])</f>
        <v>8</v>
      </c>
      <c r="AB52" s="11">
        <f>SUM(Table1[[#This Row],[Минск
Indoor_]:[Гомель Кросс_]])</f>
        <v>8</v>
      </c>
      <c r="AC52" s="11">
        <f>SUM(Table1[[#This Row],[Минск
Indoor_]:[Минск Полный_]])</f>
        <v>94</v>
      </c>
      <c r="AD52" s="11">
        <f>SUM(Table1[[#This Row],[Минск
Indoor_]:[Раубичи
Дуатлон_]])</f>
        <v>94</v>
      </c>
      <c r="AE52" s="17">
        <v>94</v>
      </c>
      <c r="AF52" s="17">
        <f>Table1[[#This Row],[Раубичи
Дуатлон]]-AE52</f>
        <v>0</v>
      </c>
    </row>
    <row r="53" spans="1:32" ht="12.75" hidden="1" customHeight="1" x14ac:dyDescent="0.2">
      <c r="A53" s="1" t="s">
        <v>83</v>
      </c>
      <c r="B53" s="15" t="s">
        <v>170</v>
      </c>
      <c r="C53" s="1" t="s">
        <v>17</v>
      </c>
      <c r="D53" s="3">
        <f>50+0-50+1</f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3">
        <f>80+0-42+1</f>
        <v>39</v>
      </c>
      <c r="L53" s="3">
        <v>0</v>
      </c>
      <c r="M53" s="3">
        <f>70+0-21+1</f>
        <v>50</v>
      </c>
      <c r="N53" s="3">
        <v>0</v>
      </c>
      <c r="O53" s="3">
        <v>0</v>
      </c>
      <c r="P53" s="3">
        <v>0</v>
      </c>
      <c r="Q53" s="13">
        <v>0</v>
      </c>
      <c r="R53" s="11">
        <f>SUM(Table1[[#This Row],[Минск
Indoor_]])</f>
        <v>1</v>
      </c>
      <c r="S53" s="11">
        <f>SUM(Table1[[#This Row],[Минск
Indoor_]],Table1[[#This Row],[Логойск
Зимний_]])</f>
        <v>1</v>
      </c>
      <c r="T53" s="11">
        <f>SUM(Table1[[#This Row],[Минск
Indoor_]:[Дрогичин
Дуатлон_]])</f>
        <v>1</v>
      </c>
      <c r="U53" s="11">
        <f>SUM(Table1[[#This Row],[Минск
Indoor_]:[Могилёв
Спринт_]])</f>
        <v>1</v>
      </c>
      <c r="V53" s="11">
        <f>SUM(Table1[[#This Row],[Минск
Indoor_]:[Лепель Кросс_]])</f>
        <v>1</v>
      </c>
      <c r="W53" s="11">
        <f>SUM(Table1[[#This Row],[Минск
Indoor_]:[Гомель Спринт_]])</f>
        <v>1</v>
      </c>
      <c r="X53" s="11">
        <f>SUM(Table1[[#This Row],[Минск
Indoor_]:[Заславль
Мульти_]])</f>
        <v>1</v>
      </c>
      <c r="Y53" s="11">
        <f>SUM(Table1[[#This Row],[Минск
Indoor_]:[Брест
Олимпик_]])</f>
        <v>40</v>
      </c>
      <c r="Z53" s="11">
        <f>SUM(Table1[[#This Row],[Минск
Indoor_]:[Святск Триатлон_]])</f>
        <v>40</v>
      </c>
      <c r="AA53" s="11">
        <f>SUM(Table1[[#This Row],[Минск
Indoor_]:[Минск
Триатлон_]])</f>
        <v>90</v>
      </c>
      <c r="AB53" s="11">
        <f>SUM(Table1[[#This Row],[Минск
Indoor_]:[Гомель Кросс_]])</f>
        <v>90</v>
      </c>
      <c r="AC53" s="11">
        <f>SUM(Table1[[#This Row],[Минск
Indoor_]:[Минск Полный_]])</f>
        <v>90</v>
      </c>
      <c r="AD53" s="11">
        <f>SUM(Table1[[#This Row],[Минск
Indoor_]:[Раубичи
Дуатлон_]])</f>
        <v>90</v>
      </c>
      <c r="AE53" s="17">
        <v>90</v>
      </c>
      <c r="AF53" s="17">
        <f>Table1[[#This Row],[Раубичи
Дуатлон]]-AE53</f>
        <v>0</v>
      </c>
    </row>
    <row r="54" spans="1:32" ht="12.75" hidden="1" customHeight="1" x14ac:dyDescent="0.2">
      <c r="A54" s="1" t="s">
        <v>84</v>
      </c>
      <c r="B54" s="15" t="s">
        <v>170</v>
      </c>
      <c r="C54" s="1" t="s">
        <v>85</v>
      </c>
      <c r="D54" s="2">
        <v>0</v>
      </c>
      <c r="E54" s="3">
        <f>60+0-24+1</f>
        <v>37</v>
      </c>
      <c r="F54" s="2">
        <v>0</v>
      </c>
      <c r="G54" s="2">
        <v>0</v>
      </c>
      <c r="H54" s="3">
        <f>70+0-20+1</f>
        <v>51</v>
      </c>
      <c r="I54" s="2">
        <v>0</v>
      </c>
      <c r="J54" s="2">
        <v>0</v>
      </c>
      <c r="K54" s="2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3">
        <v>0</v>
      </c>
      <c r="R54" s="11">
        <f>SUM(Table1[[#This Row],[Минск
Indoor_]])</f>
        <v>0</v>
      </c>
      <c r="S54" s="11">
        <f>SUM(Table1[[#This Row],[Минск
Indoor_]],Table1[[#This Row],[Логойск
Зимний_]])</f>
        <v>37</v>
      </c>
      <c r="T54" s="11">
        <f>SUM(Table1[[#This Row],[Минск
Indoor_]:[Дрогичин
Дуатлон_]])</f>
        <v>37</v>
      </c>
      <c r="U54" s="11">
        <f>SUM(Table1[[#This Row],[Минск
Indoor_]:[Могилёв
Спринт_]])</f>
        <v>37</v>
      </c>
      <c r="V54" s="11">
        <f>SUM(Table1[[#This Row],[Минск
Indoor_]:[Лепель Кросс_]])</f>
        <v>88</v>
      </c>
      <c r="W54" s="11">
        <f>SUM(Table1[[#This Row],[Минск
Indoor_]:[Гомель Спринт_]])</f>
        <v>88</v>
      </c>
      <c r="X54" s="11">
        <f>SUM(Table1[[#This Row],[Минск
Indoor_]:[Заславль
Мульти_]])</f>
        <v>88</v>
      </c>
      <c r="Y54" s="11">
        <f>SUM(Table1[[#This Row],[Минск
Indoor_]:[Брест
Олимпик_]])</f>
        <v>88</v>
      </c>
      <c r="Z54" s="11">
        <f>SUM(Table1[[#This Row],[Минск
Indoor_]:[Святск Триатлон_]])</f>
        <v>88</v>
      </c>
      <c r="AA54" s="11">
        <f>SUM(Table1[[#This Row],[Минск
Indoor_]:[Минск
Триатлон_]])</f>
        <v>88</v>
      </c>
      <c r="AB54" s="11">
        <f>SUM(Table1[[#This Row],[Минск
Indoor_]:[Гомель Кросс_]])</f>
        <v>88</v>
      </c>
      <c r="AC54" s="11">
        <f>SUM(Table1[[#This Row],[Минск
Indoor_]:[Минск Полный_]])</f>
        <v>88</v>
      </c>
      <c r="AD54" s="11">
        <f>SUM(Table1[[#This Row],[Минск
Indoor_]:[Раубичи
Дуатлон_]])</f>
        <v>88</v>
      </c>
      <c r="AE54" s="17">
        <v>88</v>
      </c>
      <c r="AF54" s="17">
        <f>Table1[[#This Row],[Раубичи
Дуатлон]]-AE54</f>
        <v>0</v>
      </c>
    </row>
    <row r="55" spans="1:32" ht="12.75" hidden="1" customHeight="1" x14ac:dyDescent="0.2">
      <c r="A55" s="1" t="s">
        <v>86</v>
      </c>
      <c r="B55" s="15" t="s">
        <v>170</v>
      </c>
      <c r="C55" s="1" t="s">
        <v>17</v>
      </c>
      <c r="D55" s="3">
        <f>50+0-48+1</f>
        <v>3</v>
      </c>
      <c r="E55" s="2">
        <v>0</v>
      </c>
      <c r="F55" s="3">
        <f>70+0-40+1</f>
        <v>31</v>
      </c>
      <c r="G55" s="2">
        <v>0</v>
      </c>
      <c r="H55" s="2">
        <v>0</v>
      </c>
      <c r="I55" s="2">
        <v>0</v>
      </c>
      <c r="J55" s="3">
        <f>70+0-30+1</f>
        <v>41</v>
      </c>
      <c r="K55" s="2">
        <v>0</v>
      </c>
      <c r="L55" s="2">
        <v>0</v>
      </c>
      <c r="M55" s="3">
        <f>90+0-78+1</f>
        <v>13</v>
      </c>
      <c r="N55" s="3">
        <v>0</v>
      </c>
      <c r="O55" s="3">
        <v>0</v>
      </c>
      <c r="P55" s="3">
        <v>0</v>
      </c>
      <c r="Q55" s="13">
        <v>0</v>
      </c>
      <c r="R55" s="11">
        <f>SUM(Table1[[#This Row],[Минск
Indoor_]])</f>
        <v>3</v>
      </c>
      <c r="S55" s="11">
        <f>SUM(Table1[[#This Row],[Минск
Indoor_]],Table1[[#This Row],[Логойск
Зимний_]])</f>
        <v>3</v>
      </c>
      <c r="T55" s="11">
        <f>SUM(Table1[[#This Row],[Минск
Indoor_]:[Дрогичин
Дуатлон_]])</f>
        <v>34</v>
      </c>
      <c r="U55" s="11">
        <f>SUM(Table1[[#This Row],[Минск
Indoor_]:[Могилёв
Спринт_]])</f>
        <v>34</v>
      </c>
      <c r="V55" s="11">
        <f>SUM(Table1[[#This Row],[Минск
Indoor_]:[Лепель Кросс_]])</f>
        <v>34</v>
      </c>
      <c r="W55" s="11">
        <f>SUM(Table1[[#This Row],[Минск
Indoor_]:[Гомель Спринт_]])</f>
        <v>34</v>
      </c>
      <c r="X55" s="11">
        <f>SUM(Table1[[#This Row],[Минск
Indoor_]:[Заславль
Мульти_]])</f>
        <v>75</v>
      </c>
      <c r="Y55" s="11">
        <f>SUM(Table1[[#This Row],[Минск
Indoor_]:[Брест
Олимпик_]])</f>
        <v>75</v>
      </c>
      <c r="Z55" s="11">
        <f>SUM(Table1[[#This Row],[Минск
Indoor_]:[Святск Триатлон_]])</f>
        <v>75</v>
      </c>
      <c r="AA55" s="11">
        <f>SUM(Table1[[#This Row],[Минск
Indoor_]:[Минск
Триатлон_]])</f>
        <v>88</v>
      </c>
      <c r="AB55" s="11">
        <f>SUM(Table1[[#This Row],[Минск
Indoor_]:[Гомель Кросс_]])</f>
        <v>88</v>
      </c>
      <c r="AC55" s="11">
        <f>SUM(Table1[[#This Row],[Минск
Indoor_]:[Минск Полный_]])</f>
        <v>88</v>
      </c>
      <c r="AD55" s="11">
        <f>SUM(Table1[[#This Row],[Минск
Indoor_]:[Раубичи
Дуатлон_]])</f>
        <v>88</v>
      </c>
      <c r="AE55" s="17">
        <v>88</v>
      </c>
      <c r="AF55" s="17">
        <f>Table1[[#This Row],[Раубичи
Дуатлон]]-AE55</f>
        <v>0</v>
      </c>
    </row>
    <row r="56" spans="1:32" ht="12.75" hidden="1" customHeight="1" x14ac:dyDescent="0.2">
      <c r="A56" s="1" t="s">
        <v>87</v>
      </c>
      <c r="B56" s="15" t="s">
        <v>170</v>
      </c>
      <c r="C56" s="1" t="s">
        <v>17</v>
      </c>
      <c r="D56" s="3">
        <f>50+0-50+1</f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3">
        <f>80+0-58+1</f>
        <v>23</v>
      </c>
      <c r="L56" s="3">
        <f>70+1-11+1</f>
        <v>61</v>
      </c>
      <c r="M56" s="3">
        <f>90+0-90+1</f>
        <v>1</v>
      </c>
      <c r="N56" s="3">
        <v>0</v>
      </c>
      <c r="O56" s="3">
        <v>0</v>
      </c>
      <c r="P56" s="3">
        <v>0</v>
      </c>
      <c r="Q56" s="13">
        <v>0</v>
      </c>
      <c r="R56" s="11">
        <f>SUM(Table1[[#This Row],[Минск
Indoor_]])</f>
        <v>1</v>
      </c>
      <c r="S56" s="11">
        <f>SUM(Table1[[#This Row],[Минск
Indoor_]],Table1[[#This Row],[Логойск
Зимний_]])</f>
        <v>1</v>
      </c>
      <c r="T56" s="11">
        <f>SUM(Table1[[#This Row],[Минск
Indoor_]:[Дрогичин
Дуатлон_]])</f>
        <v>1</v>
      </c>
      <c r="U56" s="11">
        <f>SUM(Table1[[#This Row],[Минск
Indoor_]:[Могилёв
Спринт_]])</f>
        <v>1</v>
      </c>
      <c r="V56" s="11">
        <f>SUM(Table1[[#This Row],[Минск
Indoor_]:[Лепель Кросс_]])</f>
        <v>1</v>
      </c>
      <c r="W56" s="11">
        <f>SUM(Table1[[#This Row],[Минск
Indoor_]:[Гомель Спринт_]])</f>
        <v>1</v>
      </c>
      <c r="X56" s="11">
        <f>SUM(Table1[[#This Row],[Минск
Indoor_]:[Заславль
Мульти_]])</f>
        <v>1</v>
      </c>
      <c r="Y56" s="11">
        <f>SUM(Table1[[#This Row],[Минск
Indoor_]:[Брест
Олимпик_]])</f>
        <v>24</v>
      </c>
      <c r="Z56" s="11">
        <f>SUM(Table1[[#This Row],[Минск
Indoor_]:[Святск Триатлон_]])</f>
        <v>85</v>
      </c>
      <c r="AA56" s="11">
        <f>SUM(Table1[[#This Row],[Минск
Indoor_]:[Минск
Триатлон_]])</f>
        <v>86</v>
      </c>
      <c r="AB56" s="11">
        <f>SUM(Table1[[#This Row],[Минск
Indoor_]:[Гомель Кросс_]])</f>
        <v>86</v>
      </c>
      <c r="AC56" s="11">
        <f>SUM(Table1[[#This Row],[Минск
Indoor_]:[Минск Полный_]])</f>
        <v>86</v>
      </c>
      <c r="AD56" s="11">
        <f>SUM(Table1[[#This Row],[Минск
Indoor_]:[Раубичи
Дуатлон_]])</f>
        <v>86</v>
      </c>
      <c r="AE56" s="17">
        <v>86</v>
      </c>
      <c r="AF56" s="17">
        <f>Table1[[#This Row],[Раубичи
Дуатлон]]-AE56</f>
        <v>0</v>
      </c>
    </row>
    <row r="57" spans="1:32" ht="12.75" hidden="1" customHeight="1" x14ac:dyDescent="0.2">
      <c r="A57" s="1" t="s">
        <v>88</v>
      </c>
      <c r="B57" s="15" t="s">
        <v>170</v>
      </c>
      <c r="C57" s="1" t="s">
        <v>89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3">
        <v>0</v>
      </c>
      <c r="K57" s="3">
        <v>0</v>
      </c>
      <c r="L57" s="3">
        <v>0</v>
      </c>
      <c r="M57" s="3">
        <f>90+0-10+1</f>
        <v>81</v>
      </c>
      <c r="N57" s="3">
        <v>0</v>
      </c>
      <c r="O57" s="3">
        <v>0</v>
      </c>
      <c r="P57" s="3">
        <v>0</v>
      </c>
      <c r="Q57" s="13">
        <v>0</v>
      </c>
      <c r="R57" s="11">
        <f>SUM(Table1[[#This Row],[Минск
Indoor_]])</f>
        <v>0</v>
      </c>
      <c r="S57" s="11">
        <f>SUM(Table1[[#This Row],[Минск
Indoor_]],Table1[[#This Row],[Логойск
Зимний_]])</f>
        <v>0</v>
      </c>
      <c r="T57" s="11">
        <f>SUM(Table1[[#This Row],[Минск
Indoor_]:[Дрогичин
Дуатлон_]])</f>
        <v>0</v>
      </c>
      <c r="U57" s="11">
        <f>SUM(Table1[[#This Row],[Минск
Indoor_]:[Могилёв
Спринт_]])</f>
        <v>0</v>
      </c>
      <c r="V57" s="11">
        <f>SUM(Table1[[#This Row],[Минск
Indoor_]:[Лепель Кросс_]])</f>
        <v>0</v>
      </c>
      <c r="W57" s="11">
        <f>SUM(Table1[[#This Row],[Минск
Indoor_]:[Гомель Спринт_]])</f>
        <v>0</v>
      </c>
      <c r="X57" s="11">
        <f>SUM(Table1[[#This Row],[Минск
Indoor_]:[Заславль
Мульти_]])</f>
        <v>0</v>
      </c>
      <c r="Y57" s="11">
        <f>SUM(Table1[[#This Row],[Минск
Indoor_]:[Брест
Олимпик_]])</f>
        <v>0</v>
      </c>
      <c r="Z57" s="11">
        <f>SUM(Table1[[#This Row],[Минск
Indoor_]:[Святск Триатлон_]])</f>
        <v>0</v>
      </c>
      <c r="AA57" s="11">
        <f>SUM(Table1[[#This Row],[Минск
Indoor_]:[Минск
Триатлон_]])</f>
        <v>81</v>
      </c>
      <c r="AB57" s="11">
        <f>SUM(Table1[[#This Row],[Минск
Indoor_]:[Гомель Кросс_]])</f>
        <v>81</v>
      </c>
      <c r="AC57" s="11">
        <f>SUM(Table1[[#This Row],[Минск
Indoor_]:[Минск Полный_]])</f>
        <v>81</v>
      </c>
      <c r="AD57" s="11">
        <f>SUM(Table1[[#This Row],[Минск
Indoor_]:[Раубичи
Дуатлон_]])</f>
        <v>81</v>
      </c>
      <c r="AE57" s="17">
        <v>81</v>
      </c>
      <c r="AF57" s="17">
        <f>Table1[[#This Row],[Раубичи
Дуатлон]]-AE57</f>
        <v>0</v>
      </c>
    </row>
    <row r="58" spans="1:32" ht="12.75" hidden="1" customHeight="1" x14ac:dyDescent="0.2">
      <c r="A58" s="1" t="s">
        <v>90</v>
      </c>
      <c r="B58" s="15" t="s">
        <v>170</v>
      </c>
      <c r="C58" s="1" t="s">
        <v>17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3">
        <v>0</v>
      </c>
      <c r="K58" s="3">
        <v>0</v>
      </c>
      <c r="L58" s="3">
        <v>0</v>
      </c>
      <c r="M58" s="3">
        <f>80+1-12+1</f>
        <v>70</v>
      </c>
      <c r="N58" s="3">
        <v>0</v>
      </c>
      <c r="O58" s="3">
        <v>0</v>
      </c>
      <c r="P58" s="3">
        <v>0</v>
      </c>
      <c r="Q58" s="13">
        <v>0</v>
      </c>
      <c r="R58" s="11">
        <f>SUM(Table1[[#This Row],[Минск
Indoor_]])</f>
        <v>0</v>
      </c>
      <c r="S58" s="11">
        <f>SUM(Table1[[#This Row],[Минск
Indoor_]],Table1[[#This Row],[Логойск
Зимний_]])</f>
        <v>0</v>
      </c>
      <c r="T58" s="11">
        <f>SUM(Table1[[#This Row],[Минск
Indoor_]:[Дрогичин
Дуатлон_]])</f>
        <v>0</v>
      </c>
      <c r="U58" s="11">
        <f>SUM(Table1[[#This Row],[Минск
Indoor_]:[Могилёв
Спринт_]])</f>
        <v>0</v>
      </c>
      <c r="V58" s="11">
        <f>SUM(Table1[[#This Row],[Минск
Indoor_]:[Лепель Кросс_]])</f>
        <v>0</v>
      </c>
      <c r="W58" s="11">
        <f>SUM(Table1[[#This Row],[Минск
Indoor_]:[Гомель Спринт_]])</f>
        <v>0</v>
      </c>
      <c r="X58" s="11">
        <f>SUM(Table1[[#This Row],[Минск
Indoor_]:[Заславль
Мульти_]])</f>
        <v>0</v>
      </c>
      <c r="Y58" s="11">
        <f>SUM(Table1[[#This Row],[Минск
Indoor_]:[Брест
Олимпик_]])</f>
        <v>0</v>
      </c>
      <c r="Z58" s="11">
        <f>SUM(Table1[[#This Row],[Минск
Indoor_]:[Святск Триатлон_]])</f>
        <v>0</v>
      </c>
      <c r="AA58" s="11">
        <f>SUM(Table1[[#This Row],[Минск
Indoor_]:[Минск
Триатлон_]])</f>
        <v>70</v>
      </c>
      <c r="AB58" s="11">
        <f>SUM(Table1[[#This Row],[Минск
Indoor_]:[Гомель Кросс_]])</f>
        <v>70</v>
      </c>
      <c r="AC58" s="11">
        <f>SUM(Table1[[#This Row],[Минск
Indoor_]:[Минск Полный_]])</f>
        <v>70</v>
      </c>
      <c r="AD58" s="11">
        <f>SUM(Table1[[#This Row],[Минск
Indoor_]:[Раубичи
Дуатлон_]])</f>
        <v>70</v>
      </c>
      <c r="AE58" s="17">
        <v>70</v>
      </c>
      <c r="AF58" s="17">
        <f>Table1[[#This Row],[Раубичи
Дуатлон]]-AE58</f>
        <v>0</v>
      </c>
    </row>
    <row r="59" spans="1:32" ht="12.75" hidden="1" customHeight="1" x14ac:dyDescent="0.2">
      <c r="A59" s="1" t="s">
        <v>91</v>
      </c>
      <c r="B59" s="15" t="s">
        <v>170</v>
      </c>
      <c r="C59" s="1" t="s">
        <v>21</v>
      </c>
      <c r="D59" s="2">
        <v>0</v>
      </c>
      <c r="E59" s="2">
        <v>0</v>
      </c>
      <c r="F59" s="3">
        <f>70+0-45+1</f>
        <v>26</v>
      </c>
      <c r="G59" s="2">
        <v>0</v>
      </c>
      <c r="H59" s="2">
        <v>0</v>
      </c>
      <c r="I59" s="2">
        <v>0</v>
      </c>
      <c r="J59" s="2">
        <v>0</v>
      </c>
      <c r="K59" s="3">
        <v>0</v>
      </c>
      <c r="L59" s="3">
        <v>0</v>
      </c>
      <c r="M59" s="3">
        <f>70+0-29+1</f>
        <v>42</v>
      </c>
      <c r="N59" s="3">
        <v>0</v>
      </c>
      <c r="O59" s="3">
        <v>0</v>
      </c>
      <c r="P59" s="3">
        <v>0</v>
      </c>
      <c r="Q59" s="13">
        <v>0</v>
      </c>
      <c r="R59" s="11">
        <f>SUM(Table1[[#This Row],[Минск
Indoor_]])</f>
        <v>0</v>
      </c>
      <c r="S59" s="11">
        <f>SUM(Table1[[#This Row],[Минск
Indoor_]],Table1[[#This Row],[Логойск
Зимний_]])</f>
        <v>0</v>
      </c>
      <c r="T59" s="11">
        <f>SUM(Table1[[#This Row],[Минск
Indoor_]:[Дрогичин
Дуатлон_]])</f>
        <v>26</v>
      </c>
      <c r="U59" s="11">
        <f>SUM(Table1[[#This Row],[Минск
Indoor_]:[Могилёв
Спринт_]])</f>
        <v>26</v>
      </c>
      <c r="V59" s="11">
        <f>SUM(Table1[[#This Row],[Минск
Indoor_]:[Лепель Кросс_]])</f>
        <v>26</v>
      </c>
      <c r="W59" s="11">
        <f>SUM(Table1[[#This Row],[Минск
Indoor_]:[Гомель Спринт_]])</f>
        <v>26</v>
      </c>
      <c r="X59" s="11">
        <f>SUM(Table1[[#This Row],[Минск
Indoor_]:[Заславль
Мульти_]])</f>
        <v>26</v>
      </c>
      <c r="Y59" s="11">
        <f>SUM(Table1[[#This Row],[Минск
Indoor_]:[Брест
Олимпик_]])</f>
        <v>26</v>
      </c>
      <c r="Z59" s="11">
        <f>SUM(Table1[[#This Row],[Минск
Indoor_]:[Святск Триатлон_]])</f>
        <v>26</v>
      </c>
      <c r="AA59" s="11">
        <f>SUM(Table1[[#This Row],[Минск
Indoor_]:[Минск
Триатлон_]])</f>
        <v>68</v>
      </c>
      <c r="AB59" s="11">
        <f>SUM(Table1[[#This Row],[Минск
Indoor_]:[Гомель Кросс_]])</f>
        <v>68</v>
      </c>
      <c r="AC59" s="11">
        <f>SUM(Table1[[#This Row],[Минск
Indoor_]:[Минск Полный_]])</f>
        <v>68</v>
      </c>
      <c r="AD59" s="11">
        <f>SUM(Table1[[#This Row],[Минск
Indoor_]:[Раубичи
Дуатлон_]])</f>
        <v>68</v>
      </c>
      <c r="AE59" s="17">
        <v>68</v>
      </c>
      <c r="AF59" s="17">
        <f>Table1[[#This Row],[Раубичи
Дуатлон]]-AE59</f>
        <v>0</v>
      </c>
    </row>
    <row r="60" spans="1:32" ht="12.75" hidden="1" customHeight="1" x14ac:dyDescent="0.2">
      <c r="A60" s="1" t="s">
        <v>92</v>
      </c>
      <c r="B60" s="15" t="s">
        <v>170</v>
      </c>
      <c r="C60" s="1" t="s">
        <v>17</v>
      </c>
      <c r="D60" s="3">
        <f>50+0-50+1</f>
        <v>1</v>
      </c>
      <c r="E60" s="2">
        <v>0</v>
      </c>
      <c r="F60" s="3">
        <f>70+0-41+1</f>
        <v>30</v>
      </c>
      <c r="G60" s="2">
        <v>0</v>
      </c>
      <c r="H60" s="2">
        <v>0</v>
      </c>
      <c r="I60" s="2">
        <v>0</v>
      </c>
      <c r="J60" s="3">
        <f>70+0-36+1</f>
        <v>35</v>
      </c>
      <c r="K60" s="2">
        <v>0</v>
      </c>
      <c r="L60" s="2">
        <v>0</v>
      </c>
      <c r="M60" s="3">
        <f>90+0-90+1</f>
        <v>1</v>
      </c>
      <c r="N60" s="3">
        <v>0</v>
      </c>
      <c r="O60" s="3">
        <v>0</v>
      </c>
      <c r="P60" s="3">
        <v>0</v>
      </c>
      <c r="Q60" s="13">
        <v>0</v>
      </c>
      <c r="R60" s="11">
        <f>SUM(Table1[[#This Row],[Минск
Indoor_]])</f>
        <v>1</v>
      </c>
      <c r="S60" s="11">
        <f>SUM(Table1[[#This Row],[Минск
Indoor_]],Table1[[#This Row],[Логойск
Зимний_]])</f>
        <v>1</v>
      </c>
      <c r="T60" s="11">
        <f>SUM(Table1[[#This Row],[Минск
Indoor_]:[Дрогичин
Дуатлон_]])</f>
        <v>31</v>
      </c>
      <c r="U60" s="11">
        <f>SUM(Table1[[#This Row],[Минск
Indoor_]:[Могилёв
Спринт_]])</f>
        <v>31</v>
      </c>
      <c r="V60" s="11">
        <f>SUM(Table1[[#This Row],[Минск
Indoor_]:[Лепель Кросс_]])</f>
        <v>31</v>
      </c>
      <c r="W60" s="11">
        <f>SUM(Table1[[#This Row],[Минск
Indoor_]:[Гомель Спринт_]])</f>
        <v>31</v>
      </c>
      <c r="X60" s="11">
        <f>SUM(Table1[[#This Row],[Минск
Indoor_]:[Заславль
Мульти_]])</f>
        <v>66</v>
      </c>
      <c r="Y60" s="11">
        <f>SUM(Table1[[#This Row],[Минск
Indoor_]:[Брест
Олимпик_]])</f>
        <v>66</v>
      </c>
      <c r="Z60" s="11">
        <f>SUM(Table1[[#This Row],[Минск
Indoor_]:[Святск Триатлон_]])</f>
        <v>66</v>
      </c>
      <c r="AA60" s="11">
        <f>SUM(Table1[[#This Row],[Минск
Indoor_]:[Минск
Триатлон_]])</f>
        <v>67</v>
      </c>
      <c r="AB60" s="11">
        <f>SUM(Table1[[#This Row],[Минск
Indoor_]:[Гомель Кросс_]])</f>
        <v>67</v>
      </c>
      <c r="AC60" s="11">
        <f>SUM(Table1[[#This Row],[Минск
Indoor_]:[Минск Полный_]])</f>
        <v>67</v>
      </c>
      <c r="AD60" s="11">
        <f>SUM(Table1[[#This Row],[Минск
Indoor_]:[Раубичи
Дуатлон_]])</f>
        <v>67</v>
      </c>
      <c r="AE60" s="17">
        <v>67</v>
      </c>
      <c r="AF60" s="17">
        <f>Table1[[#This Row],[Раубичи
Дуатлон]]-AE60</f>
        <v>0</v>
      </c>
    </row>
    <row r="61" spans="1:32" ht="12.75" hidden="1" customHeight="1" x14ac:dyDescent="0.2">
      <c r="A61" s="1" t="s">
        <v>93</v>
      </c>
      <c r="B61" s="15" t="s">
        <v>170</v>
      </c>
      <c r="C61" s="1" t="s">
        <v>17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3">
        <v>0</v>
      </c>
      <c r="K61" s="3">
        <v>0</v>
      </c>
      <c r="L61" s="3">
        <v>0</v>
      </c>
      <c r="M61" s="3">
        <f>80+0-19+1</f>
        <v>62</v>
      </c>
      <c r="N61" s="3">
        <v>0</v>
      </c>
      <c r="O61" s="3">
        <v>0</v>
      </c>
      <c r="P61" s="3">
        <v>0</v>
      </c>
      <c r="Q61" s="13">
        <v>0</v>
      </c>
      <c r="R61" s="11">
        <f>SUM(Table1[[#This Row],[Минск
Indoor_]])</f>
        <v>0</v>
      </c>
      <c r="S61" s="11">
        <f>SUM(Table1[[#This Row],[Минск
Indoor_]],Table1[[#This Row],[Логойск
Зимний_]])</f>
        <v>0</v>
      </c>
      <c r="T61" s="11">
        <f>SUM(Table1[[#This Row],[Минск
Indoor_]:[Дрогичин
Дуатлон_]])</f>
        <v>0</v>
      </c>
      <c r="U61" s="11">
        <f>SUM(Table1[[#This Row],[Минск
Indoor_]:[Могилёв
Спринт_]])</f>
        <v>0</v>
      </c>
      <c r="V61" s="11">
        <f>SUM(Table1[[#This Row],[Минск
Indoor_]:[Лепель Кросс_]])</f>
        <v>0</v>
      </c>
      <c r="W61" s="11">
        <f>SUM(Table1[[#This Row],[Минск
Indoor_]:[Гомель Спринт_]])</f>
        <v>0</v>
      </c>
      <c r="X61" s="11">
        <f>SUM(Table1[[#This Row],[Минск
Indoor_]:[Заславль
Мульти_]])</f>
        <v>0</v>
      </c>
      <c r="Y61" s="11">
        <f>SUM(Table1[[#This Row],[Минск
Indoor_]:[Брест
Олимпик_]])</f>
        <v>0</v>
      </c>
      <c r="Z61" s="11">
        <f>SUM(Table1[[#This Row],[Минск
Indoor_]:[Святск Триатлон_]])</f>
        <v>0</v>
      </c>
      <c r="AA61" s="11">
        <f>SUM(Table1[[#This Row],[Минск
Indoor_]:[Минск
Триатлон_]])</f>
        <v>62</v>
      </c>
      <c r="AB61" s="11">
        <f>SUM(Table1[[#This Row],[Минск
Indoor_]:[Гомель Кросс_]])</f>
        <v>62</v>
      </c>
      <c r="AC61" s="11">
        <f>SUM(Table1[[#This Row],[Минск
Indoor_]:[Минск Полный_]])</f>
        <v>62</v>
      </c>
      <c r="AD61" s="11">
        <f>SUM(Table1[[#This Row],[Минск
Indoor_]:[Раубичи
Дуатлон_]])</f>
        <v>62</v>
      </c>
      <c r="AE61" s="17">
        <v>62</v>
      </c>
      <c r="AF61" s="17">
        <f>Table1[[#This Row],[Раубичи
Дуатлон]]-AE61</f>
        <v>0</v>
      </c>
    </row>
    <row r="62" spans="1:32" ht="12.75" hidden="1" customHeight="1" x14ac:dyDescent="0.2">
      <c r="A62" s="1" t="s">
        <v>94</v>
      </c>
      <c r="B62" s="15" t="s">
        <v>170</v>
      </c>
      <c r="C62" s="1" t="s">
        <v>17</v>
      </c>
      <c r="D62" s="2">
        <v>0</v>
      </c>
      <c r="E62" s="2">
        <v>0</v>
      </c>
      <c r="F62" s="2">
        <v>0</v>
      </c>
      <c r="G62" s="3">
        <f>60+0-39+1</f>
        <v>22</v>
      </c>
      <c r="H62" s="2">
        <v>0</v>
      </c>
      <c r="I62" s="3">
        <f>70+0-46+1</f>
        <v>25</v>
      </c>
      <c r="J62" s="2">
        <v>0</v>
      </c>
      <c r="K62" s="2">
        <v>0</v>
      </c>
      <c r="L62" s="3">
        <v>0</v>
      </c>
      <c r="M62" s="3">
        <f>90+0-79+1</f>
        <v>12</v>
      </c>
      <c r="N62" s="3">
        <v>0</v>
      </c>
      <c r="O62" s="3">
        <v>0</v>
      </c>
      <c r="P62" s="3">
        <v>0</v>
      </c>
      <c r="Q62" s="13">
        <v>0</v>
      </c>
      <c r="R62" s="11">
        <f>SUM(Table1[[#This Row],[Минск
Indoor_]])</f>
        <v>0</v>
      </c>
      <c r="S62" s="11">
        <f>SUM(Table1[[#This Row],[Минск
Indoor_]],Table1[[#This Row],[Логойск
Зимний_]])</f>
        <v>0</v>
      </c>
      <c r="T62" s="11">
        <f>SUM(Table1[[#This Row],[Минск
Indoor_]:[Дрогичин
Дуатлон_]])</f>
        <v>0</v>
      </c>
      <c r="U62" s="11">
        <f>SUM(Table1[[#This Row],[Минск
Indoor_]:[Могилёв
Спринт_]])</f>
        <v>22</v>
      </c>
      <c r="V62" s="11">
        <f>SUM(Table1[[#This Row],[Минск
Indoor_]:[Лепель Кросс_]])</f>
        <v>22</v>
      </c>
      <c r="W62" s="11">
        <f>SUM(Table1[[#This Row],[Минск
Indoor_]:[Гомель Спринт_]])</f>
        <v>47</v>
      </c>
      <c r="X62" s="11">
        <f>SUM(Table1[[#This Row],[Минск
Indoor_]:[Заславль
Мульти_]])</f>
        <v>47</v>
      </c>
      <c r="Y62" s="11">
        <f>SUM(Table1[[#This Row],[Минск
Indoor_]:[Брест
Олимпик_]])</f>
        <v>47</v>
      </c>
      <c r="Z62" s="11">
        <f>SUM(Table1[[#This Row],[Минск
Indoor_]:[Святск Триатлон_]])</f>
        <v>47</v>
      </c>
      <c r="AA62" s="11">
        <f>SUM(Table1[[#This Row],[Минск
Indoor_]:[Минск
Триатлон_]])</f>
        <v>59</v>
      </c>
      <c r="AB62" s="11">
        <f>SUM(Table1[[#This Row],[Минск
Indoor_]:[Гомель Кросс_]])</f>
        <v>59</v>
      </c>
      <c r="AC62" s="11">
        <f>SUM(Table1[[#This Row],[Минск
Indoor_]:[Минск Полный_]])</f>
        <v>59</v>
      </c>
      <c r="AD62" s="11">
        <f>SUM(Table1[[#This Row],[Минск
Indoor_]:[Раубичи
Дуатлон_]])</f>
        <v>59</v>
      </c>
      <c r="AE62" s="17">
        <v>59</v>
      </c>
      <c r="AF62" s="17">
        <f>Table1[[#This Row],[Раубичи
Дуатлон]]-AE62</f>
        <v>0</v>
      </c>
    </row>
    <row r="63" spans="1:32" ht="12.75" hidden="1" customHeight="1" x14ac:dyDescent="0.2">
      <c r="A63" s="1" t="s">
        <v>95</v>
      </c>
      <c r="B63" s="15" t="s">
        <v>170</v>
      </c>
      <c r="C63" s="1" t="s">
        <v>96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3">
        <v>0</v>
      </c>
      <c r="K63" s="3">
        <v>0</v>
      </c>
      <c r="L63" s="3">
        <v>0</v>
      </c>
      <c r="M63" s="3">
        <f>90+0-33+1</f>
        <v>58</v>
      </c>
      <c r="N63" s="3">
        <v>0</v>
      </c>
      <c r="O63" s="3">
        <v>0</v>
      </c>
      <c r="P63" s="3">
        <v>0</v>
      </c>
      <c r="Q63" s="13">
        <v>0</v>
      </c>
      <c r="R63" s="11">
        <f>SUM(Table1[[#This Row],[Минск
Indoor_]])</f>
        <v>0</v>
      </c>
      <c r="S63" s="11">
        <f>SUM(Table1[[#This Row],[Минск
Indoor_]],Table1[[#This Row],[Логойск
Зимний_]])</f>
        <v>0</v>
      </c>
      <c r="T63" s="11">
        <f>SUM(Table1[[#This Row],[Минск
Indoor_]:[Дрогичин
Дуатлон_]])</f>
        <v>0</v>
      </c>
      <c r="U63" s="11">
        <f>SUM(Table1[[#This Row],[Минск
Indoor_]:[Могилёв
Спринт_]])</f>
        <v>0</v>
      </c>
      <c r="V63" s="11">
        <f>SUM(Table1[[#This Row],[Минск
Indoor_]:[Лепель Кросс_]])</f>
        <v>0</v>
      </c>
      <c r="W63" s="11">
        <f>SUM(Table1[[#This Row],[Минск
Indoor_]:[Гомель Спринт_]])</f>
        <v>0</v>
      </c>
      <c r="X63" s="11">
        <f>SUM(Table1[[#This Row],[Минск
Indoor_]:[Заславль
Мульти_]])</f>
        <v>0</v>
      </c>
      <c r="Y63" s="11">
        <f>SUM(Table1[[#This Row],[Минск
Indoor_]:[Брест
Олимпик_]])</f>
        <v>0</v>
      </c>
      <c r="Z63" s="11">
        <f>SUM(Table1[[#This Row],[Минск
Indoor_]:[Святск Триатлон_]])</f>
        <v>0</v>
      </c>
      <c r="AA63" s="11">
        <f>SUM(Table1[[#This Row],[Минск
Indoor_]:[Минск
Триатлон_]])</f>
        <v>58</v>
      </c>
      <c r="AB63" s="11">
        <f>SUM(Table1[[#This Row],[Минск
Indoor_]:[Гомель Кросс_]])</f>
        <v>58</v>
      </c>
      <c r="AC63" s="11">
        <f>SUM(Table1[[#This Row],[Минск
Indoor_]:[Минск Полный_]])</f>
        <v>58</v>
      </c>
      <c r="AD63" s="11">
        <f>SUM(Table1[[#This Row],[Минск
Indoor_]:[Раубичи
Дуатлон_]])</f>
        <v>58</v>
      </c>
      <c r="AE63" s="17">
        <v>58</v>
      </c>
      <c r="AF63" s="17">
        <f>Table1[[#This Row],[Раубичи
Дуатлон]]-AE63</f>
        <v>0</v>
      </c>
    </row>
    <row r="64" spans="1:32" ht="12.75" hidden="1" customHeight="1" x14ac:dyDescent="0.2">
      <c r="A64" s="1" t="s">
        <v>97</v>
      </c>
      <c r="B64" s="15" t="s">
        <v>170</v>
      </c>
      <c r="C64" s="1" t="s">
        <v>98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3">
        <f>70+1-61+1</f>
        <v>11</v>
      </c>
      <c r="J64" s="2">
        <v>0</v>
      </c>
      <c r="K64" s="3">
        <v>0</v>
      </c>
      <c r="L64" s="3">
        <v>0</v>
      </c>
      <c r="M64" s="3">
        <f>80+0-74+1</f>
        <v>7</v>
      </c>
      <c r="N64" s="3">
        <f>60+0-27+1</f>
        <v>34</v>
      </c>
      <c r="O64" s="3">
        <v>0</v>
      </c>
      <c r="P64" s="3">
        <v>0</v>
      </c>
      <c r="Q64" s="13">
        <v>0</v>
      </c>
      <c r="R64" s="11">
        <f>SUM(Table1[[#This Row],[Минск
Indoor_]])</f>
        <v>0</v>
      </c>
      <c r="S64" s="11">
        <f>SUM(Table1[[#This Row],[Минск
Indoor_]],Table1[[#This Row],[Логойск
Зимний_]])</f>
        <v>0</v>
      </c>
      <c r="T64" s="11">
        <f>SUM(Table1[[#This Row],[Минск
Indoor_]:[Дрогичин
Дуатлон_]])</f>
        <v>0</v>
      </c>
      <c r="U64" s="11">
        <f>SUM(Table1[[#This Row],[Минск
Indoor_]:[Могилёв
Спринт_]])</f>
        <v>0</v>
      </c>
      <c r="V64" s="11">
        <f>SUM(Table1[[#This Row],[Минск
Indoor_]:[Лепель Кросс_]])</f>
        <v>0</v>
      </c>
      <c r="W64" s="11">
        <f>SUM(Table1[[#This Row],[Минск
Indoor_]:[Гомель Спринт_]])</f>
        <v>11</v>
      </c>
      <c r="X64" s="11">
        <f>SUM(Table1[[#This Row],[Минск
Indoor_]:[Заславль
Мульти_]])</f>
        <v>11</v>
      </c>
      <c r="Y64" s="11">
        <f>SUM(Table1[[#This Row],[Минск
Indoor_]:[Брест
Олимпик_]])</f>
        <v>11</v>
      </c>
      <c r="Z64" s="11">
        <f>SUM(Table1[[#This Row],[Минск
Indoor_]:[Святск Триатлон_]])</f>
        <v>11</v>
      </c>
      <c r="AA64" s="11">
        <f>SUM(Table1[[#This Row],[Минск
Indoor_]:[Минск
Триатлон_]])</f>
        <v>18</v>
      </c>
      <c r="AB64" s="11">
        <f>SUM(Table1[[#This Row],[Минск
Indoor_]:[Гомель Кросс_]])</f>
        <v>52</v>
      </c>
      <c r="AC64" s="11">
        <f>SUM(Table1[[#This Row],[Минск
Indoor_]:[Минск Полный_]])</f>
        <v>52</v>
      </c>
      <c r="AD64" s="11">
        <f>SUM(Table1[[#This Row],[Минск
Indoor_]:[Раубичи
Дуатлон_]])</f>
        <v>52</v>
      </c>
      <c r="AE64" s="17">
        <v>52</v>
      </c>
      <c r="AF64" s="17">
        <f>Table1[[#This Row],[Раубичи
Дуатлон]]-AE64</f>
        <v>0</v>
      </c>
    </row>
    <row r="65" spans="1:32" ht="12.75" hidden="1" customHeight="1" x14ac:dyDescent="0.2">
      <c r="A65" s="1" t="s">
        <v>99</v>
      </c>
      <c r="B65" s="15" t="s">
        <v>170</v>
      </c>
      <c r="C65" s="1"/>
      <c r="D65" s="3">
        <f>50+0-39+1</f>
        <v>12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3">
        <v>0</v>
      </c>
      <c r="L65" s="3">
        <v>0</v>
      </c>
      <c r="M65" s="3">
        <f>80+0-41+1</f>
        <v>40</v>
      </c>
      <c r="N65" s="3">
        <v>0</v>
      </c>
      <c r="O65" s="3">
        <v>0</v>
      </c>
      <c r="P65" s="3">
        <v>0</v>
      </c>
      <c r="Q65" s="13">
        <v>0</v>
      </c>
      <c r="R65" s="11">
        <f>SUM(Table1[[#This Row],[Минск
Indoor_]])</f>
        <v>12</v>
      </c>
      <c r="S65" s="11">
        <f>SUM(Table1[[#This Row],[Минск
Indoor_]],Table1[[#This Row],[Логойск
Зимний_]])</f>
        <v>12</v>
      </c>
      <c r="T65" s="11">
        <f>SUM(Table1[[#This Row],[Минск
Indoor_]:[Дрогичин
Дуатлон_]])</f>
        <v>12</v>
      </c>
      <c r="U65" s="11">
        <f>SUM(Table1[[#This Row],[Минск
Indoor_]:[Могилёв
Спринт_]])</f>
        <v>12</v>
      </c>
      <c r="V65" s="11">
        <f>SUM(Table1[[#This Row],[Минск
Indoor_]:[Лепель Кросс_]])</f>
        <v>12</v>
      </c>
      <c r="W65" s="11">
        <f>SUM(Table1[[#This Row],[Минск
Indoor_]:[Гомель Спринт_]])</f>
        <v>12</v>
      </c>
      <c r="X65" s="11">
        <f>SUM(Table1[[#This Row],[Минск
Indoor_]:[Заславль
Мульти_]])</f>
        <v>12</v>
      </c>
      <c r="Y65" s="11">
        <f>SUM(Table1[[#This Row],[Минск
Indoor_]:[Брест
Олимпик_]])</f>
        <v>12</v>
      </c>
      <c r="Z65" s="11">
        <f>SUM(Table1[[#This Row],[Минск
Indoor_]:[Святск Триатлон_]])</f>
        <v>12</v>
      </c>
      <c r="AA65" s="11">
        <f>SUM(Table1[[#This Row],[Минск
Indoor_]:[Минск
Триатлон_]])</f>
        <v>52</v>
      </c>
      <c r="AB65" s="11">
        <f>SUM(Table1[[#This Row],[Минск
Indoor_]:[Гомель Кросс_]])</f>
        <v>52</v>
      </c>
      <c r="AC65" s="11">
        <f>SUM(Table1[[#This Row],[Минск
Indoor_]:[Минск Полный_]])</f>
        <v>52</v>
      </c>
      <c r="AD65" s="11">
        <f>SUM(Table1[[#This Row],[Минск
Indoor_]:[Раубичи
Дуатлон_]])</f>
        <v>52</v>
      </c>
      <c r="AE65" s="17">
        <v>52</v>
      </c>
      <c r="AF65" s="17">
        <f>Table1[[#This Row],[Раубичи
Дуатлон]]-AE65</f>
        <v>0</v>
      </c>
    </row>
    <row r="66" spans="1:32" ht="12.75" hidden="1" customHeight="1" x14ac:dyDescent="0.2">
      <c r="A66" s="1" t="s">
        <v>100</v>
      </c>
      <c r="B66" s="15" t="s">
        <v>170</v>
      </c>
      <c r="C66" s="1" t="s">
        <v>21</v>
      </c>
      <c r="D66" s="3">
        <f>50+0-40+1</f>
        <v>11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f>80+0-44+1</f>
        <v>37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3">
        <v>0</v>
      </c>
      <c r="R66" s="11">
        <f>SUM(Table1[[#This Row],[Минск
Indoor_]])</f>
        <v>11</v>
      </c>
      <c r="S66" s="11">
        <f>SUM(Table1[[#This Row],[Минск
Indoor_]],Table1[[#This Row],[Логойск
Зимний_]])</f>
        <v>11</v>
      </c>
      <c r="T66" s="11">
        <f>SUM(Table1[[#This Row],[Минск
Indoor_]:[Дрогичин
Дуатлон_]])</f>
        <v>11</v>
      </c>
      <c r="U66" s="11">
        <f>SUM(Table1[[#This Row],[Минск
Indoor_]:[Могилёв
Спринт_]])</f>
        <v>11</v>
      </c>
      <c r="V66" s="11">
        <f>SUM(Table1[[#This Row],[Минск
Indoor_]:[Лепель Кросс_]])</f>
        <v>11</v>
      </c>
      <c r="W66" s="11">
        <f>SUM(Table1[[#This Row],[Минск
Indoor_]:[Гомель Спринт_]])</f>
        <v>11</v>
      </c>
      <c r="X66" s="11">
        <f>SUM(Table1[[#This Row],[Минск
Indoor_]:[Заславль
Мульти_]])</f>
        <v>11</v>
      </c>
      <c r="Y66" s="11">
        <f>SUM(Table1[[#This Row],[Минск
Indoor_]:[Брест
Олимпик_]])</f>
        <v>48</v>
      </c>
      <c r="Z66" s="11">
        <f>SUM(Table1[[#This Row],[Минск
Indoor_]:[Святск Триатлон_]])</f>
        <v>48</v>
      </c>
      <c r="AA66" s="11">
        <f>SUM(Table1[[#This Row],[Минск
Indoor_]:[Минск
Триатлон_]])</f>
        <v>48</v>
      </c>
      <c r="AB66" s="11">
        <f>SUM(Table1[[#This Row],[Минск
Indoor_]:[Гомель Кросс_]])</f>
        <v>48</v>
      </c>
      <c r="AC66" s="11">
        <f>SUM(Table1[[#This Row],[Минск
Indoor_]:[Минск Полный_]])</f>
        <v>48</v>
      </c>
      <c r="AD66" s="11">
        <f>SUM(Table1[[#This Row],[Минск
Indoor_]:[Раубичи
Дуатлон_]])</f>
        <v>48</v>
      </c>
      <c r="AE66" s="17">
        <v>48</v>
      </c>
      <c r="AF66" s="17">
        <f>Table1[[#This Row],[Раубичи
Дуатлон]]-AE66</f>
        <v>0</v>
      </c>
    </row>
    <row r="67" spans="1:32" ht="12.75" hidden="1" customHeight="1" x14ac:dyDescent="0.2">
      <c r="A67" s="1" t="s">
        <v>101</v>
      </c>
      <c r="B67" s="15" t="s">
        <v>170</v>
      </c>
      <c r="C67" s="1" t="s">
        <v>102</v>
      </c>
      <c r="D67" s="3">
        <f>50+0-4+1</f>
        <v>47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3">
        <v>0</v>
      </c>
      <c r="R67" s="11">
        <f>SUM(Table1[[#This Row],[Минск
Indoor_]])</f>
        <v>47</v>
      </c>
      <c r="S67" s="11">
        <f>SUM(Table1[[#This Row],[Минск
Indoor_]],Table1[[#This Row],[Логойск
Зимний_]])</f>
        <v>47</v>
      </c>
      <c r="T67" s="11">
        <f>SUM(Table1[[#This Row],[Минск
Indoor_]:[Дрогичин
Дуатлон_]])</f>
        <v>47</v>
      </c>
      <c r="U67" s="11">
        <f>SUM(Table1[[#This Row],[Минск
Indoor_]:[Могилёв
Спринт_]])</f>
        <v>47</v>
      </c>
      <c r="V67" s="11">
        <f>SUM(Table1[[#This Row],[Минск
Indoor_]:[Лепель Кросс_]])</f>
        <v>47</v>
      </c>
      <c r="W67" s="11">
        <f>SUM(Table1[[#This Row],[Минск
Indoor_]:[Гомель Спринт_]])</f>
        <v>47</v>
      </c>
      <c r="X67" s="11">
        <f>SUM(Table1[[#This Row],[Минск
Indoor_]:[Заславль
Мульти_]])</f>
        <v>47</v>
      </c>
      <c r="Y67" s="11">
        <f>SUM(Table1[[#This Row],[Минск
Indoor_]:[Брест
Олимпик_]])</f>
        <v>47</v>
      </c>
      <c r="Z67" s="11">
        <f>SUM(Table1[[#This Row],[Минск
Indoor_]:[Святск Триатлон_]])</f>
        <v>47</v>
      </c>
      <c r="AA67" s="11">
        <f>SUM(Table1[[#This Row],[Минск
Indoor_]:[Минск
Триатлон_]])</f>
        <v>47</v>
      </c>
      <c r="AB67" s="11">
        <f>SUM(Table1[[#This Row],[Минск
Indoor_]:[Гомель Кросс_]])</f>
        <v>47</v>
      </c>
      <c r="AC67" s="11">
        <f>SUM(Table1[[#This Row],[Минск
Indoor_]:[Минск Полный_]])</f>
        <v>47</v>
      </c>
      <c r="AD67" s="11">
        <f>SUM(Table1[[#This Row],[Минск
Indoor_]:[Раубичи
Дуатлон_]])</f>
        <v>47</v>
      </c>
      <c r="AE67" s="17">
        <v>47</v>
      </c>
      <c r="AF67" s="17">
        <f>Table1[[#This Row],[Раубичи
Дуатлон]]-AE67</f>
        <v>0</v>
      </c>
    </row>
    <row r="68" spans="1:32" ht="12.75" hidden="1" customHeight="1" x14ac:dyDescent="0.2">
      <c r="A68" s="1" t="s">
        <v>103</v>
      </c>
      <c r="B68" s="15" t="s">
        <v>170</v>
      </c>
      <c r="C68" s="1" t="s">
        <v>17</v>
      </c>
      <c r="D68" s="3">
        <f>50+0-50+1</f>
        <v>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3">
        <f>70+0-43+1</f>
        <v>28</v>
      </c>
      <c r="K68" s="3">
        <f>80+0-64+1</f>
        <v>17</v>
      </c>
      <c r="L68" s="2">
        <v>0</v>
      </c>
      <c r="M68" s="3">
        <f t="shared" ref="M68:M69" si="0">90+0-90+1</f>
        <v>1</v>
      </c>
      <c r="N68" s="3">
        <v>0</v>
      </c>
      <c r="O68" s="3">
        <v>0</v>
      </c>
      <c r="P68" s="3">
        <v>0</v>
      </c>
      <c r="Q68" s="13">
        <v>0</v>
      </c>
      <c r="R68" s="11">
        <f>SUM(Table1[[#This Row],[Минск
Indoor_]])</f>
        <v>1</v>
      </c>
      <c r="S68" s="11">
        <f>SUM(Table1[[#This Row],[Минск
Indoor_]],Table1[[#This Row],[Логойск
Зимний_]])</f>
        <v>1</v>
      </c>
      <c r="T68" s="11">
        <f>SUM(Table1[[#This Row],[Минск
Indoor_]:[Дрогичин
Дуатлон_]])</f>
        <v>1</v>
      </c>
      <c r="U68" s="11">
        <f>SUM(Table1[[#This Row],[Минск
Indoor_]:[Могилёв
Спринт_]])</f>
        <v>1</v>
      </c>
      <c r="V68" s="11">
        <f>SUM(Table1[[#This Row],[Минск
Indoor_]:[Лепель Кросс_]])</f>
        <v>1</v>
      </c>
      <c r="W68" s="11">
        <f>SUM(Table1[[#This Row],[Минск
Indoor_]:[Гомель Спринт_]])</f>
        <v>1</v>
      </c>
      <c r="X68" s="11">
        <f>SUM(Table1[[#This Row],[Минск
Indoor_]:[Заславль
Мульти_]])</f>
        <v>29</v>
      </c>
      <c r="Y68" s="11">
        <f>SUM(Table1[[#This Row],[Минск
Indoor_]:[Брест
Олимпик_]])</f>
        <v>46</v>
      </c>
      <c r="Z68" s="11">
        <f>SUM(Table1[[#This Row],[Минск
Indoor_]:[Святск Триатлон_]])</f>
        <v>46</v>
      </c>
      <c r="AA68" s="11">
        <f>SUM(Table1[[#This Row],[Минск
Indoor_]:[Минск
Триатлон_]])</f>
        <v>47</v>
      </c>
      <c r="AB68" s="11">
        <f>SUM(Table1[[#This Row],[Минск
Indoor_]:[Гомель Кросс_]])</f>
        <v>47</v>
      </c>
      <c r="AC68" s="11">
        <f>SUM(Table1[[#This Row],[Минск
Indoor_]:[Минск Полный_]])</f>
        <v>47</v>
      </c>
      <c r="AD68" s="11">
        <f>SUM(Table1[[#This Row],[Минск
Indoor_]:[Раубичи
Дуатлон_]])</f>
        <v>47</v>
      </c>
      <c r="AE68" s="17">
        <v>47</v>
      </c>
      <c r="AF68" s="17">
        <f>Table1[[#This Row],[Раубичи
Дуатлон]]-AE68</f>
        <v>0</v>
      </c>
    </row>
    <row r="69" spans="1:32" ht="12.75" hidden="1" customHeight="1" x14ac:dyDescent="0.2">
      <c r="A69" s="1" t="s">
        <v>104</v>
      </c>
      <c r="B69" s="15" t="s">
        <v>170</v>
      </c>
      <c r="C69" s="1" t="s">
        <v>61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3">
        <v>0</v>
      </c>
      <c r="K69" s="3">
        <f>80+0-38+1</f>
        <v>43</v>
      </c>
      <c r="L69" s="3">
        <v>0</v>
      </c>
      <c r="M69" s="3">
        <f t="shared" si="0"/>
        <v>1</v>
      </c>
      <c r="N69" s="3">
        <v>0</v>
      </c>
      <c r="O69" s="3">
        <v>0</v>
      </c>
      <c r="P69" s="3">
        <v>0</v>
      </c>
      <c r="Q69" s="13">
        <v>0</v>
      </c>
      <c r="R69" s="11">
        <f>SUM(Table1[[#This Row],[Минск
Indoor_]])</f>
        <v>0</v>
      </c>
      <c r="S69" s="11">
        <f>SUM(Table1[[#This Row],[Минск
Indoor_]],Table1[[#This Row],[Логойск
Зимний_]])</f>
        <v>0</v>
      </c>
      <c r="T69" s="11">
        <f>SUM(Table1[[#This Row],[Минск
Indoor_]:[Дрогичин
Дуатлон_]])</f>
        <v>0</v>
      </c>
      <c r="U69" s="11">
        <f>SUM(Table1[[#This Row],[Минск
Indoor_]:[Могилёв
Спринт_]])</f>
        <v>0</v>
      </c>
      <c r="V69" s="11">
        <f>SUM(Table1[[#This Row],[Минск
Indoor_]:[Лепель Кросс_]])</f>
        <v>0</v>
      </c>
      <c r="W69" s="11">
        <f>SUM(Table1[[#This Row],[Минск
Indoor_]:[Гомель Спринт_]])</f>
        <v>0</v>
      </c>
      <c r="X69" s="11">
        <f>SUM(Table1[[#This Row],[Минск
Indoor_]:[Заславль
Мульти_]])</f>
        <v>0</v>
      </c>
      <c r="Y69" s="11">
        <f>SUM(Table1[[#This Row],[Минск
Indoor_]:[Брест
Олимпик_]])</f>
        <v>43</v>
      </c>
      <c r="Z69" s="11">
        <f>SUM(Table1[[#This Row],[Минск
Indoor_]:[Святск Триатлон_]])</f>
        <v>43</v>
      </c>
      <c r="AA69" s="11">
        <f>SUM(Table1[[#This Row],[Минск
Indoor_]:[Минск
Триатлон_]])</f>
        <v>44</v>
      </c>
      <c r="AB69" s="11">
        <f>SUM(Table1[[#This Row],[Минск
Indoor_]:[Гомель Кросс_]])</f>
        <v>44</v>
      </c>
      <c r="AC69" s="11">
        <f>SUM(Table1[[#This Row],[Минск
Indoor_]:[Минск Полный_]])</f>
        <v>44</v>
      </c>
      <c r="AD69" s="11">
        <f>SUM(Table1[[#This Row],[Минск
Indoor_]:[Раубичи
Дуатлон_]])</f>
        <v>44</v>
      </c>
      <c r="AE69" s="17">
        <v>44</v>
      </c>
      <c r="AF69" s="17">
        <f>Table1[[#This Row],[Раубичи
Дуатлон]]-AE69</f>
        <v>0</v>
      </c>
    </row>
    <row r="70" spans="1:32" ht="12.75" hidden="1" customHeight="1" x14ac:dyDescent="0.2">
      <c r="A70" s="1" t="s">
        <v>105</v>
      </c>
      <c r="B70" s="15" t="s">
        <v>170</v>
      </c>
      <c r="C70" s="1" t="s">
        <v>17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3">
        <v>0</v>
      </c>
      <c r="K70" s="3">
        <f>80+0-40+1</f>
        <v>41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3">
        <v>0</v>
      </c>
      <c r="R70" s="11">
        <f>SUM(Table1[[#This Row],[Минск
Indoor_]])</f>
        <v>0</v>
      </c>
      <c r="S70" s="11">
        <f>SUM(Table1[[#This Row],[Минск
Indoor_]],Table1[[#This Row],[Логойск
Зимний_]])</f>
        <v>0</v>
      </c>
      <c r="T70" s="11">
        <f>SUM(Table1[[#This Row],[Минск
Indoor_]:[Дрогичин
Дуатлон_]])</f>
        <v>0</v>
      </c>
      <c r="U70" s="11">
        <f>SUM(Table1[[#This Row],[Минск
Indoor_]:[Могилёв
Спринт_]])</f>
        <v>0</v>
      </c>
      <c r="V70" s="11">
        <f>SUM(Table1[[#This Row],[Минск
Indoor_]:[Лепель Кросс_]])</f>
        <v>0</v>
      </c>
      <c r="W70" s="11">
        <f>SUM(Table1[[#This Row],[Минск
Indoor_]:[Гомель Спринт_]])</f>
        <v>0</v>
      </c>
      <c r="X70" s="11">
        <f>SUM(Table1[[#This Row],[Минск
Indoor_]:[Заславль
Мульти_]])</f>
        <v>0</v>
      </c>
      <c r="Y70" s="11">
        <f>SUM(Table1[[#This Row],[Минск
Indoor_]:[Брест
Олимпик_]])</f>
        <v>41</v>
      </c>
      <c r="Z70" s="11">
        <f>SUM(Table1[[#This Row],[Минск
Indoor_]:[Святск Триатлон_]])</f>
        <v>41</v>
      </c>
      <c r="AA70" s="11">
        <f>SUM(Table1[[#This Row],[Минск
Indoor_]:[Минск
Триатлон_]])</f>
        <v>41</v>
      </c>
      <c r="AB70" s="11">
        <f>SUM(Table1[[#This Row],[Минск
Indoor_]:[Гомель Кросс_]])</f>
        <v>41</v>
      </c>
      <c r="AC70" s="11">
        <f>SUM(Table1[[#This Row],[Минск
Indoor_]:[Минск Полный_]])</f>
        <v>41</v>
      </c>
      <c r="AD70" s="11">
        <f>SUM(Table1[[#This Row],[Минск
Indoor_]:[Раубичи
Дуатлон_]])</f>
        <v>41</v>
      </c>
      <c r="AE70" s="17">
        <v>41</v>
      </c>
      <c r="AF70" s="17">
        <f>Table1[[#This Row],[Раубичи
Дуатлон]]-AE70</f>
        <v>0</v>
      </c>
    </row>
    <row r="71" spans="1:32" ht="12.75" hidden="1" customHeight="1" x14ac:dyDescent="0.2">
      <c r="A71" s="1" t="s">
        <v>106</v>
      </c>
      <c r="B71" s="15" t="s">
        <v>170</v>
      </c>
      <c r="C71" s="1" t="s">
        <v>107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3">
        <v>0</v>
      </c>
      <c r="K71" s="3">
        <f>80+0-41+1</f>
        <v>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3">
        <v>0</v>
      </c>
      <c r="R71" s="11">
        <f>SUM(Table1[[#This Row],[Минск
Indoor_]])</f>
        <v>0</v>
      </c>
      <c r="S71" s="11">
        <f>SUM(Table1[[#This Row],[Минск
Indoor_]],Table1[[#This Row],[Логойск
Зимний_]])</f>
        <v>0</v>
      </c>
      <c r="T71" s="11">
        <f>SUM(Table1[[#This Row],[Минск
Indoor_]:[Дрогичин
Дуатлон_]])</f>
        <v>0</v>
      </c>
      <c r="U71" s="11">
        <f>SUM(Table1[[#This Row],[Минск
Indoor_]:[Могилёв
Спринт_]])</f>
        <v>0</v>
      </c>
      <c r="V71" s="11">
        <f>SUM(Table1[[#This Row],[Минск
Indoor_]:[Лепель Кросс_]])</f>
        <v>0</v>
      </c>
      <c r="W71" s="11">
        <f>SUM(Table1[[#This Row],[Минск
Indoor_]:[Гомель Спринт_]])</f>
        <v>0</v>
      </c>
      <c r="X71" s="11">
        <f>SUM(Table1[[#This Row],[Минск
Indoor_]:[Заславль
Мульти_]])</f>
        <v>0</v>
      </c>
      <c r="Y71" s="11">
        <f>SUM(Table1[[#This Row],[Минск
Indoor_]:[Брест
Олимпик_]])</f>
        <v>40</v>
      </c>
      <c r="Z71" s="11">
        <f>SUM(Table1[[#This Row],[Минск
Indoor_]:[Святск Триатлон_]])</f>
        <v>40</v>
      </c>
      <c r="AA71" s="11">
        <f>SUM(Table1[[#This Row],[Минск
Indoor_]:[Минск
Триатлон_]])</f>
        <v>40</v>
      </c>
      <c r="AB71" s="11">
        <f>SUM(Table1[[#This Row],[Минск
Indoor_]:[Гомель Кросс_]])</f>
        <v>40</v>
      </c>
      <c r="AC71" s="11">
        <f>SUM(Table1[[#This Row],[Минск
Indoor_]:[Минск Полный_]])</f>
        <v>40</v>
      </c>
      <c r="AD71" s="11">
        <f>SUM(Table1[[#This Row],[Минск
Indoor_]:[Раубичи
Дуатлон_]])</f>
        <v>40</v>
      </c>
      <c r="AE71" s="17">
        <v>40</v>
      </c>
      <c r="AF71" s="17">
        <f>Table1[[#This Row],[Раубичи
Дуатлон]]-AE71</f>
        <v>0</v>
      </c>
    </row>
    <row r="72" spans="1:32" ht="12.75" hidden="1" customHeight="1" x14ac:dyDescent="0.2">
      <c r="A72" s="1" t="s">
        <v>108</v>
      </c>
      <c r="B72" s="15" t="s">
        <v>170</v>
      </c>
      <c r="C72" s="1" t="s">
        <v>109</v>
      </c>
      <c r="D72" s="2">
        <v>0</v>
      </c>
      <c r="E72" s="2">
        <v>0</v>
      </c>
      <c r="F72" s="2">
        <v>0</v>
      </c>
      <c r="G72" s="2">
        <v>0</v>
      </c>
      <c r="H72" s="3">
        <f>50+0-13+1</f>
        <v>38</v>
      </c>
      <c r="I72" s="2">
        <v>0</v>
      </c>
      <c r="J72" s="2">
        <v>0</v>
      </c>
      <c r="K72" s="3">
        <v>0</v>
      </c>
      <c r="L72" s="3">
        <v>0</v>
      </c>
      <c r="M72" s="3">
        <f>70+0-70+1</f>
        <v>1</v>
      </c>
      <c r="N72" s="3">
        <v>0</v>
      </c>
      <c r="O72" s="3">
        <v>0</v>
      </c>
      <c r="P72" s="3">
        <v>0</v>
      </c>
      <c r="Q72" s="13">
        <v>0</v>
      </c>
      <c r="R72" s="11">
        <f>SUM(Table1[[#This Row],[Минск
Indoor_]])</f>
        <v>0</v>
      </c>
      <c r="S72" s="11">
        <f>SUM(Table1[[#This Row],[Минск
Indoor_]],Table1[[#This Row],[Логойск
Зимний_]])</f>
        <v>0</v>
      </c>
      <c r="T72" s="11">
        <f>SUM(Table1[[#This Row],[Минск
Indoor_]:[Дрогичин
Дуатлон_]])</f>
        <v>0</v>
      </c>
      <c r="U72" s="11">
        <f>SUM(Table1[[#This Row],[Минск
Indoor_]:[Могилёв
Спринт_]])</f>
        <v>0</v>
      </c>
      <c r="V72" s="11">
        <f>SUM(Table1[[#This Row],[Минск
Indoor_]:[Лепель Кросс_]])</f>
        <v>38</v>
      </c>
      <c r="W72" s="11">
        <f>SUM(Table1[[#This Row],[Минск
Indoor_]:[Гомель Спринт_]])</f>
        <v>38</v>
      </c>
      <c r="X72" s="11">
        <f>SUM(Table1[[#This Row],[Минск
Indoor_]:[Заславль
Мульти_]])</f>
        <v>38</v>
      </c>
      <c r="Y72" s="11">
        <f>SUM(Table1[[#This Row],[Минск
Indoor_]:[Брест
Олимпик_]])</f>
        <v>38</v>
      </c>
      <c r="Z72" s="11">
        <f>SUM(Table1[[#This Row],[Минск
Indoor_]:[Святск Триатлон_]])</f>
        <v>38</v>
      </c>
      <c r="AA72" s="11">
        <f>SUM(Table1[[#This Row],[Минск
Indoor_]:[Минск
Триатлон_]])</f>
        <v>39</v>
      </c>
      <c r="AB72" s="11">
        <f>SUM(Table1[[#This Row],[Минск
Indoor_]:[Гомель Кросс_]])</f>
        <v>39</v>
      </c>
      <c r="AC72" s="11">
        <f>SUM(Table1[[#This Row],[Минск
Indoor_]:[Минск Полный_]])</f>
        <v>39</v>
      </c>
      <c r="AD72" s="11">
        <f>SUM(Table1[[#This Row],[Минск
Indoor_]:[Раубичи
Дуатлон_]])</f>
        <v>39</v>
      </c>
      <c r="AE72" s="17">
        <v>39</v>
      </c>
      <c r="AF72" s="17">
        <f>Table1[[#This Row],[Раубичи
Дуатлон]]-AE72</f>
        <v>0</v>
      </c>
    </row>
    <row r="73" spans="1:32" ht="12.75" hidden="1" customHeight="1" x14ac:dyDescent="0.2">
      <c r="A73" s="1" t="s">
        <v>110</v>
      </c>
      <c r="B73" s="15" t="s">
        <v>170</v>
      </c>
      <c r="C73" s="1" t="s">
        <v>85</v>
      </c>
      <c r="D73" s="2">
        <v>0</v>
      </c>
      <c r="E73" s="2">
        <v>0</v>
      </c>
      <c r="F73" s="2">
        <v>0</v>
      </c>
      <c r="G73" s="2">
        <v>0</v>
      </c>
      <c r="H73" s="3">
        <f>70+0-33+1</f>
        <v>38</v>
      </c>
      <c r="I73" s="2">
        <v>0</v>
      </c>
      <c r="J73" s="2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3">
        <v>0</v>
      </c>
      <c r="R73" s="11">
        <f>SUM(Table1[[#This Row],[Минск
Indoor_]])</f>
        <v>0</v>
      </c>
      <c r="S73" s="11">
        <f>SUM(Table1[[#This Row],[Минск
Indoor_]],Table1[[#This Row],[Логойск
Зимний_]])</f>
        <v>0</v>
      </c>
      <c r="T73" s="11">
        <f>SUM(Table1[[#This Row],[Минск
Indoor_]:[Дрогичин
Дуатлон_]])</f>
        <v>0</v>
      </c>
      <c r="U73" s="11">
        <f>SUM(Table1[[#This Row],[Минск
Indoor_]:[Могилёв
Спринт_]])</f>
        <v>0</v>
      </c>
      <c r="V73" s="11">
        <f>SUM(Table1[[#This Row],[Минск
Indoor_]:[Лепель Кросс_]])</f>
        <v>38</v>
      </c>
      <c r="W73" s="11">
        <f>SUM(Table1[[#This Row],[Минск
Indoor_]:[Гомель Спринт_]])</f>
        <v>38</v>
      </c>
      <c r="X73" s="11">
        <f>SUM(Table1[[#This Row],[Минск
Indoor_]:[Заславль
Мульти_]])</f>
        <v>38</v>
      </c>
      <c r="Y73" s="11">
        <f>SUM(Table1[[#This Row],[Минск
Indoor_]:[Брест
Олимпик_]])</f>
        <v>38</v>
      </c>
      <c r="Z73" s="11">
        <f>SUM(Table1[[#This Row],[Минск
Indoor_]:[Святск Триатлон_]])</f>
        <v>38</v>
      </c>
      <c r="AA73" s="11">
        <f>SUM(Table1[[#This Row],[Минск
Indoor_]:[Минск
Триатлон_]])</f>
        <v>38</v>
      </c>
      <c r="AB73" s="11">
        <f>SUM(Table1[[#This Row],[Минск
Indoor_]:[Гомель Кросс_]])</f>
        <v>38</v>
      </c>
      <c r="AC73" s="11">
        <f>SUM(Table1[[#This Row],[Минск
Indoor_]:[Минск Полный_]])</f>
        <v>38</v>
      </c>
      <c r="AD73" s="11">
        <f>SUM(Table1[[#This Row],[Минск
Indoor_]:[Раубичи
Дуатлон_]])</f>
        <v>38</v>
      </c>
      <c r="AE73" s="17">
        <v>38</v>
      </c>
      <c r="AF73" s="17">
        <f>Table1[[#This Row],[Раубичи
Дуатлон]]-AE73</f>
        <v>0</v>
      </c>
    </row>
    <row r="74" spans="1:32" ht="12.75" hidden="1" customHeight="1" x14ac:dyDescent="0.2">
      <c r="A74" s="1" t="s">
        <v>111</v>
      </c>
      <c r="B74" s="15" t="s">
        <v>170</v>
      </c>
      <c r="C74" s="1" t="s">
        <v>17</v>
      </c>
      <c r="D74" s="3">
        <f>50+0-50+1</f>
        <v>1</v>
      </c>
      <c r="E74" s="2">
        <v>0</v>
      </c>
      <c r="F74" s="2">
        <v>0</v>
      </c>
      <c r="G74" s="3">
        <f>60+0-31+1</f>
        <v>30</v>
      </c>
      <c r="H74" s="2">
        <v>0</v>
      </c>
      <c r="I74" s="2">
        <v>0</v>
      </c>
      <c r="J74" s="2">
        <v>0</v>
      </c>
      <c r="K74" s="2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3">
        <v>0</v>
      </c>
      <c r="R74" s="11">
        <f>SUM(Table1[[#This Row],[Минск
Indoor_]])</f>
        <v>1</v>
      </c>
      <c r="S74" s="11">
        <f>SUM(Table1[[#This Row],[Минск
Indoor_]],Table1[[#This Row],[Логойск
Зимний_]])</f>
        <v>1</v>
      </c>
      <c r="T74" s="11">
        <f>SUM(Table1[[#This Row],[Минск
Indoor_]:[Дрогичин
Дуатлон_]])</f>
        <v>1</v>
      </c>
      <c r="U74" s="11">
        <f>SUM(Table1[[#This Row],[Минск
Indoor_]:[Могилёв
Спринт_]])</f>
        <v>31</v>
      </c>
      <c r="V74" s="11">
        <f>SUM(Table1[[#This Row],[Минск
Indoor_]:[Лепель Кросс_]])</f>
        <v>31</v>
      </c>
      <c r="W74" s="11">
        <f>SUM(Table1[[#This Row],[Минск
Indoor_]:[Гомель Спринт_]])</f>
        <v>31</v>
      </c>
      <c r="X74" s="11">
        <f>SUM(Table1[[#This Row],[Минск
Indoor_]:[Заславль
Мульти_]])</f>
        <v>31</v>
      </c>
      <c r="Y74" s="11">
        <f>SUM(Table1[[#This Row],[Минск
Indoor_]:[Брест
Олимпик_]])</f>
        <v>31</v>
      </c>
      <c r="Z74" s="11">
        <f>SUM(Table1[[#This Row],[Минск
Indoor_]:[Святск Триатлон_]])</f>
        <v>31</v>
      </c>
      <c r="AA74" s="11">
        <f>SUM(Table1[[#This Row],[Минск
Indoor_]:[Минск
Триатлон_]])</f>
        <v>31</v>
      </c>
      <c r="AB74" s="11">
        <f>SUM(Table1[[#This Row],[Минск
Indoor_]:[Гомель Кросс_]])</f>
        <v>31</v>
      </c>
      <c r="AC74" s="11">
        <f>SUM(Table1[[#This Row],[Минск
Indoor_]:[Минск Полный_]])</f>
        <v>31</v>
      </c>
      <c r="AD74" s="11">
        <f>SUM(Table1[[#This Row],[Минск
Indoor_]:[Раубичи
Дуатлон_]])</f>
        <v>31</v>
      </c>
      <c r="AE74" s="17">
        <v>31</v>
      </c>
      <c r="AF74" s="17">
        <f>Table1[[#This Row],[Раубичи
Дуатлон]]-AE74</f>
        <v>0</v>
      </c>
    </row>
    <row r="75" spans="1:32" ht="12.75" hidden="1" customHeight="1" x14ac:dyDescent="0.2">
      <c r="A75" s="1" t="s">
        <v>112</v>
      </c>
      <c r="B75" s="15" t="s">
        <v>170</v>
      </c>
      <c r="C75" s="1" t="s">
        <v>17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3">
        <v>0</v>
      </c>
      <c r="K75" s="3">
        <v>0</v>
      </c>
      <c r="L75" s="3">
        <v>0</v>
      </c>
      <c r="M75" s="3">
        <f>90+0-90+1</f>
        <v>1</v>
      </c>
      <c r="N75" s="3">
        <f>60+0-32+1</f>
        <v>29</v>
      </c>
      <c r="O75" s="3">
        <v>0</v>
      </c>
      <c r="P75" s="3">
        <v>0</v>
      </c>
      <c r="Q75" s="13">
        <v>0</v>
      </c>
      <c r="R75" s="11">
        <f>SUM(Table1[[#This Row],[Минск
Indoor_]])</f>
        <v>0</v>
      </c>
      <c r="S75" s="11">
        <f>SUM(Table1[[#This Row],[Минск
Indoor_]],Table1[[#This Row],[Логойск
Зимний_]])</f>
        <v>0</v>
      </c>
      <c r="T75" s="11">
        <f>SUM(Table1[[#This Row],[Минск
Indoor_]:[Дрогичин
Дуатлон_]])</f>
        <v>0</v>
      </c>
      <c r="U75" s="11">
        <f>SUM(Table1[[#This Row],[Минск
Indoor_]:[Могилёв
Спринт_]])</f>
        <v>0</v>
      </c>
      <c r="V75" s="11">
        <f>SUM(Table1[[#This Row],[Минск
Indoor_]:[Лепель Кросс_]])</f>
        <v>0</v>
      </c>
      <c r="W75" s="11">
        <f>SUM(Table1[[#This Row],[Минск
Indoor_]:[Гомель Спринт_]])</f>
        <v>0</v>
      </c>
      <c r="X75" s="11">
        <f>SUM(Table1[[#This Row],[Минск
Indoor_]:[Заславль
Мульти_]])</f>
        <v>0</v>
      </c>
      <c r="Y75" s="11">
        <f>SUM(Table1[[#This Row],[Минск
Indoor_]:[Брест
Олимпик_]])</f>
        <v>0</v>
      </c>
      <c r="Z75" s="11">
        <f>SUM(Table1[[#This Row],[Минск
Indoor_]:[Святск Триатлон_]])</f>
        <v>0</v>
      </c>
      <c r="AA75" s="11">
        <f>SUM(Table1[[#This Row],[Минск
Indoor_]:[Минск
Триатлон_]])</f>
        <v>1</v>
      </c>
      <c r="AB75" s="11">
        <f>SUM(Table1[[#This Row],[Минск
Indoor_]:[Гомель Кросс_]])</f>
        <v>30</v>
      </c>
      <c r="AC75" s="11">
        <f>SUM(Table1[[#This Row],[Минск
Indoor_]:[Минск Полный_]])</f>
        <v>30</v>
      </c>
      <c r="AD75" s="11">
        <f>SUM(Table1[[#This Row],[Минск
Indoor_]:[Раубичи
Дуатлон_]])</f>
        <v>30</v>
      </c>
      <c r="AE75" s="17">
        <v>30</v>
      </c>
      <c r="AF75" s="17">
        <f>Table1[[#This Row],[Раубичи
Дуатлон]]-AE75</f>
        <v>0</v>
      </c>
    </row>
    <row r="76" spans="1:32" ht="12.75" hidden="1" customHeight="1" x14ac:dyDescent="0.2">
      <c r="A76" s="1" t="s">
        <v>113</v>
      </c>
      <c r="B76" s="15" t="s">
        <v>170</v>
      </c>
      <c r="C76" s="1" t="s">
        <v>17</v>
      </c>
      <c r="D76" s="3">
        <f>50+0-47+1</f>
        <v>4</v>
      </c>
      <c r="E76" s="2">
        <v>0</v>
      </c>
      <c r="F76" s="3">
        <f>70+0-47+1</f>
        <v>24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3">
        <v>0</v>
      </c>
      <c r="R76" s="11">
        <f>SUM(Table1[[#This Row],[Минск
Indoor_]])</f>
        <v>4</v>
      </c>
      <c r="S76" s="11">
        <f>SUM(Table1[[#This Row],[Минск
Indoor_]],Table1[[#This Row],[Логойск
Зимний_]])</f>
        <v>4</v>
      </c>
      <c r="T76" s="11">
        <f>SUM(Table1[[#This Row],[Минск
Indoor_]:[Дрогичин
Дуатлон_]])</f>
        <v>28</v>
      </c>
      <c r="U76" s="11">
        <f>SUM(Table1[[#This Row],[Минск
Indoor_]:[Могилёв
Спринт_]])</f>
        <v>28</v>
      </c>
      <c r="V76" s="11">
        <f>SUM(Table1[[#This Row],[Минск
Indoor_]:[Лепель Кросс_]])</f>
        <v>28</v>
      </c>
      <c r="W76" s="11">
        <f>SUM(Table1[[#This Row],[Минск
Indoor_]:[Гомель Спринт_]])</f>
        <v>28</v>
      </c>
      <c r="X76" s="11">
        <f>SUM(Table1[[#This Row],[Минск
Indoor_]:[Заславль
Мульти_]])</f>
        <v>28</v>
      </c>
      <c r="Y76" s="11">
        <f>SUM(Table1[[#This Row],[Минск
Indoor_]:[Брест
Олимпик_]])</f>
        <v>28</v>
      </c>
      <c r="Z76" s="11">
        <f>SUM(Table1[[#This Row],[Минск
Indoor_]:[Святск Триатлон_]])</f>
        <v>28</v>
      </c>
      <c r="AA76" s="11">
        <f>SUM(Table1[[#This Row],[Минск
Indoor_]:[Минск
Триатлон_]])</f>
        <v>28</v>
      </c>
      <c r="AB76" s="11">
        <f>SUM(Table1[[#This Row],[Минск
Indoor_]:[Гомель Кросс_]])</f>
        <v>28</v>
      </c>
      <c r="AC76" s="11">
        <f>SUM(Table1[[#This Row],[Минск
Indoor_]:[Минск Полный_]])</f>
        <v>28</v>
      </c>
      <c r="AD76" s="11">
        <f>SUM(Table1[[#This Row],[Минск
Indoor_]:[Раубичи
Дуатлон_]])</f>
        <v>28</v>
      </c>
      <c r="AE76" s="17">
        <v>28</v>
      </c>
      <c r="AF76" s="17">
        <f>Table1[[#This Row],[Раубичи
Дуатлон]]-AE76</f>
        <v>0</v>
      </c>
    </row>
    <row r="77" spans="1:32" ht="12.75" hidden="1" customHeight="1" x14ac:dyDescent="0.2">
      <c r="A77" s="1" t="s">
        <v>114</v>
      </c>
      <c r="B77" s="15" t="s">
        <v>170</v>
      </c>
      <c r="C77" s="1" t="s">
        <v>115</v>
      </c>
      <c r="D77" s="2">
        <v>0</v>
      </c>
      <c r="E77" s="3">
        <f>60+0-38+1</f>
        <v>23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3">
        <v>0</v>
      </c>
      <c r="R77" s="11">
        <f>SUM(Table1[[#This Row],[Минск
Indoor_]])</f>
        <v>0</v>
      </c>
      <c r="S77" s="11">
        <f>SUM(Table1[[#This Row],[Минск
Indoor_]],Table1[[#This Row],[Логойск
Зимний_]])</f>
        <v>23</v>
      </c>
      <c r="T77" s="11">
        <f>SUM(Table1[[#This Row],[Минск
Indoor_]:[Дрогичин
Дуатлон_]])</f>
        <v>23</v>
      </c>
      <c r="U77" s="11">
        <f>SUM(Table1[[#This Row],[Минск
Indoor_]:[Могилёв
Спринт_]])</f>
        <v>23</v>
      </c>
      <c r="V77" s="11">
        <f>SUM(Table1[[#This Row],[Минск
Indoor_]:[Лепель Кросс_]])</f>
        <v>23</v>
      </c>
      <c r="W77" s="11">
        <f>SUM(Table1[[#This Row],[Минск
Indoor_]:[Гомель Спринт_]])</f>
        <v>23</v>
      </c>
      <c r="X77" s="11">
        <f>SUM(Table1[[#This Row],[Минск
Indoor_]:[Заславль
Мульти_]])</f>
        <v>23</v>
      </c>
      <c r="Y77" s="11">
        <f>SUM(Table1[[#This Row],[Минск
Indoor_]:[Брест
Олимпик_]])</f>
        <v>23</v>
      </c>
      <c r="Z77" s="11">
        <f>SUM(Table1[[#This Row],[Минск
Indoor_]:[Святск Триатлон_]])</f>
        <v>23</v>
      </c>
      <c r="AA77" s="11">
        <f>SUM(Table1[[#This Row],[Минск
Indoor_]:[Минск
Триатлон_]])</f>
        <v>23</v>
      </c>
      <c r="AB77" s="11">
        <f>SUM(Table1[[#This Row],[Минск
Indoor_]:[Гомель Кросс_]])</f>
        <v>23</v>
      </c>
      <c r="AC77" s="11">
        <f>SUM(Table1[[#This Row],[Минск
Indoor_]:[Минск Полный_]])</f>
        <v>23</v>
      </c>
      <c r="AD77" s="11">
        <f>SUM(Table1[[#This Row],[Минск
Indoor_]:[Раубичи
Дуатлон_]])</f>
        <v>23</v>
      </c>
      <c r="AE77" s="17">
        <v>23</v>
      </c>
      <c r="AF77" s="17">
        <f>Table1[[#This Row],[Раубичи
Дуатлон]]-AE77</f>
        <v>0</v>
      </c>
    </row>
    <row r="78" spans="1:32" ht="12.75" hidden="1" customHeight="1" x14ac:dyDescent="0.2">
      <c r="A78" s="1" t="s">
        <v>116</v>
      </c>
      <c r="B78" s="15" t="s">
        <v>170</v>
      </c>
      <c r="C78" s="1"/>
      <c r="D78" s="2">
        <v>0</v>
      </c>
      <c r="E78" s="2">
        <v>0</v>
      </c>
      <c r="F78" s="3">
        <f>70+0-50+1</f>
        <v>21</v>
      </c>
      <c r="G78" s="2">
        <v>0</v>
      </c>
      <c r="H78" s="2">
        <v>0</v>
      </c>
      <c r="I78" s="2">
        <v>0</v>
      </c>
      <c r="J78" s="2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3">
        <v>0</v>
      </c>
      <c r="R78" s="11">
        <f>SUM(Table1[[#This Row],[Минск
Indoor_]])</f>
        <v>0</v>
      </c>
      <c r="S78" s="11">
        <f>SUM(Table1[[#This Row],[Минск
Indoor_]],Table1[[#This Row],[Логойск
Зимний_]])</f>
        <v>0</v>
      </c>
      <c r="T78" s="11">
        <f>SUM(Table1[[#This Row],[Минск
Indoor_]:[Дрогичин
Дуатлон_]])</f>
        <v>21</v>
      </c>
      <c r="U78" s="11">
        <f>SUM(Table1[[#This Row],[Минск
Indoor_]:[Могилёв
Спринт_]])</f>
        <v>21</v>
      </c>
      <c r="V78" s="11">
        <f>SUM(Table1[[#This Row],[Минск
Indoor_]:[Лепель Кросс_]])</f>
        <v>21</v>
      </c>
      <c r="W78" s="11">
        <f>SUM(Table1[[#This Row],[Минск
Indoor_]:[Гомель Спринт_]])</f>
        <v>21</v>
      </c>
      <c r="X78" s="11">
        <f>SUM(Table1[[#This Row],[Минск
Indoor_]:[Заславль
Мульти_]])</f>
        <v>21</v>
      </c>
      <c r="Y78" s="11">
        <f>SUM(Table1[[#This Row],[Минск
Indoor_]:[Брест
Олимпик_]])</f>
        <v>21</v>
      </c>
      <c r="Z78" s="11">
        <f>SUM(Table1[[#This Row],[Минск
Indoor_]:[Святск Триатлон_]])</f>
        <v>21</v>
      </c>
      <c r="AA78" s="11">
        <f>SUM(Table1[[#This Row],[Минск
Indoor_]:[Минск
Триатлон_]])</f>
        <v>21</v>
      </c>
      <c r="AB78" s="11">
        <f>SUM(Table1[[#This Row],[Минск
Indoor_]:[Гомель Кросс_]])</f>
        <v>21</v>
      </c>
      <c r="AC78" s="11">
        <f>SUM(Table1[[#This Row],[Минск
Indoor_]:[Минск Полный_]])</f>
        <v>21</v>
      </c>
      <c r="AD78" s="11">
        <f>SUM(Table1[[#This Row],[Минск
Indoor_]:[Раубичи
Дуатлон_]])</f>
        <v>21</v>
      </c>
      <c r="AE78" s="17">
        <v>21</v>
      </c>
      <c r="AF78" s="17">
        <f>Table1[[#This Row],[Раубичи
Дуатлон]]-AE78</f>
        <v>0</v>
      </c>
    </row>
    <row r="79" spans="1:32" ht="12.75" hidden="1" customHeight="1" x14ac:dyDescent="0.2">
      <c r="A79" s="1" t="s">
        <v>117</v>
      </c>
      <c r="B79" s="15" t="s">
        <v>170</v>
      </c>
      <c r="C79" s="1" t="s">
        <v>17</v>
      </c>
      <c r="D79" s="3">
        <f>50+0-38+1</f>
        <v>13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  <c r="L79" s="3">
        <v>0</v>
      </c>
      <c r="M79" s="3">
        <f>80+0-78+1</f>
        <v>3</v>
      </c>
      <c r="N79" s="3">
        <v>0</v>
      </c>
      <c r="O79" s="3">
        <v>0</v>
      </c>
      <c r="P79" s="3">
        <v>0</v>
      </c>
      <c r="Q79" s="13">
        <v>0</v>
      </c>
      <c r="R79" s="11">
        <f>SUM(Table1[[#This Row],[Минск
Indoor_]])</f>
        <v>13</v>
      </c>
      <c r="S79" s="11">
        <f>SUM(Table1[[#This Row],[Минск
Indoor_]],Table1[[#This Row],[Логойск
Зимний_]])</f>
        <v>13</v>
      </c>
      <c r="T79" s="11">
        <f>SUM(Table1[[#This Row],[Минск
Indoor_]:[Дрогичин
Дуатлон_]])</f>
        <v>13</v>
      </c>
      <c r="U79" s="11">
        <f>SUM(Table1[[#This Row],[Минск
Indoor_]:[Могилёв
Спринт_]])</f>
        <v>13</v>
      </c>
      <c r="V79" s="11">
        <f>SUM(Table1[[#This Row],[Минск
Indoor_]:[Лепель Кросс_]])</f>
        <v>13</v>
      </c>
      <c r="W79" s="11">
        <f>SUM(Table1[[#This Row],[Минск
Indoor_]:[Гомель Спринт_]])</f>
        <v>13</v>
      </c>
      <c r="X79" s="11">
        <f>SUM(Table1[[#This Row],[Минск
Indoor_]:[Заславль
Мульти_]])</f>
        <v>13</v>
      </c>
      <c r="Y79" s="11">
        <f>SUM(Table1[[#This Row],[Минск
Indoor_]:[Брест
Олимпик_]])</f>
        <v>13</v>
      </c>
      <c r="Z79" s="11">
        <f>SUM(Table1[[#This Row],[Минск
Indoor_]:[Святск Триатлон_]])</f>
        <v>13</v>
      </c>
      <c r="AA79" s="11">
        <f>SUM(Table1[[#This Row],[Минск
Indoor_]:[Минск
Триатлон_]])</f>
        <v>16</v>
      </c>
      <c r="AB79" s="11">
        <f>SUM(Table1[[#This Row],[Минск
Indoor_]:[Гомель Кросс_]])</f>
        <v>16</v>
      </c>
      <c r="AC79" s="11">
        <f>SUM(Table1[[#This Row],[Минск
Indoor_]:[Минск Полный_]])</f>
        <v>16</v>
      </c>
      <c r="AD79" s="11">
        <f>SUM(Table1[[#This Row],[Минск
Indoor_]:[Раубичи
Дуатлон_]])</f>
        <v>16</v>
      </c>
      <c r="AE79" s="17">
        <v>16</v>
      </c>
      <c r="AF79" s="17">
        <f>Table1[[#This Row],[Раубичи
Дуатлон]]-AE79</f>
        <v>0</v>
      </c>
    </row>
    <row r="80" spans="1:32" ht="12.75" hidden="1" customHeight="1" x14ac:dyDescent="0.2">
      <c r="A80" s="1" t="s">
        <v>118</v>
      </c>
      <c r="B80" s="15" t="s">
        <v>170</v>
      </c>
      <c r="C80" s="1"/>
      <c r="D80" s="2">
        <v>0</v>
      </c>
      <c r="E80" s="2">
        <v>0</v>
      </c>
      <c r="F80" s="2">
        <v>0</v>
      </c>
      <c r="G80" s="3">
        <f>60+0-51+1</f>
        <v>10</v>
      </c>
      <c r="H80" s="2">
        <v>0</v>
      </c>
      <c r="I80" s="2">
        <v>0</v>
      </c>
      <c r="J80" s="2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3">
        <v>0</v>
      </c>
      <c r="R80" s="11">
        <f>SUM(Table1[[#This Row],[Минск
Indoor_]])</f>
        <v>0</v>
      </c>
      <c r="S80" s="11">
        <f>SUM(Table1[[#This Row],[Минск
Indoor_]],Table1[[#This Row],[Логойск
Зимний_]])</f>
        <v>0</v>
      </c>
      <c r="T80" s="11">
        <f>SUM(Table1[[#This Row],[Минск
Indoor_]:[Дрогичин
Дуатлон_]])</f>
        <v>0</v>
      </c>
      <c r="U80" s="11">
        <f>SUM(Table1[[#This Row],[Минск
Indoor_]:[Могилёв
Спринт_]])</f>
        <v>10</v>
      </c>
      <c r="V80" s="11">
        <f>SUM(Table1[[#This Row],[Минск
Indoor_]:[Лепель Кросс_]])</f>
        <v>10</v>
      </c>
      <c r="W80" s="11">
        <f>SUM(Table1[[#This Row],[Минск
Indoor_]:[Гомель Спринт_]])</f>
        <v>10</v>
      </c>
      <c r="X80" s="11">
        <f>SUM(Table1[[#This Row],[Минск
Indoor_]:[Заславль
Мульти_]])</f>
        <v>10</v>
      </c>
      <c r="Y80" s="11">
        <f>SUM(Table1[[#This Row],[Минск
Indoor_]:[Брест
Олимпик_]])</f>
        <v>10</v>
      </c>
      <c r="Z80" s="11">
        <f>SUM(Table1[[#This Row],[Минск
Indoor_]:[Святск Триатлон_]])</f>
        <v>10</v>
      </c>
      <c r="AA80" s="11">
        <f>SUM(Table1[[#This Row],[Минск
Indoor_]:[Минск
Триатлон_]])</f>
        <v>10</v>
      </c>
      <c r="AB80" s="11">
        <f>SUM(Table1[[#This Row],[Минск
Indoor_]:[Гомель Кросс_]])</f>
        <v>10</v>
      </c>
      <c r="AC80" s="11">
        <f>SUM(Table1[[#This Row],[Минск
Indoor_]:[Минск Полный_]])</f>
        <v>10</v>
      </c>
      <c r="AD80" s="11">
        <f>SUM(Table1[[#This Row],[Минск
Indoor_]:[Раубичи
Дуатлон_]])</f>
        <v>10</v>
      </c>
      <c r="AE80" s="17">
        <v>10</v>
      </c>
      <c r="AF80" s="17">
        <f>Table1[[#This Row],[Раубичи
Дуатлон]]-AE80</f>
        <v>0</v>
      </c>
    </row>
    <row r="81" spans="1:32" ht="12.75" hidden="1" customHeight="1" x14ac:dyDescent="0.2">
      <c r="A81" s="1" t="s">
        <v>119</v>
      </c>
      <c r="B81" s="15" t="s">
        <v>170</v>
      </c>
      <c r="C81" s="1"/>
      <c r="D81" s="2">
        <v>0</v>
      </c>
      <c r="E81" s="2">
        <v>0</v>
      </c>
      <c r="F81" s="2">
        <v>0</v>
      </c>
      <c r="G81" s="3">
        <f>60+0-53+1</f>
        <v>8</v>
      </c>
      <c r="H81" s="2">
        <v>0</v>
      </c>
      <c r="I81" s="2">
        <v>0</v>
      </c>
      <c r="J81" s="2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3">
        <v>0</v>
      </c>
      <c r="R81" s="11">
        <f>SUM(Table1[[#This Row],[Минск
Indoor_]])</f>
        <v>0</v>
      </c>
      <c r="S81" s="11">
        <f>SUM(Table1[[#This Row],[Минск
Indoor_]],Table1[[#This Row],[Логойск
Зимний_]])</f>
        <v>0</v>
      </c>
      <c r="T81" s="11">
        <f>SUM(Table1[[#This Row],[Минск
Indoor_]:[Дрогичин
Дуатлон_]])</f>
        <v>0</v>
      </c>
      <c r="U81" s="11">
        <f>SUM(Table1[[#This Row],[Минск
Indoor_]:[Могилёв
Спринт_]])</f>
        <v>8</v>
      </c>
      <c r="V81" s="11">
        <f>SUM(Table1[[#This Row],[Минск
Indoor_]:[Лепель Кросс_]])</f>
        <v>8</v>
      </c>
      <c r="W81" s="11">
        <f>SUM(Table1[[#This Row],[Минск
Indoor_]:[Гомель Спринт_]])</f>
        <v>8</v>
      </c>
      <c r="X81" s="11">
        <f>SUM(Table1[[#This Row],[Минск
Indoor_]:[Заславль
Мульти_]])</f>
        <v>8</v>
      </c>
      <c r="Y81" s="11">
        <f>SUM(Table1[[#This Row],[Минск
Indoor_]:[Брест
Олимпик_]])</f>
        <v>8</v>
      </c>
      <c r="Z81" s="11">
        <f>SUM(Table1[[#This Row],[Минск
Indoor_]:[Святск Триатлон_]])</f>
        <v>8</v>
      </c>
      <c r="AA81" s="11">
        <f>SUM(Table1[[#This Row],[Минск
Indoor_]:[Минск
Триатлон_]])</f>
        <v>8</v>
      </c>
      <c r="AB81" s="11">
        <f>SUM(Table1[[#This Row],[Минск
Indoor_]:[Гомель Кросс_]])</f>
        <v>8</v>
      </c>
      <c r="AC81" s="11">
        <f>SUM(Table1[[#This Row],[Минск
Indoor_]:[Минск Полный_]])</f>
        <v>8</v>
      </c>
      <c r="AD81" s="11">
        <f>SUM(Table1[[#This Row],[Минск
Indoor_]:[Раубичи
Дуатлон_]])</f>
        <v>8</v>
      </c>
      <c r="AE81" s="17">
        <v>8</v>
      </c>
      <c r="AF81" s="17">
        <f>Table1[[#This Row],[Раубичи
Дуатлон]]-AE81</f>
        <v>0</v>
      </c>
    </row>
    <row r="82" spans="1:32" ht="12.75" hidden="1" customHeight="1" x14ac:dyDescent="0.2">
      <c r="A82" s="1" t="s">
        <v>120</v>
      </c>
      <c r="B82" s="15" t="s">
        <v>170</v>
      </c>
      <c r="C82" s="1" t="s">
        <v>17</v>
      </c>
      <c r="D82" s="3">
        <f t="shared" ref="D82:D85" si="1">50+0-50+1</f>
        <v>1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3">
        <v>0</v>
      </c>
      <c r="L82" s="3">
        <v>0</v>
      </c>
      <c r="M82" s="3">
        <f>90+0-90+1</f>
        <v>1</v>
      </c>
      <c r="N82" s="3">
        <v>0</v>
      </c>
      <c r="O82" s="3">
        <v>0</v>
      </c>
      <c r="P82" s="3">
        <v>0</v>
      </c>
      <c r="Q82" s="13">
        <v>0</v>
      </c>
      <c r="R82" s="11">
        <f>SUM(Table1[[#This Row],[Минск
Indoor_]])</f>
        <v>1</v>
      </c>
      <c r="S82" s="11">
        <f>SUM(Table1[[#This Row],[Минск
Indoor_]],Table1[[#This Row],[Логойск
Зимний_]])</f>
        <v>1</v>
      </c>
      <c r="T82" s="11">
        <f>SUM(Table1[[#This Row],[Минск
Indoor_]:[Дрогичин
Дуатлон_]])</f>
        <v>1</v>
      </c>
      <c r="U82" s="11">
        <f>SUM(Table1[[#This Row],[Минск
Indoor_]:[Могилёв
Спринт_]])</f>
        <v>1</v>
      </c>
      <c r="V82" s="11">
        <f>SUM(Table1[[#This Row],[Минск
Indoor_]:[Лепель Кросс_]])</f>
        <v>1</v>
      </c>
      <c r="W82" s="11">
        <f>SUM(Table1[[#This Row],[Минск
Indoor_]:[Гомель Спринт_]])</f>
        <v>1</v>
      </c>
      <c r="X82" s="11">
        <f>SUM(Table1[[#This Row],[Минск
Indoor_]:[Заславль
Мульти_]])</f>
        <v>1</v>
      </c>
      <c r="Y82" s="11">
        <f>SUM(Table1[[#This Row],[Минск
Indoor_]:[Брест
Олимпик_]])</f>
        <v>1</v>
      </c>
      <c r="Z82" s="11">
        <f>SUM(Table1[[#This Row],[Минск
Indoor_]:[Святск Триатлон_]])</f>
        <v>1</v>
      </c>
      <c r="AA82" s="11">
        <f>SUM(Table1[[#This Row],[Минск
Indoor_]:[Минск
Триатлон_]])</f>
        <v>2</v>
      </c>
      <c r="AB82" s="11">
        <f>SUM(Table1[[#This Row],[Минск
Indoor_]:[Гомель Кросс_]])</f>
        <v>2</v>
      </c>
      <c r="AC82" s="11">
        <f>SUM(Table1[[#This Row],[Минск
Indoor_]:[Минск Полный_]])</f>
        <v>2</v>
      </c>
      <c r="AD82" s="11">
        <f>SUM(Table1[[#This Row],[Минск
Indoor_]:[Раубичи
Дуатлон_]])</f>
        <v>2</v>
      </c>
      <c r="AE82" s="17">
        <v>2</v>
      </c>
      <c r="AF82" s="17">
        <f>Table1[[#This Row],[Раубичи
Дуатлон]]-AE82</f>
        <v>0</v>
      </c>
    </row>
    <row r="83" spans="1:32" ht="12.75" hidden="1" customHeight="1" x14ac:dyDescent="0.2">
      <c r="A83" s="1" t="s">
        <v>121</v>
      </c>
      <c r="B83" s="15" t="s">
        <v>170</v>
      </c>
      <c r="C83" s="1" t="s">
        <v>17</v>
      </c>
      <c r="D83" s="3">
        <f t="shared" si="1"/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3">
        <v>0</v>
      </c>
      <c r="L83" s="3">
        <v>0</v>
      </c>
      <c r="M83" s="3">
        <f>80+0-80+1</f>
        <v>1</v>
      </c>
      <c r="N83" s="3">
        <v>0</v>
      </c>
      <c r="O83" s="3">
        <v>0</v>
      </c>
      <c r="P83" s="3">
        <v>0</v>
      </c>
      <c r="Q83" s="13">
        <v>0</v>
      </c>
      <c r="R83" s="11">
        <f>SUM(Table1[[#This Row],[Минск
Indoor_]])</f>
        <v>1</v>
      </c>
      <c r="S83" s="11">
        <f>SUM(Table1[[#This Row],[Минск
Indoor_]],Table1[[#This Row],[Логойск
Зимний_]])</f>
        <v>1</v>
      </c>
      <c r="T83" s="11">
        <f>SUM(Table1[[#This Row],[Минск
Indoor_]:[Дрогичин
Дуатлон_]])</f>
        <v>1</v>
      </c>
      <c r="U83" s="11">
        <f>SUM(Table1[[#This Row],[Минск
Indoor_]:[Могилёв
Спринт_]])</f>
        <v>1</v>
      </c>
      <c r="V83" s="11">
        <f>SUM(Table1[[#This Row],[Минск
Indoor_]:[Лепель Кросс_]])</f>
        <v>1</v>
      </c>
      <c r="W83" s="11">
        <f>SUM(Table1[[#This Row],[Минск
Indoor_]:[Гомель Спринт_]])</f>
        <v>1</v>
      </c>
      <c r="X83" s="11">
        <f>SUM(Table1[[#This Row],[Минск
Indoor_]:[Заславль
Мульти_]])</f>
        <v>1</v>
      </c>
      <c r="Y83" s="11">
        <f>SUM(Table1[[#This Row],[Минск
Indoor_]:[Брест
Олимпик_]])</f>
        <v>1</v>
      </c>
      <c r="Z83" s="11">
        <f>SUM(Table1[[#This Row],[Минск
Indoor_]:[Святск Триатлон_]])</f>
        <v>1</v>
      </c>
      <c r="AA83" s="11">
        <f>SUM(Table1[[#This Row],[Минск
Indoor_]:[Минск
Триатлон_]])</f>
        <v>2</v>
      </c>
      <c r="AB83" s="11">
        <f>SUM(Table1[[#This Row],[Минск
Indoor_]:[Гомель Кросс_]])</f>
        <v>2</v>
      </c>
      <c r="AC83" s="11">
        <f>SUM(Table1[[#This Row],[Минск
Indoor_]:[Минск Полный_]])</f>
        <v>2</v>
      </c>
      <c r="AD83" s="11">
        <f>SUM(Table1[[#This Row],[Минск
Indoor_]:[Раубичи
Дуатлон_]])</f>
        <v>2</v>
      </c>
      <c r="AE83" s="17">
        <v>2</v>
      </c>
      <c r="AF83" s="17">
        <f>Table1[[#This Row],[Раубичи
Дуатлон]]-AE83</f>
        <v>0</v>
      </c>
    </row>
    <row r="84" spans="1:32" ht="12.75" hidden="1" customHeight="1" x14ac:dyDescent="0.2">
      <c r="A84" s="1" t="s">
        <v>122</v>
      </c>
      <c r="B84" s="15" t="s">
        <v>170</v>
      </c>
      <c r="C84" s="1" t="s">
        <v>17</v>
      </c>
      <c r="D84" s="3">
        <f t="shared" si="1"/>
        <v>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3">
        <v>0</v>
      </c>
      <c r="R84" s="11">
        <f>SUM(Table1[[#This Row],[Минск
Indoor_]])</f>
        <v>1</v>
      </c>
      <c r="S84" s="11">
        <f>SUM(Table1[[#This Row],[Минск
Indoor_]],Table1[[#This Row],[Логойск
Зимний_]])</f>
        <v>1</v>
      </c>
      <c r="T84" s="11">
        <f>SUM(Table1[[#This Row],[Минск
Indoor_]:[Дрогичин
Дуатлон_]])</f>
        <v>1</v>
      </c>
      <c r="U84" s="11">
        <f>SUM(Table1[[#This Row],[Минск
Indoor_]:[Могилёв
Спринт_]])</f>
        <v>1</v>
      </c>
      <c r="V84" s="11">
        <f>SUM(Table1[[#This Row],[Минск
Indoor_]:[Лепель Кросс_]])</f>
        <v>1</v>
      </c>
      <c r="W84" s="11">
        <f>SUM(Table1[[#This Row],[Минск
Indoor_]:[Гомель Спринт_]])</f>
        <v>1</v>
      </c>
      <c r="X84" s="11">
        <f>SUM(Table1[[#This Row],[Минск
Indoor_]:[Заславль
Мульти_]])</f>
        <v>1</v>
      </c>
      <c r="Y84" s="11">
        <f>SUM(Table1[[#This Row],[Минск
Indoor_]:[Брест
Олимпик_]])</f>
        <v>1</v>
      </c>
      <c r="Z84" s="11">
        <f>SUM(Table1[[#This Row],[Минск
Indoor_]:[Святск Триатлон_]])</f>
        <v>1</v>
      </c>
      <c r="AA84" s="11">
        <f>SUM(Table1[[#This Row],[Минск
Indoor_]:[Минск
Триатлон_]])</f>
        <v>1</v>
      </c>
      <c r="AB84" s="11">
        <f>SUM(Table1[[#This Row],[Минск
Indoor_]:[Гомель Кросс_]])</f>
        <v>1</v>
      </c>
      <c r="AC84" s="11">
        <f>SUM(Table1[[#This Row],[Минск
Indoor_]:[Минск Полный_]])</f>
        <v>1</v>
      </c>
      <c r="AD84" s="11">
        <f>SUM(Table1[[#This Row],[Минск
Indoor_]:[Раубичи
Дуатлон_]])</f>
        <v>1</v>
      </c>
      <c r="AE84" s="17">
        <v>1</v>
      </c>
      <c r="AF84" s="17">
        <f>Table1[[#This Row],[Раубичи
Дуатлон]]-AE84</f>
        <v>0</v>
      </c>
    </row>
    <row r="85" spans="1:32" ht="13.5" hidden="1" customHeight="1" x14ac:dyDescent="0.2">
      <c r="A85" s="1" t="s">
        <v>123</v>
      </c>
      <c r="B85" s="15" t="s">
        <v>170</v>
      </c>
      <c r="C85" s="1" t="s">
        <v>17</v>
      </c>
      <c r="D85" s="3">
        <f t="shared" si="1"/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13">
        <v>0</v>
      </c>
      <c r="R85" s="11">
        <f>SUM(Table1[[#This Row],[Минск
Indoor_]])</f>
        <v>1</v>
      </c>
      <c r="S85" s="11">
        <f>SUM(Table1[[#This Row],[Минск
Indoor_]],Table1[[#This Row],[Логойск
Зимний_]])</f>
        <v>1</v>
      </c>
      <c r="T85" s="11">
        <f>SUM(Table1[[#This Row],[Минск
Indoor_]:[Дрогичин
Дуатлон_]])</f>
        <v>1</v>
      </c>
      <c r="U85" s="11">
        <f>SUM(Table1[[#This Row],[Минск
Indoor_]:[Могилёв
Спринт_]])</f>
        <v>1</v>
      </c>
      <c r="V85" s="11">
        <f>SUM(Table1[[#This Row],[Минск
Indoor_]:[Лепель Кросс_]])</f>
        <v>1</v>
      </c>
      <c r="W85" s="11">
        <f>SUM(Table1[[#This Row],[Минск
Indoor_]:[Гомель Спринт_]])</f>
        <v>1</v>
      </c>
      <c r="X85" s="11">
        <f>SUM(Table1[[#This Row],[Минск
Indoor_]:[Заславль
Мульти_]])</f>
        <v>1</v>
      </c>
      <c r="Y85" s="11">
        <f>SUM(Table1[[#This Row],[Минск
Indoor_]:[Брест
Олимпик_]])</f>
        <v>1</v>
      </c>
      <c r="Z85" s="11">
        <f>SUM(Table1[[#This Row],[Минск
Indoor_]:[Святск Триатлон_]])</f>
        <v>1</v>
      </c>
      <c r="AA85" s="11">
        <f>SUM(Table1[[#This Row],[Минск
Indoor_]:[Минск
Триатлон_]])</f>
        <v>1</v>
      </c>
      <c r="AB85" s="11">
        <f>SUM(Table1[[#This Row],[Минск
Indoor_]:[Гомель Кросс_]])</f>
        <v>1</v>
      </c>
      <c r="AC85" s="11">
        <f>SUM(Table1[[#This Row],[Минск
Indoor_]:[Минск Полный_]])</f>
        <v>1</v>
      </c>
      <c r="AD85" s="11">
        <f>SUM(Table1[[#This Row],[Минск
Indoor_]:[Раубичи
Дуатлон_]])</f>
        <v>1</v>
      </c>
      <c r="AE85" s="17">
        <v>1</v>
      </c>
      <c r="AF85" s="17">
        <f>Table1[[#This Row],[Раубичи
Дуатлон]]-AE85</f>
        <v>0</v>
      </c>
    </row>
    <row r="86" spans="1:32" ht="12.75" hidden="1" customHeight="1" x14ac:dyDescent="0.2">
      <c r="A86" s="1" t="s">
        <v>124</v>
      </c>
      <c r="B86" s="15" t="s">
        <v>170</v>
      </c>
      <c r="C86" s="1" t="s">
        <v>17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13">
        <v>0</v>
      </c>
      <c r="R86" s="11">
        <f>SUM(Table1[[#This Row],[Минск
Indoor_]])</f>
        <v>0</v>
      </c>
      <c r="S86" s="11">
        <f>SUM(Table1[[#This Row],[Минск
Indoor_]],Table1[[#This Row],[Логойск
Зимний_]])</f>
        <v>0</v>
      </c>
      <c r="T86" s="11">
        <f>SUM(Table1[[#This Row],[Минск
Indoor_]:[Дрогичин
Дуатлон_]])</f>
        <v>0</v>
      </c>
      <c r="U86" s="11">
        <f>SUM(Table1[[#This Row],[Минск
Indoor_]:[Могилёв
Спринт_]])</f>
        <v>0</v>
      </c>
      <c r="V86" s="11">
        <f>SUM(Table1[[#This Row],[Минск
Indoor_]:[Лепель Кросс_]])</f>
        <v>0</v>
      </c>
      <c r="W86" s="11">
        <f>SUM(Table1[[#This Row],[Минск
Indoor_]:[Гомель Спринт_]])</f>
        <v>0</v>
      </c>
      <c r="X86" s="11">
        <f>SUM(Table1[[#This Row],[Минск
Indoor_]:[Заславль
Мульти_]])</f>
        <v>0</v>
      </c>
      <c r="Y86" s="11">
        <f>SUM(Table1[[#This Row],[Минск
Indoor_]:[Брест
Олимпик_]])</f>
        <v>0</v>
      </c>
      <c r="Z86" s="11">
        <f>SUM(Table1[[#This Row],[Минск
Indoor_]:[Святск Триатлон_]])</f>
        <v>0</v>
      </c>
      <c r="AA86" s="11">
        <f>SUM(Table1[[#This Row],[Минск
Indoor_]:[Минск
Триатлон_]])</f>
        <v>0</v>
      </c>
      <c r="AB86" s="11">
        <f>SUM(Table1[[#This Row],[Минск
Indoor_]:[Гомель Кросс_]])</f>
        <v>0</v>
      </c>
      <c r="AC86" s="11">
        <f>SUM(Table1[[#This Row],[Минск
Indoor_]:[Минск Полный_]])</f>
        <v>0</v>
      </c>
      <c r="AD86" s="11">
        <f>SUM(Table1[[#This Row],[Минск
Indoor_]:[Раубичи
Дуатлон_]])</f>
        <v>0</v>
      </c>
      <c r="AE86" s="17">
        <v>0</v>
      </c>
      <c r="AF86" s="17">
        <f>Table1[[#This Row],[Раубичи
Дуатлон]]-AE86</f>
        <v>0</v>
      </c>
    </row>
    <row r="87" spans="1:32" ht="12.75" hidden="1" customHeight="1" x14ac:dyDescent="0.2">
      <c r="A87" s="1" t="s">
        <v>125</v>
      </c>
      <c r="B87" s="15" t="s">
        <v>170</v>
      </c>
      <c r="C87" s="1" t="s">
        <v>17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13">
        <v>0</v>
      </c>
      <c r="R87" s="11">
        <f>SUM(Table1[[#This Row],[Минск
Indoor_]])</f>
        <v>0</v>
      </c>
      <c r="S87" s="11">
        <f>SUM(Table1[[#This Row],[Минск
Indoor_]],Table1[[#This Row],[Логойск
Зимний_]])</f>
        <v>0</v>
      </c>
      <c r="T87" s="11">
        <f>SUM(Table1[[#This Row],[Минск
Indoor_]:[Дрогичин
Дуатлон_]])</f>
        <v>0</v>
      </c>
      <c r="U87" s="11">
        <f>SUM(Table1[[#This Row],[Минск
Indoor_]:[Могилёв
Спринт_]])</f>
        <v>0</v>
      </c>
      <c r="V87" s="11">
        <f>SUM(Table1[[#This Row],[Минск
Indoor_]:[Лепель Кросс_]])</f>
        <v>0</v>
      </c>
      <c r="W87" s="11">
        <f>SUM(Table1[[#This Row],[Минск
Indoor_]:[Гомель Спринт_]])</f>
        <v>0</v>
      </c>
      <c r="X87" s="11">
        <f>SUM(Table1[[#This Row],[Минск
Indoor_]:[Заславль
Мульти_]])</f>
        <v>0</v>
      </c>
      <c r="Y87" s="11">
        <f>SUM(Table1[[#This Row],[Минск
Indoor_]:[Брест
Олимпик_]])</f>
        <v>0</v>
      </c>
      <c r="Z87" s="11">
        <f>SUM(Table1[[#This Row],[Минск
Indoor_]:[Святск Триатлон_]])</f>
        <v>0</v>
      </c>
      <c r="AA87" s="11">
        <f>SUM(Table1[[#This Row],[Минск
Indoor_]:[Минск
Триатлон_]])</f>
        <v>0</v>
      </c>
      <c r="AB87" s="11">
        <f>SUM(Table1[[#This Row],[Минск
Indoor_]:[Гомель Кросс_]])</f>
        <v>0</v>
      </c>
      <c r="AC87" s="11">
        <f>SUM(Table1[[#This Row],[Минск
Indoor_]:[Минск Полный_]])</f>
        <v>0</v>
      </c>
      <c r="AD87" s="11">
        <f>SUM(Table1[[#This Row],[Минск
Indoor_]:[Раубичи
Дуатлон_]])</f>
        <v>0</v>
      </c>
      <c r="AE87" s="17">
        <v>0</v>
      </c>
      <c r="AF87" s="17">
        <f>Table1[[#This Row],[Раубичи
Дуатлон]]-AE87</f>
        <v>0</v>
      </c>
    </row>
    <row r="88" spans="1:32" ht="12.75" hidden="1" customHeight="1" x14ac:dyDescent="0.2">
      <c r="A88" s="1" t="s">
        <v>126</v>
      </c>
      <c r="B88" s="15" t="s">
        <v>170</v>
      </c>
      <c r="C88" s="1" t="s">
        <v>17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13">
        <v>0</v>
      </c>
      <c r="R88" s="11">
        <f>SUM(Table1[[#This Row],[Минск
Indoor_]])</f>
        <v>0</v>
      </c>
      <c r="S88" s="11">
        <f>SUM(Table1[[#This Row],[Минск
Indoor_]],Table1[[#This Row],[Логойск
Зимний_]])</f>
        <v>0</v>
      </c>
      <c r="T88" s="11">
        <f>SUM(Table1[[#This Row],[Минск
Indoor_]:[Дрогичин
Дуатлон_]])</f>
        <v>0</v>
      </c>
      <c r="U88" s="11">
        <f>SUM(Table1[[#This Row],[Минск
Indoor_]:[Могилёв
Спринт_]])</f>
        <v>0</v>
      </c>
      <c r="V88" s="11">
        <f>SUM(Table1[[#This Row],[Минск
Indoor_]:[Лепель Кросс_]])</f>
        <v>0</v>
      </c>
      <c r="W88" s="11">
        <f>SUM(Table1[[#This Row],[Минск
Indoor_]:[Гомель Спринт_]])</f>
        <v>0</v>
      </c>
      <c r="X88" s="11">
        <f>SUM(Table1[[#This Row],[Минск
Indoor_]:[Заславль
Мульти_]])</f>
        <v>0</v>
      </c>
      <c r="Y88" s="11">
        <f>SUM(Table1[[#This Row],[Минск
Indoor_]:[Брест
Олимпик_]])</f>
        <v>0</v>
      </c>
      <c r="Z88" s="11">
        <f>SUM(Table1[[#This Row],[Минск
Indoor_]:[Святск Триатлон_]])</f>
        <v>0</v>
      </c>
      <c r="AA88" s="11">
        <f>SUM(Table1[[#This Row],[Минск
Indoor_]:[Минск
Триатлон_]])</f>
        <v>0</v>
      </c>
      <c r="AB88" s="11">
        <f>SUM(Table1[[#This Row],[Минск
Indoor_]:[Гомель Кросс_]])</f>
        <v>0</v>
      </c>
      <c r="AC88" s="11">
        <f>SUM(Table1[[#This Row],[Минск
Indoor_]:[Минск Полный_]])</f>
        <v>0</v>
      </c>
      <c r="AD88" s="11">
        <f>SUM(Table1[[#This Row],[Минск
Indoor_]:[Раубичи
Дуатлон_]])</f>
        <v>0</v>
      </c>
      <c r="AE88" s="17">
        <v>0</v>
      </c>
      <c r="AF88" s="17">
        <f>Table1[[#This Row],[Раубичи
Дуатлон]]-AE88</f>
        <v>0</v>
      </c>
    </row>
    <row r="89" spans="1:32" ht="12.75" hidden="1" customHeight="1" x14ac:dyDescent="0.2">
      <c r="A89" s="1" t="s">
        <v>127</v>
      </c>
      <c r="B89" s="15" t="s">
        <v>170</v>
      </c>
      <c r="C89" s="1" t="s">
        <v>128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13">
        <v>0</v>
      </c>
      <c r="R89" s="11">
        <f>SUM(Table1[[#This Row],[Минск
Indoor_]])</f>
        <v>0</v>
      </c>
      <c r="S89" s="11">
        <f>SUM(Table1[[#This Row],[Минск
Indoor_]],Table1[[#This Row],[Логойск
Зимний_]])</f>
        <v>0</v>
      </c>
      <c r="T89" s="11">
        <f>SUM(Table1[[#This Row],[Минск
Indoor_]:[Дрогичин
Дуатлон_]])</f>
        <v>0</v>
      </c>
      <c r="U89" s="11">
        <f>SUM(Table1[[#This Row],[Минск
Indoor_]:[Могилёв
Спринт_]])</f>
        <v>0</v>
      </c>
      <c r="V89" s="11">
        <f>SUM(Table1[[#This Row],[Минск
Indoor_]:[Лепель Кросс_]])</f>
        <v>0</v>
      </c>
      <c r="W89" s="11">
        <f>SUM(Table1[[#This Row],[Минск
Indoor_]:[Гомель Спринт_]])</f>
        <v>0</v>
      </c>
      <c r="X89" s="11">
        <f>SUM(Table1[[#This Row],[Минск
Indoor_]:[Заславль
Мульти_]])</f>
        <v>0</v>
      </c>
      <c r="Y89" s="11">
        <f>SUM(Table1[[#This Row],[Минск
Indoor_]:[Брест
Олимпик_]])</f>
        <v>0</v>
      </c>
      <c r="Z89" s="11">
        <f>SUM(Table1[[#This Row],[Минск
Indoor_]:[Святск Триатлон_]])</f>
        <v>0</v>
      </c>
      <c r="AA89" s="11">
        <f>SUM(Table1[[#This Row],[Минск
Indoor_]:[Минск
Триатлон_]])</f>
        <v>0</v>
      </c>
      <c r="AB89" s="11">
        <f>SUM(Table1[[#This Row],[Минск
Indoor_]:[Гомель Кросс_]])</f>
        <v>0</v>
      </c>
      <c r="AC89" s="11">
        <f>SUM(Table1[[#This Row],[Минск
Indoor_]:[Минск Полный_]])</f>
        <v>0</v>
      </c>
      <c r="AD89" s="11">
        <f>SUM(Table1[[#This Row],[Минск
Indoor_]:[Раубичи
Дуатлон_]])</f>
        <v>0</v>
      </c>
      <c r="AE89" s="17">
        <v>0</v>
      </c>
      <c r="AF89" s="17">
        <f>Table1[[#This Row],[Раубичи
Дуатлон]]-AE89</f>
        <v>0</v>
      </c>
    </row>
    <row r="90" spans="1:32" ht="12.75" hidden="1" customHeight="1" x14ac:dyDescent="0.2">
      <c r="A90" s="1" t="s">
        <v>129</v>
      </c>
      <c r="B90" s="15" t="s">
        <v>170</v>
      </c>
      <c r="C90" s="1"/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13">
        <v>0</v>
      </c>
      <c r="R90" s="11">
        <f>SUM(Table1[[#This Row],[Минск
Indoor_]])</f>
        <v>0</v>
      </c>
      <c r="S90" s="11">
        <f>SUM(Table1[[#This Row],[Минск
Indoor_]],Table1[[#This Row],[Логойск
Зимний_]])</f>
        <v>0</v>
      </c>
      <c r="T90" s="11">
        <f>SUM(Table1[[#This Row],[Минск
Indoor_]:[Дрогичин
Дуатлон_]])</f>
        <v>0</v>
      </c>
      <c r="U90" s="11">
        <f>SUM(Table1[[#This Row],[Минск
Indoor_]:[Могилёв
Спринт_]])</f>
        <v>0</v>
      </c>
      <c r="V90" s="11">
        <f>SUM(Table1[[#This Row],[Минск
Indoor_]:[Лепель Кросс_]])</f>
        <v>0</v>
      </c>
      <c r="W90" s="11">
        <f>SUM(Table1[[#This Row],[Минск
Indoor_]:[Гомель Спринт_]])</f>
        <v>0</v>
      </c>
      <c r="X90" s="11">
        <f>SUM(Table1[[#This Row],[Минск
Indoor_]:[Заславль
Мульти_]])</f>
        <v>0</v>
      </c>
      <c r="Y90" s="11">
        <f>SUM(Table1[[#This Row],[Минск
Indoor_]:[Брест
Олимпик_]])</f>
        <v>0</v>
      </c>
      <c r="Z90" s="11">
        <f>SUM(Table1[[#This Row],[Минск
Indoor_]:[Святск Триатлон_]])</f>
        <v>0</v>
      </c>
      <c r="AA90" s="11">
        <f>SUM(Table1[[#This Row],[Минск
Indoor_]:[Минск
Триатлон_]])</f>
        <v>0</v>
      </c>
      <c r="AB90" s="11">
        <f>SUM(Table1[[#This Row],[Минск
Indoor_]:[Гомель Кросс_]])</f>
        <v>0</v>
      </c>
      <c r="AC90" s="11">
        <f>SUM(Table1[[#This Row],[Минск
Indoor_]:[Минск Полный_]])</f>
        <v>0</v>
      </c>
      <c r="AD90" s="11">
        <f>SUM(Table1[[#This Row],[Минск
Indoor_]:[Раубичи
Дуатлон_]])</f>
        <v>0</v>
      </c>
      <c r="AE90" s="17">
        <v>0</v>
      </c>
      <c r="AF90" s="17">
        <f>Table1[[#This Row],[Раубичи
Дуатлон]]-AE90</f>
        <v>0</v>
      </c>
    </row>
    <row r="91" spans="1:32" ht="12.75" hidden="1" customHeight="1" x14ac:dyDescent="0.2">
      <c r="A91" s="1" t="s">
        <v>130</v>
      </c>
      <c r="B91" s="15" t="s">
        <v>170</v>
      </c>
      <c r="C91" s="1" t="s">
        <v>131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13">
        <v>0</v>
      </c>
      <c r="R91" s="11">
        <f>SUM(Table1[[#This Row],[Минск
Indoor_]])</f>
        <v>0</v>
      </c>
      <c r="S91" s="11">
        <f>SUM(Table1[[#This Row],[Минск
Indoor_]],Table1[[#This Row],[Логойск
Зимний_]])</f>
        <v>0</v>
      </c>
      <c r="T91" s="11">
        <f>SUM(Table1[[#This Row],[Минск
Indoor_]:[Дрогичин
Дуатлон_]])</f>
        <v>0</v>
      </c>
      <c r="U91" s="11">
        <f>SUM(Table1[[#This Row],[Минск
Indoor_]:[Могилёв
Спринт_]])</f>
        <v>0</v>
      </c>
      <c r="V91" s="11">
        <f>SUM(Table1[[#This Row],[Минск
Indoor_]:[Лепель Кросс_]])</f>
        <v>0</v>
      </c>
      <c r="W91" s="11">
        <f>SUM(Table1[[#This Row],[Минск
Indoor_]:[Гомель Спринт_]])</f>
        <v>0</v>
      </c>
      <c r="X91" s="11">
        <f>SUM(Table1[[#This Row],[Минск
Indoor_]:[Заславль
Мульти_]])</f>
        <v>0</v>
      </c>
      <c r="Y91" s="11">
        <f>SUM(Table1[[#This Row],[Минск
Indoor_]:[Брест
Олимпик_]])</f>
        <v>0</v>
      </c>
      <c r="Z91" s="11">
        <f>SUM(Table1[[#This Row],[Минск
Indoor_]:[Святск Триатлон_]])</f>
        <v>0</v>
      </c>
      <c r="AA91" s="11">
        <f>SUM(Table1[[#This Row],[Минск
Indoor_]:[Минск
Триатлон_]])</f>
        <v>0</v>
      </c>
      <c r="AB91" s="11">
        <f>SUM(Table1[[#This Row],[Минск
Indoor_]:[Гомель Кросс_]])</f>
        <v>0</v>
      </c>
      <c r="AC91" s="11">
        <f>SUM(Table1[[#This Row],[Минск
Indoor_]:[Минск Полный_]])</f>
        <v>0</v>
      </c>
      <c r="AD91" s="11">
        <f>SUM(Table1[[#This Row],[Минск
Indoor_]:[Раубичи
Дуатлон_]])</f>
        <v>0</v>
      </c>
      <c r="AE91" s="17">
        <v>0</v>
      </c>
      <c r="AF91" s="17">
        <f>Table1[[#This Row],[Раубичи
Дуатлон]]-AE91</f>
        <v>0</v>
      </c>
    </row>
    <row r="92" spans="1:32" ht="12.75" hidden="1" customHeight="1" x14ac:dyDescent="0.2">
      <c r="A92" s="1" t="s">
        <v>132</v>
      </c>
      <c r="B92" s="15" t="s">
        <v>170</v>
      </c>
      <c r="C92" s="1"/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13">
        <v>0</v>
      </c>
      <c r="R92" s="11">
        <f>SUM(Table1[[#This Row],[Минск
Indoor_]])</f>
        <v>0</v>
      </c>
      <c r="S92" s="11">
        <f>SUM(Table1[[#This Row],[Минск
Indoor_]],Table1[[#This Row],[Логойск
Зимний_]])</f>
        <v>0</v>
      </c>
      <c r="T92" s="11">
        <f>SUM(Table1[[#This Row],[Минск
Indoor_]:[Дрогичин
Дуатлон_]])</f>
        <v>0</v>
      </c>
      <c r="U92" s="11">
        <f>SUM(Table1[[#This Row],[Минск
Indoor_]:[Могилёв
Спринт_]])</f>
        <v>0</v>
      </c>
      <c r="V92" s="11">
        <f>SUM(Table1[[#This Row],[Минск
Indoor_]:[Лепель Кросс_]])</f>
        <v>0</v>
      </c>
      <c r="W92" s="11">
        <f>SUM(Table1[[#This Row],[Минск
Indoor_]:[Гомель Спринт_]])</f>
        <v>0</v>
      </c>
      <c r="X92" s="11">
        <f>SUM(Table1[[#This Row],[Минск
Indoor_]:[Заславль
Мульти_]])</f>
        <v>0</v>
      </c>
      <c r="Y92" s="11">
        <f>SUM(Table1[[#This Row],[Минск
Indoor_]:[Брест
Олимпик_]])</f>
        <v>0</v>
      </c>
      <c r="Z92" s="11">
        <f>SUM(Table1[[#This Row],[Минск
Indoor_]:[Святск Триатлон_]])</f>
        <v>0</v>
      </c>
      <c r="AA92" s="11">
        <f>SUM(Table1[[#This Row],[Минск
Indoor_]:[Минск
Триатлон_]])</f>
        <v>0</v>
      </c>
      <c r="AB92" s="11">
        <f>SUM(Table1[[#This Row],[Минск
Indoor_]:[Гомель Кросс_]])</f>
        <v>0</v>
      </c>
      <c r="AC92" s="11">
        <f>SUM(Table1[[#This Row],[Минск
Indoor_]:[Минск Полный_]])</f>
        <v>0</v>
      </c>
      <c r="AD92" s="11">
        <f>SUM(Table1[[#This Row],[Минск
Indoor_]:[Раубичи
Дуатлон_]])</f>
        <v>0</v>
      </c>
      <c r="AE92" s="17">
        <v>0</v>
      </c>
      <c r="AF92" s="17">
        <f>Table1[[#This Row],[Раубичи
Дуатлон]]-AE92</f>
        <v>0</v>
      </c>
    </row>
    <row r="93" spans="1:32" ht="12.75" hidden="1" customHeight="1" x14ac:dyDescent="0.2">
      <c r="A93" s="1" t="s">
        <v>133</v>
      </c>
      <c r="B93" s="15" t="s">
        <v>170</v>
      </c>
      <c r="C93" s="1"/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13">
        <v>0</v>
      </c>
      <c r="R93" s="11">
        <f>SUM(Table1[[#This Row],[Минск
Indoor_]])</f>
        <v>0</v>
      </c>
      <c r="S93" s="11">
        <f>SUM(Table1[[#This Row],[Минск
Indoor_]],Table1[[#This Row],[Логойск
Зимний_]])</f>
        <v>0</v>
      </c>
      <c r="T93" s="11">
        <f>SUM(Table1[[#This Row],[Минск
Indoor_]:[Дрогичин
Дуатлон_]])</f>
        <v>0</v>
      </c>
      <c r="U93" s="11">
        <f>SUM(Table1[[#This Row],[Минск
Indoor_]:[Могилёв
Спринт_]])</f>
        <v>0</v>
      </c>
      <c r="V93" s="11">
        <f>SUM(Table1[[#This Row],[Минск
Indoor_]:[Лепель Кросс_]])</f>
        <v>0</v>
      </c>
      <c r="W93" s="11">
        <f>SUM(Table1[[#This Row],[Минск
Indoor_]:[Гомель Спринт_]])</f>
        <v>0</v>
      </c>
      <c r="X93" s="11">
        <f>SUM(Table1[[#This Row],[Минск
Indoor_]:[Заславль
Мульти_]])</f>
        <v>0</v>
      </c>
      <c r="Y93" s="11">
        <f>SUM(Table1[[#This Row],[Минск
Indoor_]:[Брест
Олимпик_]])</f>
        <v>0</v>
      </c>
      <c r="Z93" s="11">
        <f>SUM(Table1[[#This Row],[Минск
Indoor_]:[Святск Триатлон_]])</f>
        <v>0</v>
      </c>
      <c r="AA93" s="11">
        <f>SUM(Table1[[#This Row],[Минск
Indoor_]:[Минск
Триатлон_]])</f>
        <v>0</v>
      </c>
      <c r="AB93" s="11">
        <f>SUM(Table1[[#This Row],[Минск
Indoor_]:[Гомель Кросс_]])</f>
        <v>0</v>
      </c>
      <c r="AC93" s="11">
        <f>SUM(Table1[[#This Row],[Минск
Indoor_]:[Минск Полный_]])</f>
        <v>0</v>
      </c>
      <c r="AD93" s="11">
        <f>SUM(Table1[[#This Row],[Минск
Indoor_]:[Раубичи
Дуатлон_]])</f>
        <v>0</v>
      </c>
      <c r="AE93" s="17">
        <v>0</v>
      </c>
      <c r="AF93" s="17">
        <f>Table1[[#This Row],[Раубичи
Дуатлон]]-AE93</f>
        <v>0</v>
      </c>
    </row>
    <row r="94" spans="1:32" ht="12.75" hidden="1" customHeight="1" x14ac:dyDescent="0.2">
      <c r="A94" s="1" t="s">
        <v>134</v>
      </c>
      <c r="B94" s="15" t="s">
        <v>170</v>
      </c>
      <c r="C94" s="1"/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13">
        <v>0</v>
      </c>
      <c r="R94" s="11">
        <f>SUM(Table1[[#This Row],[Минск
Indoor_]])</f>
        <v>0</v>
      </c>
      <c r="S94" s="11">
        <f>SUM(Table1[[#This Row],[Минск
Indoor_]],Table1[[#This Row],[Логойск
Зимний_]])</f>
        <v>0</v>
      </c>
      <c r="T94" s="11">
        <f>SUM(Table1[[#This Row],[Минск
Indoor_]:[Дрогичин
Дуатлон_]])</f>
        <v>0</v>
      </c>
      <c r="U94" s="11">
        <f>SUM(Table1[[#This Row],[Минск
Indoor_]:[Могилёв
Спринт_]])</f>
        <v>0</v>
      </c>
      <c r="V94" s="11">
        <f>SUM(Table1[[#This Row],[Минск
Indoor_]:[Лепель Кросс_]])</f>
        <v>0</v>
      </c>
      <c r="W94" s="11">
        <f>SUM(Table1[[#This Row],[Минск
Indoor_]:[Гомель Спринт_]])</f>
        <v>0</v>
      </c>
      <c r="X94" s="11">
        <f>SUM(Table1[[#This Row],[Минск
Indoor_]:[Заславль
Мульти_]])</f>
        <v>0</v>
      </c>
      <c r="Y94" s="11">
        <f>SUM(Table1[[#This Row],[Минск
Indoor_]:[Брест
Олимпик_]])</f>
        <v>0</v>
      </c>
      <c r="Z94" s="11">
        <f>SUM(Table1[[#This Row],[Минск
Indoor_]:[Святск Триатлон_]])</f>
        <v>0</v>
      </c>
      <c r="AA94" s="11">
        <f>SUM(Table1[[#This Row],[Минск
Indoor_]:[Минск
Триатлон_]])</f>
        <v>0</v>
      </c>
      <c r="AB94" s="11">
        <f>SUM(Table1[[#This Row],[Минск
Indoor_]:[Гомель Кросс_]])</f>
        <v>0</v>
      </c>
      <c r="AC94" s="11">
        <f>SUM(Table1[[#This Row],[Минск
Indoor_]:[Минск Полный_]])</f>
        <v>0</v>
      </c>
      <c r="AD94" s="11">
        <f>SUM(Table1[[#This Row],[Минск
Indoor_]:[Раубичи
Дуатлон_]])</f>
        <v>0</v>
      </c>
      <c r="AE94" s="17">
        <v>0</v>
      </c>
      <c r="AF94" s="17">
        <f>Table1[[#This Row],[Раубичи
Дуатлон]]-AE94</f>
        <v>0</v>
      </c>
    </row>
    <row r="95" spans="1:32" ht="12.75" hidden="1" customHeight="1" x14ac:dyDescent="0.2">
      <c r="A95" s="1" t="s">
        <v>135</v>
      </c>
      <c r="B95" s="15" t="s">
        <v>170</v>
      </c>
      <c r="C95" s="1" t="s">
        <v>85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13">
        <v>0</v>
      </c>
      <c r="R95" s="11">
        <f>SUM(Table1[[#This Row],[Минск
Indoor_]])</f>
        <v>0</v>
      </c>
      <c r="S95" s="11">
        <f>SUM(Table1[[#This Row],[Минск
Indoor_]],Table1[[#This Row],[Логойск
Зимний_]])</f>
        <v>0</v>
      </c>
      <c r="T95" s="11">
        <f>SUM(Table1[[#This Row],[Минск
Indoor_]:[Дрогичин
Дуатлон_]])</f>
        <v>0</v>
      </c>
      <c r="U95" s="11">
        <f>SUM(Table1[[#This Row],[Минск
Indoor_]:[Могилёв
Спринт_]])</f>
        <v>0</v>
      </c>
      <c r="V95" s="11">
        <f>SUM(Table1[[#This Row],[Минск
Indoor_]:[Лепель Кросс_]])</f>
        <v>0</v>
      </c>
      <c r="W95" s="11">
        <f>SUM(Table1[[#This Row],[Минск
Indoor_]:[Гомель Спринт_]])</f>
        <v>0</v>
      </c>
      <c r="X95" s="11">
        <f>SUM(Table1[[#This Row],[Минск
Indoor_]:[Заславль
Мульти_]])</f>
        <v>0</v>
      </c>
      <c r="Y95" s="11">
        <f>SUM(Table1[[#This Row],[Минск
Indoor_]:[Брест
Олимпик_]])</f>
        <v>0</v>
      </c>
      <c r="Z95" s="11">
        <f>SUM(Table1[[#This Row],[Минск
Indoor_]:[Святск Триатлон_]])</f>
        <v>0</v>
      </c>
      <c r="AA95" s="11">
        <f>SUM(Table1[[#This Row],[Минск
Indoor_]:[Минск
Триатлон_]])</f>
        <v>0</v>
      </c>
      <c r="AB95" s="11">
        <f>SUM(Table1[[#This Row],[Минск
Indoor_]:[Гомель Кросс_]])</f>
        <v>0</v>
      </c>
      <c r="AC95" s="11">
        <f>SUM(Table1[[#This Row],[Минск
Indoor_]:[Минск Полный_]])</f>
        <v>0</v>
      </c>
      <c r="AD95" s="11">
        <f>SUM(Table1[[#This Row],[Минск
Indoor_]:[Раубичи
Дуатлон_]])</f>
        <v>0</v>
      </c>
      <c r="AE95" s="17">
        <v>0</v>
      </c>
      <c r="AF95" s="17">
        <f>Table1[[#This Row],[Раубичи
Дуатлон]]-AE95</f>
        <v>0</v>
      </c>
    </row>
    <row r="96" spans="1:32" ht="12.75" hidden="1" customHeight="1" x14ac:dyDescent="0.2">
      <c r="A96" s="1" t="s">
        <v>136</v>
      </c>
      <c r="B96" s="15" t="s">
        <v>170</v>
      </c>
      <c r="C96" s="1"/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13">
        <v>0</v>
      </c>
      <c r="R96" s="11">
        <f>SUM(Table1[[#This Row],[Минск
Indoor_]])</f>
        <v>0</v>
      </c>
      <c r="S96" s="11">
        <f>SUM(Table1[[#This Row],[Минск
Indoor_]],Table1[[#This Row],[Логойск
Зимний_]])</f>
        <v>0</v>
      </c>
      <c r="T96" s="11">
        <f>SUM(Table1[[#This Row],[Минск
Indoor_]:[Дрогичин
Дуатлон_]])</f>
        <v>0</v>
      </c>
      <c r="U96" s="11">
        <f>SUM(Table1[[#This Row],[Минск
Indoor_]:[Могилёв
Спринт_]])</f>
        <v>0</v>
      </c>
      <c r="V96" s="11">
        <f>SUM(Table1[[#This Row],[Минск
Indoor_]:[Лепель Кросс_]])</f>
        <v>0</v>
      </c>
      <c r="W96" s="11">
        <f>SUM(Table1[[#This Row],[Минск
Indoor_]:[Гомель Спринт_]])</f>
        <v>0</v>
      </c>
      <c r="X96" s="11">
        <f>SUM(Table1[[#This Row],[Минск
Indoor_]:[Заславль
Мульти_]])</f>
        <v>0</v>
      </c>
      <c r="Y96" s="11">
        <f>SUM(Table1[[#This Row],[Минск
Indoor_]:[Брест
Олимпик_]])</f>
        <v>0</v>
      </c>
      <c r="Z96" s="11">
        <f>SUM(Table1[[#This Row],[Минск
Indoor_]:[Святск Триатлон_]])</f>
        <v>0</v>
      </c>
      <c r="AA96" s="11">
        <f>SUM(Table1[[#This Row],[Минск
Indoor_]:[Минск
Триатлон_]])</f>
        <v>0</v>
      </c>
      <c r="AB96" s="11">
        <f>SUM(Table1[[#This Row],[Минск
Indoor_]:[Гомель Кросс_]])</f>
        <v>0</v>
      </c>
      <c r="AC96" s="11">
        <f>SUM(Table1[[#This Row],[Минск
Indoor_]:[Минск Полный_]])</f>
        <v>0</v>
      </c>
      <c r="AD96" s="11">
        <f>SUM(Table1[[#This Row],[Минск
Indoor_]:[Раубичи
Дуатлон_]])</f>
        <v>0</v>
      </c>
      <c r="AE96" s="17">
        <v>0</v>
      </c>
      <c r="AF96" s="17">
        <f>Table1[[#This Row],[Раубичи
Дуатлон]]-AE96</f>
        <v>0</v>
      </c>
    </row>
    <row r="97" spans="1:32" ht="12.75" hidden="1" customHeight="1" x14ac:dyDescent="0.2">
      <c r="A97" s="1" t="s">
        <v>137</v>
      </c>
      <c r="B97" s="15" t="s">
        <v>170</v>
      </c>
      <c r="C97" s="1"/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13">
        <v>0</v>
      </c>
      <c r="R97" s="11">
        <f>SUM(Table1[[#This Row],[Минск
Indoor_]])</f>
        <v>0</v>
      </c>
      <c r="S97" s="11">
        <f>SUM(Table1[[#This Row],[Минск
Indoor_]],Table1[[#This Row],[Логойск
Зимний_]])</f>
        <v>0</v>
      </c>
      <c r="T97" s="11">
        <f>SUM(Table1[[#This Row],[Минск
Indoor_]:[Дрогичин
Дуатлон_]])</f>
        <v>0</v>
      </c>
      <c r="U97" s="11">
        <f>SUM(Table1[[#This Row],[Минск
Indoor_]:[Могилёв
Спринт_]])</f>
        <v>0</v>
      </c>
      <c r="V97" s="11">
        <f>SUM(Table1[[#This Row],[Минск
Indoor_]:[Лепель Кросс_]])</f>
        <v>0</v>
      </c>
      <c r="W97" s="11">
        <f>SUM(Table1[[#This Row],[Минск
Indoor_]:[Гомель Спринт_]])</f>
        <v>0</v>
      </c>
      <c r="X97" s="11">
        <f>SUM(Table1[[#This Row],[Минск
Indoor_]:[Заславль
Мульти_]])</f>
        <v>0</v>
      </c>
      <c r="Y97" s="11">
        <f>SUM(Table1[[#This Row],[Минск
Indoor_]:[Брест
Олимпик_]])</f>
        <v>0</v>
      </c>
      <c r="Z97" s="11">
        <f>SUM(Table1[[#This Row],[Минск
Indoor_]:[Святск Триатлон_]])</f>
        <v>0</v>
      </c>
      <c r="AA97" s="11">
        <f>SUM(Table1[[#This Row],[Минск
Indoor_]:[Минск
Триатлон_]])</f>
        <v>0</v>
      </c>
      <c r="AB97" s="11">
        <f>SUM(Table1[[#This Row],[Минск
Indoor_]:[Гомель Кросс_]])</f>
        <v>0</v>
      </c>
      <c r="AC97" s="11">
        <f>SUM(Table1[[#This Row],[Минск
Indoor_]:[Минск Полный_]])</f>
        <v>0</v>
      </c>
      <c r="AD97" s="11">
        <f>SUM(Table1[[#This Row],[Минск
Indoor_]:[Раубичи
Дуатлон_]])</f>
        <v>0</v>
      </c>
      <c r="AE97" s="17">
        <v>0</v>
      </c>
      <c r="AF97" s="17">
        <f>Table1[[#This Row],[Раубичи
Дуатлон]]-AE97</f>
        <v>0</v>
      </c>
    </row>
    <row r="98" spans="1:32" ht="12.75" hidden="1" customHeight="1" x14ac:dyDescent="0.2">
      <c r="A98" s="8" t="s">
        <v>138</v>
      </c>
      <c r="B98" s="15" t="s">
        <v>170</v>
      </c>
      <c r="C98" s="8"/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3">
        <v>0</v>
      </c>
      <c r="R98" s="10">
        <f>SUM(Table1[[#This Row],[Минск
Indoor_]])</f>
        <v>0</v>
      </c>
      <c r="S98" s="10">
        <f>SUM(Table1[[#This Row],[Минск
Indoor_]],Table1[[#This Row],[Логойск
Зимний_]])</f>
        <v>0</v>
      </c>
      <c r="T98" s="10">
        <f>SUM(Table1[[#This Row],[Минск
Indoor_]:[Дрогичин
Дуатлон_]])</f>
        <v>0</v>
      </c>
      <c r="U98" s="10">
        <f>SUM(Table1[[#This Row],[Минск
Indoor_]:[Могилёв
Спринт_]])</f>
        <v>0</v>
      </c>
      <c r="V98" s="10">
        <f>SUM(Table1[[#This Row],[Минск
Indoor_]:[Лепель Кросс_]])</f>
        <v>0</v>
      </c>
      <c r="W98" s="10">
        <f>SUM(Table1[[#This Row],[Минск
Indoor_]:[Гомель Спринт_]])</f>
        <v>0</v>
      </c>
      <c r="X98" s="10">
        <f>SUM(Table1[[#This Row],[Минск
Indoor_]:[Заславль
Мульти_]])</f>
        <v>0</v>
      </c>
      <c r="Y98" s="10">
        <f>SUM(Table1[[#This Row],[Минск
Indoor_]:[Брест
Олимпик_]])</f>
        <v>0</v>
      </c>
      <c r="Z98" s="10">
        <f>SUM(Table1[[#This Row],[Минск
Indoor_]:[Святск Триатлон_]])</f>
        <v>0</v>
      </c>
      <c r="AA98" s="10">
        <f>SUM(Table1[[#This Row],[Минск
Indoor_]:[Минск
Триатлон_]])</f>
        <v>0</v>
      </c>
      <c r="AB98" s="10">
        <f>SUM(Table1[[#This Row],[Минск
Indoor_]:[Гомель Кросс_]])</f>
        <v>0</v>
      </c>
      <c r="AC98" s="10">
        <f>SUM(Table1[[#This Row],[Минск
Indoor_]:[Минск Полный_]])</f>
        <v>0</v>
      </c>
      <c r="AD98" s="10">
        <f>SUM(Table1[[#This Row],[Минск
Indoor_]:[Раубичи
Дуатлон_]])</f>
        <v>0</v>
      </c>
      <c r="AE98" s="17">
        <v>0</v>
      </c>
      <c r="AF98" s="17">
        <f>Table1[[#This Row],[Раубичи
Дуатлон]]-AE98</f>
        <v>0</v>
      </c>
    </row>
    <row r="99" spans="1:32" ht="12.75" hidden="1" customHeight="1" x14ac:dyDescent="0.2">
      <c r="A99" s="15" t="s">
        <v>139</v>
      </c>
      <c r="B99" s="15" t="s">
        <v>171</v>
      </c>
      <c r="C99" s="15"/>
      <c r="D99" s="14">
        <f>50+3-1+1</f>
        <v>53</v>
      </c>
      <c r="E99" s="14">
        <v>0</v>
      </c>
      <c r="F99" s="14">
        <f>70+2-2+1</f>
        <v>71</v>
      </c>
      <c r="G99" s="14">
        <f>60+3-1+1</f>
        <v>63</v>
      </c>
      <c r="H99" s="14">
        <v>0</v>
      </c>
      <c r="I99" s="14">
        <f t="shared" ref="I99:J99" si="2">70+3-1+1</f>
        <v>73</v>
      </c>
      <c r="J99" s="11">
        <f t="shared" si="2"/>
        <v>73</v>
      </c>
      <c r="K99" s="11">
        <v>0</v>
      </c>
      <c r="L99" s="11">
        <f>70+3-3+1</f>
        <v>71</v>
      </c>
      <c r="M99" s="11">
        <f>90+3-2+1</f>
        <v>92</v>
      </c>
      <c r="N99" s="11">
        <v>0</v>
      </c>
      <c r="O99" s="11">
        <v>0</v>
      </c>
      <c r="P99" s="11">
        <v>18</v>
      </c>
      <c r="Q99" s="13">
        <v>0</v>
      </c>
      <c r="R99" s="11">
        <f>SUM(Table1[[#This Row],[Минск
Indoor_]])</f>
        <v>53</v>
      </c>
      <c r="S99" s="11">
        <f>SUM(Table1[[#This Row],[Минск
Indoor_]],Table1[[#This Row],[Логойск
Зимний_]])</f>
        <v>53</v>
      </c>
      <c r="T99" s="11">
        <f>SUM(Table1[[#This Row],[Минск
Indoor_]:[Дрогичин
Дуатлон_]])</f>
        <v>124</v>
      </c>
      <c r="U99" s="11">
        <f>SUM(Table1[[#This Row],[Минск
Indoor_]:[Могилёв
Спринт_]])</f>
        <v>187</v>
      </c>
      <c r="V99" s="11">
        <f>SUM(Table1[[#This Row],[Минск
Indoor_]:[Лепель Кросс_]])</f>
        <v>187</v>
      </c>
      <c r="W99" s="11">
        <f>SUM(Table1[[#This Row],[Минск
Indoor_]:[Гомель Спринт_]])</f>
        <v>260</v>
      </c>
      <c r="X99" s="11">
        <f>SUM(Table1[[#This Row],[Минск
Indoor_]:[Заславль
Мульти_]])</f>
        <v>333</v>
      </c>
      <c r="Y99" s="11">
        <f>SUM(Table1[[#This Row],[Минск
Indoor_]:[Брест
Олимпик_]])</f>
        <v>333</v>
      </c>
      <c r="Z99" s="11">
        <f>SUM(Table1[[#This Row],[Минск
Indoor_]:[Святск Триатлон_]])</f>
        <v>404</v>
      </c>
      <c r="AA99" s="11">
        <f>SUM(Table1[[#This Row],[Минск
Indoor_]:[Минск
Триатлон_]])</f>
        <v>496</v>
      </c>
      <c r="AB99" s="11">
        <f>SUM(Table1[[#This Row],[Минск
Indoor_]:[Гомель Кросс_]])</f>
        <v>496</v>
      </c>
      <c r="AC99" s="11">
        <f>SUM(Table1[[#This Row],[Минск
Indoor_]:[Минск Полный_]])</f>
        <v>496</v>
      </c>
      <c r="AD99" s="11">
        <f>SUM(Table1[[#This Row],[Минск
Indoor_]:[Раубичи
Дуатлон_]])</f>
        <v>514</v>
      </c>
      <c r="AE99" s="17">
        <v>514</v>
      </c>
      <c r="AF99" s="17">
        <f>Table1[[#This Row],[Раубичи
Дуатлон]]-AE99</f>
        <v>0</v>
      </c>
    </row>
    <row r="100" spans="1:32" ht="12.75" hidden="1" customHeight="1" x14ac:dyDescent="0.2">
      <c r="A100" s="15" t="s">
        <v>140</v>
      </c>
      <c r="B100" s="15" t="s">
        <v>171</v>
      </c>
      <c r="C100" s="15" t="s">
        <v>89</v>
      </c>
      <c r="D100" s="14">
        <f>50+0-5+1</f>
        <v>46</v>
      </c>
      <c r="E100" s="14">
        <f>60+0-4+1</f>
        <v>57</v>
      </c>
      <c r="F100" s="14">
        <f>70+1-3+1</f>
        <v>69</v>
      </c>
      <c r="G100" s="14">
        <v>0</v>
      </c>
      <c r="H100" s="14">
        <f>70+1-4+1</f>
        <v>68</v>
      </c>
      <c r="I100" s="14">
        <f>70+3-3+1</f>
        <v>71</v>
      </c>
      <c r="J100" s="11">
        <v>0</v>
      </c>
      <c r="K100" s="11">
        <f>80+1-4+1</f>
        <v>78</v>
      </c>
      <c r="L100" s="11">
        <f>80+0-5+1</f>
        <v>76</v>
      </c>
      <c r="M100" s="11">
        <v>36</v>
      </c>
      <c r="N100" s="11">
        <v>0</v>
      </c>
      <c r="O100" s="11">
        <v>0</v>
      </c>
      <c r="P100" s="11">
        <v>12</v>
      </c>
      <c r="Q100" s="13">
        <v>0</v>
      </c>
      <c r="R100" s="11">
        <f>SUM(Table1[[#This Row],[Минск
Indoor_]])</f>
        <v>46</v>
      </c>
      <c r="S100" s="11">
        <f>SUM(Table1[[#This Row],[Минск
Indoor_]],Table1[[#This Row],[Логойск
Зимний_]])</f>
        <v>103</v>
      </c>
      <c r="T100" s="11">
        <f>SUM(Table1[[#This Row],[Минск
Indoor_]:[Дрогичин
Дуатлон_]])</f>
        <v>172</v>
      </c>
      <c r="U100" s="11">
        <f>SUM(Table1[[#This Row],[Минск
Indoor_]:[Могилёв
Спринт_]])</f>
        <v>172</v>
      </c>
      <c r="V100" s="11">
        <f>SUM(Table1[[#This Row],[Минск
Indoor_]:[Лепель Кросс_]])</f>
        <v>240</v>
      </c>
      <c r="W100" s="11">
        <f>SUM(Table1[[#This Row],[Минск
Indoor_]:[Гомель Спринт_]])</f>
        <v>311</v>
      </c>
      <c r="X100" s="11">
        <f>SUM(Table1[[#This Row],[Минск
Indoor_]:[Заславль
Мульти_]])</f>
        <v>311</v>
      </c>
      <c r="Y100" s="11">
        <f>SUM(Table1[[#This Row],[Минск
Indoor_]:[Брест
Олимпик_]])</f>
        <v>389</v>
      </c>
      <c r="Z100" s="11">
        <f>SUM(Table1[[#This Row],[Минск
Indoor_]:[Святск Триатлон_]])</f>
        <v>465</v>
      </c>
      <c r="AA100" s="11">
        <f>SUM(Table1[[#This Row],[Минск
Indoor_]:[Минск
Триатлон_]])</f>
        <v>501</v>
      </c>
      <c r="AB100" s="11">
        <f>SUM(Table1[[#This Row],[Минск
Indoor_]:[Гомель Кросс_]])</f>
        <v>501</v>
      </c>
      <c r="AC100" s="11">
        <f>SUM(Table1[[#This Row],[Минск
Indoor_]:[Минск Полный_]])</f>
        <v>501</v>
      </c>
      <c r="AD100" s="11">
        <f>SUM(Table1[[#This Row],[Минск
Indoor_]:[Раубичи
Дуатлон_]])</f>
        <v>513</v>
      </c>
      <c r="AE100" s="17">
        <v>513</v>
      </c>
      <c r="AF100" s="17">
        <f>Table1[[#This Row],[Раубичи
Дуатлон]]-AE100</f>
        <v>0</v>
      </c>
    </row>
    <row r="101" spans="1:32" ht="12.75" hidden="1" customHeight="1" x14ac:dyDescent="0.2">
      <c r="A101" s="15" t="s">
        <v>141</v>
      </c>
      <c r="B101" s="15" t="s">
        <v>171</v>
      </c>
      <c r="C101" s="15" t="s">
        <v>17</v>
      </c>
      <c r="D101" s="14">
        <f>50+0-18+1</f>
        <v>33</v>
      </c>
      <c r="E101" s="14">
        <v>0</v>
      </c>
      <c r="F101" s="14">
        <f>70+0-5+1</f>
        <v>66</v>
      </c>
      <c r="G101" s="14">
        <f>60+2-4+1</f>
        <v>59</v>
      </c>
      <c r="H101" s="14">
        <v>0</v>
      </c>
      <c r="I101" s="14">
        <f>70+3-5+1</f>
        <v>69</v>
      </c>
      <c r="J101" s="11">
        <f>70+0-5+1</f>
        <v>66</v>
      </c>
      <c r="K101" s="11">
        <f>80+1-7+1</f>
        <v>75</v>
      </c>
      <c r="L101" s="11">
        <v>0</v>
      </c>
      <c r="M101" s="11">
        <f>90+0-19+1</f>
        <v>72</v>
      </c>
      <c r="N101" s="11">
        <v>25</v>
      </c>
      <c r="O101" s="11">
        <v>0</v>
      </c>
      <c r="P101" s="11">
        <v>0</v>
      </c>
      <c r="Q101" s="13">
        <v>0</v>
      </c>
      <c r="R101" s="11">
        <f>SUM(Table1[[#This Row],[Минск
Indoor_]])</f>
        <v>33</v>
      </c>
      <c r="S101" s="11">
        <f>SUM(Table1[[#This Row],[Минск
Indoor_]],Table1[[#This Row],[Логойск
Зимний_]])</f>
        <v>33</v>
      </c>
      <c r="T101" s="11">
        <f>SUM(Table1[[#This Row],[Минск
Indoor_]:[Дрогичин
Дуатлон_]])</f>
        <v>99</v>
      </c>
      <c r="U101" s="11">
        <f>SUM(Table1[[#This Row],[Минск
Indoor_]:[Могилёв
Спринт_]])</f>
        <v>158</v>
      </c>
      <c r="V101" s="11">
        <f>SUM(Table1[[#This Row],[Минск
Indoor_]:[Лепель Кросс_]])</f>
        <v>158</v>
      </c>
      <c r="W101" s="11">
        <f>SUM(Table1[[#This Row],[Минск
Indoor_]:[Гомель Спринт_]])</f>
        <v>227</v>
      </c>
      <c r="X101" s="11">
        <f>SUM(Table1[[#This Row],[Минск
Indoor_]:[Заславль
Мульти_]])</f>
        <v>293</v>
      </c>
      <c r="Y101" s="11">
        <f>SUM(Table1[[#This Row],[Минск
Indoor_]:[Брест
Олимпик_]])</f>
        <v>368</v>
      </c>
      <c r="Z101" s="11">
        <f>SUM(Table1[[#This Row],[Минск
Indoor_]:[Святск Триатлон_]])</f>
        <v>368</v>
      </c>
      <c r="AA101" s="11">
        <f>SUM(Table1[[#This Row],[Минск
Indoor_]:[Минск
Триатлон_]])</f>
        <v>440</v>
      </c>
      <c r="AB101" s="11">
        <f>SUM(Table1[[#This Row],[Минск
Indoor_]:[Гомель Кросс_]])</f>
        <v>465</v>
      </c>
      <c r="AC101" s="11">
        <f>SUM(Table1[[#This Row],[Минск
Indoor_]:[Минск Полный_]])</f>
        <v>465</v>
      </c>
      <c r="AD101" s="11">
        <f>SUM(Table1[[#This Row],[Минск
Indoor_]:[Раубичи
Дуатлон_]])</f>
        <v>465</v>
      </c>
      <c r="AE101" s="17">
        <v>465</v>
      </c>
      <c r="AF101" s="17">
        <f>Table1[[#This Row],[Раубичи
Дуатлон]]-AE101</f>
        <v>0</v>
      </c>
    </row>
    <row r="102" spans="1:32" ht="12.75" hidden="1" customHeight="1" x14ac:dyDescent="0.2">
      <c r="A102" s="15" t="s">
        <v>142</v>
      </c>
      <c r="B102" s="15" t="s">
        <v>171</v>
      </c>
      <c r="C102" s="15" t="s">
        <v>17</v>
      </c>
      <c r="D102" s="14">
        <f>50+1-3+1</f>
        <v>49</v>
      </c>
      <c r="E102" s="14">
        <v>0</v>
      </c>
      <c r="F102" s="14">
        <f>70+3-1+1</f>
        <v>73</v>
      </c>
      <c r="G102" s="14">
        <v>0</v>
      </c>
      <c r="H102" s="14">
        <v>0</v>
      </c>
      <c r="I102" s="14">
        <f t="shared" ref="I102:J102" si="3">70+2-2+1</f>
        <v>71</v>
      </c>
      <c r="J102" s="11">
        <f t="shared" si="3"/>
        <v>71</v>
      </c>
      <c r="K102" s="11">
        <v>0</v>
      </c>
      <c r="L102" s="11">
        <v>0</v>
      </c>
      <c r="M102" s="11">
        <f>90+3-5+1</f>
        <v>89</v>
      </c>
      <c r="N102" s="11">
        <v>0</v>
      </c>
      <c r="O102" s="11">
        <v>0</v>
      </c>
      <c r="P102" s="11">
        <f>70+3-1+1</f>
        <v>73</v>
      </c>
      <c r="Q102" s="13">
        <v>0</v>
      </c>
      <c r="R102" s="11">
        <f>SUM(Table1[[#This Row],[Минск
Indoor_]])</f>
        <v>49</v>
      </c>
      <c r="S102" s="11">
        <f>SUM(Table1[[#This Row],[Минск
Indoor_]],Table1[[#This Row],[Логойск
Зимний_]])</f>
        <v>49</v>
      </c>
      <c r="T102" s="11">
        <f>SUM(Table1[[#This Row],[Минск
Indoor_]:[Дрогичин
Дуатлон_]])</f>
        <v>122</v>
      </c>
      <c r="U102" s="11">
        <f>SUM(Table1[[#This Row],[Минск
Indoor_]:[Могилёв
Спринт_]])</f>
        <v>122</v>
      </c>
      <c r="V102" s="11">
        <f>SUM(Table1[[#This Row],[Минск
Indoor_]:[Лепель Кросс_]])</f>
        <v>122</v>
      </c>
      <c r="W102" s="11">
        <f>SUM(Table1[[#This Row],[Минск
Indoor_]:[Гомель Спринт_]])</f>
        <v>193</v>
      </c>
      <c r="X102" s="11">
        <f>SUM(Table1[[#This Row],[Минск
Indoor_]:[Заславль
Мульти_]])</f>
        <v>264</v>
      </c>
      <c r="Y102" s="11">
        <f>SUM(Table1[[#This Row],[Минск
Indoor_]:[Брест
Олимпик_]])</f>
        <v>264</v>
      </c>
      <c r="Z102" s="11">
        <f>SUM(Table1[[#This Row],[Минск
Indoor_]:[Святск Триатлон_]])</f>
        <v>264</v>
      </c>
      <c r="AA102" s="11">
        <f>SUM(Table1[[#This Row],[Минск
Indoor_]:[Минск
Триатлон_]])</f>
        <v>353</v>
      </c>
      <c r="AB102" s="11">
        <f>SUM(Table1[[#This Row],[Минск
Indoor_]:[Гомель Кросс_]])</f>
        <v>353</v>
      </c>
      <c r="AC102" s="11">
        <f>SUM(Table1[[#This Row],[Минск
Indoor_]:[Минск Полный_]])</f>
        <v>353</v>
      </c>
      <c r="AD102" s="11">
        <f>SUM(Table1[[#This Row],[Минск
Indoor_]:[Раубичи
Дуатлон_]])</f>
        <v>426</v>
      </c>
      <c r="AE102" s="17">
        <v>426</v>
      </c>
      <c r="AF102" s="17">
        <f>Table1[[#This Row],[Раубичи
Дуатлон]]-AE102</f>
        <v>0</v>
      </c>
    </row>
    <row r="103" spans="1:32" ht="12.75" hidden="1" customHeight="1" x14ac:dyDescent="0.2">
      <c r="A103" s="15" t="s">
        <v>143</v>
      </c>
      <c r="B103" s="15" t="s">
        <v>171</v>
      </c>
      <c r="C103" s="15" t="s">
        <v>17</v>
      </c>
      <c r="D103" s="14">
        <v>0</v>
      </c>
      <c r="E103" s="14">
        <v>0</v>
      </c>
      <c r="F103" s="14">
        <v>0</v>
      </c>
      <c r="G103" s="14">
        <v>0</v>
      </c>
      <c r="H103" s="14">
        <f>70+2-5+1</f>
        <v>68</v>
      </c>
      <c r="I103" s="14">
        <v>0</v>
      </c>
      <c r="J103" s="11">
        <f>70+0-4+1</f>
        <v>67</v>
      </c>
      <c r="K103" s="11">
        <f>80+3-3+1</f>
        <v>81</v>
      </c>
      <c r="L103" s="11">
        <v>0</v>
      </c>
      <c r="M103" s="11">
        <f>90+0-15+1</f>
        <v>76</v>
      </c>
      <c r="N103" s="11">
        <v>0</v>
      </c>
      <c r="O103" s="11">
        <v>0</v>
      </c>
      <c r="P103" s="11">
        <f>70+0-4+1</f>
        <v>67</v>
      </c>
      <c r="Q103" s="13">
        <v>0</v>
      </c>
      <c r="R103" s="11">
        <f>SUM(Table1[[#This Row],[Минск
Indoor_]])</f>
        <v>0</v>
      </c>
      <c r="S103" s="11">
        <f>SUM(Table1[[#This Row],[Минск
Indoor_]],Table1[[#This Row],[Логойск
Зимний_]])</f>
        <v>0</v>
      </c>
      <c r="T103" s="11">
        <f>SUM(Table1[[#This Row],[Минск
Indoor_]:[Дрогичин
Дуатлон_]])</f>
        <v>0</v>
      </c>
      <c r="U103" s="11">
        <f>SUM(Table1[[#This Row],[Минск
Indoor_]:[Могилёв
Спринт_]])</f>
        <v>0</v>
      </c>
      <c r="V103" s="11">
        <f>SUM(Table1[[#This Row],[Минск
Indoor_]:[Лепель Кросс_]])</f>
        <v>68</v>
      </c>
      <c r="W103" s="11">
        <f>SUM(Table1[[#This Row],[Минск
Indoor_]:[Гомель Спринт_]])</f>
        <v>68</v>
      </c>
      <c r="X103" s="11">
        <f>SUM(Table1[[#This Row],[Минск
Indoor_]:[Заславль
Мульти_]])</f>
        <v>135</v>
      </c>
      <c r="Y103" s="11">
        <f>SUM(Table1[[#This Row],[Минск
Indoor_]:[Брест
Олимпик_]])</f>
        <v>216</v>
      </c>
      <c r="Z103" s="11">
        <f>SUM(Table1[[#This Row],[Минск
Indoor_]:[Святск Триатлон_]])</f>
        <v>216</v>
      </c>
      <c r="AA103" s="11">
        <f>SUM(Table1[[#This Row],[Минск
Indoor_]:[Минск
Триатлон_]])</f>
        <v>292</v>
      </c>
      <c r="AB103" s="11">
        <f>SUM(Table1[[#This Row],[Минск
Indoor_]:[Гомель Кросс_]])</f>
        <v>292</v>
      </c>
      <c r="AC103" s="11">
        <f>SUM(Table1[[#This Row],[Минск
Indoor_]:[Минск Полный_]])</f>
        <v>292</v>
      </c>
      <c r="AD103" s="11">
        <f>SUM(Table1[[#This Row],[Минск
Indoor_]:[Раубичи
Дуатлон_]])</f>
        <v>359</v>
      </c>
      <c r="AE103" s="17">
        <v>359</v>
      </c>
      <c r="AF103" s="17">
        <f>Table1[[#This Row],[Раубичи
Дуатлон]]-AE103</f>
        <v>0</v>
      </c>
    </row>
    <row r="104" spans="1:32" ht="12.75" hidden="1" customHeight="1" x14ac:dyDescent="0.2">
      <c r="A104" s="15" t="s">
        <v>144</v>
      </c>
      <c r="B104" s="15" t="s">
        <v>171</v>
      </c>
      <c r="C104" s="15"/>
      <c r="D104" s="14">
        <f>50+0-22+1</f>
        <v>29</v>
      </c>
      <c r="E104" s="14">
        <f>60+0-7+1</f>
        <v>54</v>
      </c>
      <c r="F104" s="14">
        <v>0</v>
      </c>
      <c r="G104" s="14">
        <f>60+0-6+1</f>
        <v>55</v>
      </c>
      <c r="H104" s="14">
        <v>0</v>
      </c>
      <c r="I104" s="14">
        <v>0</v>
      </c>
      <c r="J104" s="11">
        <f>70+0-8+1</f>
        <v>63</v>
      </c>
      <c r="K104" s="11">
        <f>80+0-8+1</f>
        <v>73</v>
      </c>
      <c r="L104" s="11">
        <v>0</v>
      </c>
      <c r="M104" s="11">
        <f>80+1-22+1</f>
        <v>60</v>
      </c>
      <c r="N104" s="11">
        <v>0</v>
      </c>
      <c r="O104" s="11">
        <v>0</v>
      </c>
      <c r="P104" s="11">
        <v>0</v>
      </c>
      <c r="Q104" s="13">
        <v>0</v>
      </c>
      <c r="R104" s="11">
        <f>SUM(Table1[[#This Row],[Минск
Indoor_]])</f>
        <v>29</v>
      </c>
      <c r="S104" s="11">
        <f>SUM(Table1[[#This Row],[Минск
Indoor_]],Table1[[#This Row],[Логойск
Зимний_]])</f>
        <v>83</v>
      </c>
      <c r="T104" s="11">
        <f>SUM(Table1[[#This Row],[Минск
Indoor_]:[Дрогичин
Дуатлон_]])</f>
        <v>83</v>
      </c>
      <c r="U104" s="11">
        <f>SUM(Table1[[#This Row],[Минск
Indoor_]:[Могилёв
Спринт_]])</f>
        <v>138</v>
      </c>
      <c r="V104" s="11">
        <f>SUM(Table1[[#This Row],[Минск
Indoor_]:[Лепель Кросс_]])</f>
        <v>138</v>
      </c>
      <c r="W104" s="11">
        <f>SUM(Table1[[#This Row],[Минск
Indoor_]:[Гомель Спринт_]])</f>
        <v>138</v>
      </c>
      <c r="X104" s="11">
        <f>SUM(Table1[[#This Row],[Минск
Indoor_]:[Заславль
Мульти_]])</f>
        <v>201</v>
      </c>
      <c r="Y104" s="11">
        <f>SUM(Table1[[#This Row],[Минск
Indoor_]:[Брест
Олимпик_]])</f>
        <v>274</v>
      </c>
      <c r="Z104" s="11">
        <f>SUM(Table1[[#This Row],[Минск
Indoor_]:[Святск Триатлон_]])</f>
        <v>274</v>
      </c>
      <c r="AA104" s="11">
        <f>SUM(Table1[[#This Row],[Минск
Indoor_]:[Минск
Триатлон_]])</f>
        <v>334</v>
      </c>
      <c r="AB104" s="11">
        <f>SUM(Table1[[#This Row],[Минск
Indoor_]:[Гомель Кросс_]])</f>
        <v>334</v>
      </c>
      <c r="AC104" s="11">
        <f>SUM(Table1[[#This Row],[Минск
Indoor_]:[Минск Полный_]])</f>
        <v>334</v>
      </c>
      <c r="AD104" s="11">
        <f>SUM(Table1[[#This Row],[Минск
Indoor_]:[Раубичи
Дуатлон_]])</f>
        <v>334</v>
      </c>
      <c r="AE104" s="17">
        <v>334</v>
      </c>
      <c r="AF104" s="17">
        <f>Table1[[#This Row],[Раубичи
Дуатлон]]-AE104</f>
        <v>0</v>
      </c>
    </row>
    <row r="105" spans="1:32" ht="12.75" hidden="1" customHeight="1" x14ac:dyDescent="0.2">
      <c r="A105" s="15" t="s">
        <v>145</v>
      </c>
      <c r="B105" s="15" t="s">
        <v>171</v>
      </c>
      <c r="C105" s="15" t="s">
        <v>102</v>
      </c>
      <c r="D105" s="14">
        <f>50+0-8+1</f>
        <v>43</v>
      </c>
      <c r="E105" s="14">
        <v>0</v>
      </c>
      <c r="F105" s="14">
        <v>0</v>
      </c>
      <c r="G105" s="14">
        <f>60+3-2+1</f>
        <v>62</v>
      </c>
      <c r="H105" s="14">
        <v>0</v>
      </c>
      <c r="I105" s="14">
        <v>0</v>
      </c>
      <c r="J105" s="11">
        <v>0</v>
      </c>
      <c r="K105" s="11">
        <v>0</v>
      </c>
      <c r="L105" s="11">
        <f>80+0-4+1</f>
        <v>77</v>
      </c>
      <c r="M105" s="11">
        <f>90+1-11+1</f>
        <v>81</v>
      </c>
      <c r="N105" s="11">
        <f>60+3-2+1</f>
        <v>62</v>
      </c>
      <c r="O105" s="11">
        <v>0</v>
      </c>
      <c r="P105" s="11">
        <v>0</v>
      </c>
      <c r="Q105" s="13">
        <v>0</v>
      </c>
      <c r="R105" s="11">
        <f>SUM(Table1[[#This Row],[Минск
Indoor_]])</f>
        <v>43</v>
      </c>
      <c r="S105" s="11">
        <f>SUM(Table1[[#This Row],[Минск
Indoor_]],Table1[[#This Row],[Логойск
Зимний_]])</f>
        <v>43</v>
      </c>
      <c r="T105" s="11">
        <f>SUM(Table1[[#This Row],[Минск
Indoor_]:[Дрогичин
Дуатлон_]])</f>
        <v>43</v>
      </c>
      <c r="U105" s="11">
        <f>SUM(Table1[[#This Row],[Минск
Indoor_]:[Могилёв
Спринт_]])</f>
        <v>105</v>
      </c>
      <c r="V105" s="11">
        <f>SUM(Table1[[#This Row],[Минск
Indoor_]:[Лепель Кросс_]])</f>
        <v>105</v>
      </c>
      <c r="W105" s="11">
        <f>SUM(Table1[[#This Row],[Минск
Indoor_]:[Гомель Спринт_]])</f>
        <v>105</v>
      </c>
      <c r="X105" s="11">
        <f>SUM(Table1[[#This Row],[Минск
Indoor_]:[Заславль
Мульти_]])</f>
        <v>105</v>
      </c>
      <c r="Y105" s="11">
        <f>SUM(Table1[[#This Row],[Минск
Indoor_]:[Брест
Олимпик_]])</f>
        <v>105</v>
      </c>
      <c r="Z105" s="11">
        <f>SUM(Table1[[#This Row],[Минск
Indoor_]:[Святск Триатлон_]])</f>
        <v>182</v>
      </c>
      <c r="AA105" s="11">
        <f>SUM(Table1[[#This Row],[Минск
Indoor_]:[Минск
Триатлон_]])</f>
        <v>263</v>
      </c>
      <c r="AB105" s="11">
        <f>SUM(Table1[[#This Row],[Минск
Indoor_]:[Гомель Кросс_]])</f>
        <v>325</v>
      </c>
      <c r="AC105" s="11">
        <f>SUM(Table1[[#This Row],[Минск
Indoor_]:[Минск Полный_]])</f>
        <v>325</v>
      </c>
      <c r="AD105" s="11">
        <f>SUM(Table1[[#This Row],[Минск
Indoor_]:[Раубичи
Дуатлон_]])</f>
        <v>325</v>
      </c>
      <c r="AE105" s="17">
        <v>325</v>
      </c>
      <c r="AF105" s="17">
        <f>Table1[[#This Row],[Раубичи
Дуатлон]]-AE105</f>
        <v>0</v>
      </c>
    </row>
    <row r="106" spans="1:32" ht="12.75" hidden="1" customHeight="1" x14ac:dyDescent="0.2">
      <c r="A106" s="15" t="s">
        <v>146</v>
      </c>
      <c r="B106" s="15" t="s">
        <v>171</v>
      </c>
      <c r="C106" s="15"/>
      <c r="D106" s="14">
        <f>50+0-12+1</f>
        <v>39</v>
      </c>
      <c r="E106" s="14">
        <v>0</v>
      </c>
      <c r="F106" s="14">
        <v>0</v>
      </c>
      <c r="G106" s="14">
        <f>60+1-5+1</f>
        <v>57</v>
      </c>
      <c r="H106" s="14">
        <v>0</v>
      </c>
      <c r="I106" s="14">
        <f>70+2-6+1</f>
        <v>67</v>
      </c>
      <c r="J106" s="11">
        <v>0</v>
      </c>
      <c r="K106" s="11">
        <f>80+2-5+1</f>
        <v>78</v>
      </c>
      <c r="L106" s="11">
        <v>0</v>
      </c>
      <c r="M106" s="11">
        <v>0</v>
      </c>
      <c r="N106" s="11">
        <v>0</v>
      </c>
      <c r="O106" s="11">
        <v>0</v>
      </c>
      <c r="P106" s="11">
        <f>70+0-5+1</f>
        <v>66</v>
      </c>
      <c r="Q106" s="13">
        <v>0</v>
      </c>
      <c r="R106" s="11">
        <f>SUM(Table1[[#This Row],[Минск
Indoor_]])</f>
        <v>39</v>
      </c>
      <c r="S106" s="11">
        <f>SUM(Table1[[#This Row],[Минск
Indoor_]],Table1[[#This Row],[Логойск
Зимний_]])</f>
        <v>39</v>
      </c>
      <c r="T106" s="11">
        <f>SUM(Table1[[#This Row],[Минск
Indoor_]:[Дрогичин
Дуатлон_]])</f>
        <v>39</v>
      </c>
      <c r="U106" s="11">
        <f>SUM(Table1[[#This Row],[Минск
Indoor_]:[Могилёв
Спринт_]])</f>
        <v>96</v>
      </c>
      <c r="V106" s="11">
        <f>SUM(Table1[[#This Row],[Минск
Indoor_]:[Лепель Кросс_]])</f>
        <v>96</v>
      </c>
      <c r="W106" s="11">
        <f>SUM(Table1[[#This Row],[Минск
Indoor_]:[Гомель Спринт_]])</f>
        <v>163</v>
      </c>
      <c r="X106" s="11">
        <f>SUM(Table1[[#This Row],[Минск
Indoor_]:[Заславль
Мульти_]])</f>
        <v>163</v>
      </c>
      <c r="Y106" s="11">
        <f>SUM(Table1[[#This Row],[Минск
Indoor_]:[Брест
Олимпик_]])</f>
        <v>241</v>
      </c>
      <c r="Z106" s="11">
        <f>SUM(Table1[[#This Row],[Минск
Indoor_]:[Святск Триатлон_]])</f>
        <v>241</v>
      </c>
      <c r="AA106" s="11">
        <f>SUM(Table1[[#This Row],[Минск
Indoor_]:[Минск
Триатлон_]])</f>
        <v>241</v>
      </c>
      <c r="AB106" s="11">
        <f>SUM(Table1[[#This Row],[Минск
Indoor_]:[Гомель Кросс_]])</f>
        <v>241</v>
      </c>
      <c r="AC106" s="11">
        <f>SUM(Table1[[#This Row],[Минск
Indoor_]:[Минск Полный_]])</f>
        <v>241</v>
      </c>
      <c r="AD106" s="11">
        <f>SUM(Table1[[#This Row],[Минск
Indoor_]:[Раубичи
Дуатлон_]])</f>
        <v>307</v>
      </c>
      <c r="AE106" s="17">
        <v>307</v>
      </c>
      <c r="AF106" s="17">
        <f>Table1[[#This Row],[Раубичи
Дуатлон]]-AE106</f>
        <v>0</v>
      </c>
    </row>
    <row r="107" spans="1:32" ht="12.75" hidden="1" customHeight="1" x14ac:dyDescent="0.2">
      <c r="A107" s="15" t="s">
        <v>147</v>
      </c>
      <c r="B107" s="15" t="s">
        <v>171</v>
      </c>
      <c r="C107" s="15"/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f>70+1-7+1</f>
        <v>65</v>
      </c>
      <c r="J107" s="11">
        <f>70+0-7+1</f>
        <v>64</v>
      </c>
      <c r="K107" s="11">
        <v>0</v>
      </c>
      <c r="L107" s="11">
        <v>0</v>
      </c>
      <c r="M107" s="11">
        <f>70+1-8+1</f>
        <v>64</v>
      </c>
      <c r="N107" s="11">
        <v>0</v>
      </c>
      <c r="O107" s="11">
        <f>100+3-1+1</f>
        <v>103</v>
      </c>
      <c r="P107" s="11">
        <v>0</v>
      </c>
      <c r="Q107" s="13">
        <v>0</v>
      </c>
      <c r="R107" s="11">
        <f>SUM(Table1[[#This Row],[Минск
Indoor_]])</f>
        <v>0</v>
      </c>
      <c r="S107" s="11">
        <f>SUM(Table1[[#This Row],[Минск
Indoor_]],Table1[[#This Row],[Логойск
Зимний_]])</f>
        <v>0</v>
      </c>
      <c r="T107" s="11">
        <f>SUM(Table1[[#This Row],[Минск
Indoor_]:[Дрогичин
Дуатлон_]])</f>
        <v>0</v>
      </c>
      <c r="U107" s="11">
        <f>SUM(Table1[[#This Row],[Минск
Indoor_]:[Могилёв
Спринт_]])</f>
        <v>0</v>
      </c>
      <c r="V107" s="11">
        <f>SUM(Table1[[#This Row],[Минск
Indoor_]:[Лепель Кросс_]])</f>
        <v>0</v>
      </c>
      <c r="W107" s="11">
        <f>SUM(Table1[[#This Row],[Минск
Indoor_]:[Гомель Спринт_]])</f>
        <v>65</v>
      </c>
      <c r="X107" s="11">
        <f>SUM(Table1[[#This Row],[Минск
Indoor_]:[Заславль
Мульти_]])</f>
        <v>129</v>
      </c>
      <c r="Y107" s="11">
        <f>SUM(Table1[[#This Row],[Минск
Indoor_]:[Брест
Олимпик_]])</f>
        <v>129</v>
      </c>
      <c r="Z107" s="11">
        <f>SUM(Table1[[#This Row],[Минск
Indoor_]:[Святск Триатлон_]])</f>
        <v>129</v>
      </c>
      <c r="AA107" s="11">
        <f>SUM(Table1[[#This Row],[Минск
Indoor_]:[Минск
Триатлон_]])</f>
        <v>193</v>
      </c>
      <c r="AB107" s="11">
        <f>SUM(Table1[[#This Row],[Минск
Indoor_]:[Гомель Кросс_]])</f>
        <v>193</v>
      </c>
      <c r="AC107" s="11">
        <f>SUM(Table1[[#This Row],[Минск
Indoor_]:[Минск Полный_]])</f>
        <v>296</v>
      </c>
      <c r="AD107" s="11">
        <f>SUM(Table1[[#This Row],[Минск
Indoor_]:[Раубичи
Дуатлон_]])</f>
        <v>296</v>
      </c>
      <c r="AE107" s="17">
        <v>296</v>
      </c>
      <c r="AF107" s="17">
        <f>Table1[[#This Row],[Раубичи
Дуатлон]]-AE107</f>
        <v>0</v>
      </c>
    </row>
    <row r="108" spans="1:32" ht="12.75" hidden="1" customHeight="1" x14ac:dyDescent="0.2">
      <c r="A108" s="15" t="s">
        <v>148</v>
      </c>
      <c r="B108" s="15" t="s">
        <v>171</v>
      </c>
      <c r="C108" s="15"/>
      <c r="D108" s="14">
        <f>50+0-4+1</f>
        <v>47</v>
      </c>
      <c r="E108" s="14">
        <f>60+0-5+1</f>
        <v>56</v>
      </c>
      <c r="F108" s="14">
        <v>0</v>
      </c>
      <c r="G108" s="14">
        <v>0</v>
      </c>
      <c r="H108" s="14">
        <f>50+3-1+1</f>
        <v>53</v>
      </c>
      <c r="I108" s="14">
        <v>0</v>
      </c>
      <c r="J108" s="11">
        <v>0</v>
      </c>
      <c r="K108" s="11">
        <v>0</v>
      </c>
      <c r="L108" s="11">
        <f>70+0-7+1</f>
        <v>64</v>
      </c>
      <c r="M108" s="11">
        <f>70+2-7+1</f>
        <v>66</v>
      </c>
      <c r="N108" s="11">
        <v>0</v>
      </c>
      <c r="O108" s="11">
        <v>0</v>
      </c>
      <c r="P108" s="11">
        <v>0</v>
      </c>
      <c r="Q108" s="13">
        <v>0</v>
      </c>
      <c r="R108" s="11">
        <f>SUM(Table1[[#This Row],[Минск
Indoor_]])</f>
        <v>47</v>
      </c>
      <c r="S108" s="11">
        <f>SUM(Table1[[#This Row],[Минск
Indoor_]],Table1[[#This Row],[Логойск
Зимний_]])</f>
        <v>103</v>
      </c>
      <c r="T108" s="11">
        <f>SUM(Table1[[#This Row],[Минск
Indoor_]:[Дрогичин
Дуатлон_]])</f>
        <v>103</v>
      </c>
      <c r="U108" s="11">
        <f>SUM(Table1[[#This Row],[Минск
Indoor_]:[Могилёв
Спринт_]])</f>
        <v>103</v>
      </c>
      <c r="V108" s="11">
        <f>SUM(Table1[[#This Row],[Минск
Indoor_]:[Лепель Кросс_]])</f>
        <v>156</v>
      </c>
      <c r="W108" s="11">
        <f>SUM(Table1[[#This Row],[Минск
Indoor_]:[Гомель Спринт_]])</f>
        <v>156</v>
      </c>
      <c r="X108" s="11">
        <f>SUM(Table1[[#This Row],[Минск
Indoor_]:[Заславль
Мульти_]])</f>
        <v>156</v>
      </c>
      <c r="Y108" s="11">
        <f>SUM(Table1[[#This Row],[Минск
Indoor_]:[Брест
Олимпик_]])</f>
        <v>156</v>
      </c>
      <c r="Z108" s="11">
        <f>SUM(Table1[[#This Row],[Минск
Indoor_]:[Святск Триатлон_]])</f>
        <v>220</v>
      </c>
      <c r="AA108" s="11">
        <f>SUM(Table1[[#This Row],[Минск
Indoor_]:[Минск
Триатлон_]])</f>
        <v>286</v>
      </c>
      <c r="AB108" s="11">
        <f>SUM(Table1[[#This Row],[Минск
Indoor_]:[Гомель Кросс_]])</f>
        <v>286</v>
      </c>
      <c r="AC108" s="11">
        <f>SUM(Table1[[#This Row],[Минск
Indoor_]:[Минск Полный_]])</f>
        <v>286</v>
      </c>
      <c r="AD108" s="11">
        <f>SUM(Table1[[#This Row],[Минск
Indoor_]:[Раубичи
Дуатлон_]])</f>
        <v>286</v>
      </c>
      <c r="AE108" s="17">
        <v>286</v>
      </c>
      <c r="AF108" s="17">
        <f>Table1[[#This Row],[Раубичи
Дуатлон]]-AE108</f>
        <v>0</v>
      </c>
    </row>
    <row r="109" spans="1:32" ht="12.75" hidden="1" customHeight="1" x14ac:dyDescent="0.2">
      <c r="A109" s="15" t="s">
        <v>149</v>
      </c>
      <c r="B109" s="15" t="s">
        <v>171</v>
      </c>
      <c r="C109" s="15"/>
      <c r="D109" s="14">
        <f>50+0-26+1</f>
        <v>25</v>
      </c>
      <c r="E109" s="14">
        <f>60+0-6+1</f>
        <v>55</v>
      </c>
      <c r="F109" s="14">
        <v>0</v>
      </c>
      <c r="G109" s="14">
        <v>0</v>
      </c>
      <c r="H109" s="14">
        <v>0</v>
      </c>
      <c r="I109" s="14">
        <f>70+1-12+1</f>
        <v>60</v>
      </c>
      <c r="J109" s="11">
        <f>70+0-9+1</f>
        <v>62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3">
        <v>0</v>
      </c>
      <c r="R109" s="11">
        <f>SUM(Table1[[#This Row],[Минск
Indoor_]])</f>
        <v>25</v>
      </c>
      <c r="S109" s="11">
        <f>SUM(Table1[[#This Row],[Минск
Indoor_]],Table1[[#This Row],[Логойск
Зимний_]])</f>
        <v>80</v>
      </c>
      <c r="T109" s="11">
        <f>SUM(Table1[[#This Row],[Минск
Indoor_]:[Дрогичин
Дуатлон_]])</f>
        <v>80</v>
      </c>
      <c r="U109" s="11">
        <f>SUM(Table1[[#This Row],[Минск
Indoor_]:[Могилёв
Спринт_]])</f>
        <v>80</v>
      </c>
      <c r="V109" s="11">
        <f>SUM(Table1[[#This Row],[Минск
Indoor_]:[Лепель Кросс_]])</f>
        <v>80</v>
      </c>
      <c r="W109" s="11">
        <f>SUM(Table1[[#This Row],[Минск
Indoor_]:[Гомель Спринт_]])</f>
        <v>140</v>
      </c>
      <c r="X109" s="11">
        <f>SUM(Table1[[#This Row],[Минск
Indoor_]:[Заславль
Мульти_]])</f>
        <v>202</v>
      </c>
      <c r="Y109" s="11">
        <f>SUM(Table1[[#This Row],[Минск
Indoor_]:[Брест
Олимпик_]])</f>
        <v>202</v>
      </c>
      <c r="Z109" s="11">
        <f>SUM(Table1[[#This Row],[Минск
Indoor_]:[Святск Триатлон_]])</f>
        <v>202</v>
      </c>
      <c r="AA109" s="11">
        <f>SUM(Table1[[#This Row],[Минск
Indoor_]:[Минск
Триатлон_]])</f>
        <v>202</v>
      </c>
      <c r="AB109" s="11">
        <f>SUM(Table1[[#This Row],[Минск
Indoor_]:[Гомель Кросс_]])</f>
        <v>202</v>
      </c>
      <c r="AC109" s="11">
        <f>SUM(Table1[[#This Row],[Минск
Indoor_]:[Минск Полный_]])</f>
        <v>202</v>
      </c>
      <c r="AD109" s="11">
        <f>SUM(Table1[[#This Row],[Минск
Indoor_]:[Раубичи
Дуатлон_]])</f>
        <v>202</v>
      </c>
      <c r="AE109" s="17">
        <v>202</v>
      </c>
      <c r="AF109" s="17">
        <f>Table1[[#This Row],[Раубичи
Дуатлон]]-AE109</f>
        <v>0</v>
      </c>
    </row>
    <row r="110" spans="1:32" ht="12.75" hidden="1" customHeight="1" x14ac:dyDescent="0.2">
      <c r="A110" s="15" t="s">
        <v>150</v>
      </c>
      <c r="B110" s="15" t="s">
        <v>171</v>
      </c>
      <c r="C110" s="15" t="s">
        <v>17</v>
      </c>
      <c r="D110" s="14">
        <f>50+0-13+1</f>
        <v>38</v>
      </c>
      <c r="E110" s="14">
        <v>0</v>
      </c>
      <c r="F110" s="14">
        <v>0</v>
      </c>
      <c r="G110" s="14">
        <v>0</v>
      </c>
      <c r="H110" s="14">
        <v>0</v>
      </c>
      <c r="I110" s="14">
        <f>70+1-8+1</f>
        <v>64</v>
      </c>
      <c r="J110" s="11">
        <v>0</v>
      </c>
      <c r="K110" s="11">
        <v>0</v>
      </c>
      <c r="L110" s="11">
        <v>0</v>
      </c>
      <c r="M110" s="11">
        <f>80+2-16+1</f>
        <v>67</v>
      </c>
      <c r="N110" s="11">
        <v>0</v>
      </c>
      <c r="O110" s="11">
        <v>0</v>
      </c>
      <c r="P110" s="11">
        <v>0</v>
      </c>
      <c r="Q110" s="13">
        <v>0</v>
      </c>
      <c r="R110" s="11">
        <f>SUM(Table1[[#This Row],[Минск
Indoor_]])</f>
        <v>38</v>
      </c>
      <c r="S110" s="11">
        <f>SUM(Table1[[#This Row],[Минск
Indoor_]],Table1[[#This Row],[Логойск
Зимний_]])</f>
        <v>38</v>
      </c>
      <c r="T110" s="11">
        <f>SUM(Table1[[#This Row],[Минск
Indoor_]:[Дрогичин
Дуатлон_]])</f>
        <v>38</v>
      </c>
      <c r="U110" s="11">
        <f>SUM(Table1[[#This Row],[Минск
Indoor_]:[Могилёв
Спринт_]])</f>
        <v>38</v>
      </c>
      <c r="V110" s="11">
        <f>SUM(Table1[[#This Row],[Минск
Indoor_]:[Лепель Кросс_]])</f>
        <v>38</v>
      </c>
      <c r="W110" s="11">
        <f>SUM(Table1[[#This Row],[Минск
Indoor_]:[Гомель Спринт_]])</f>
        <v>102</v>
      </c>
      <c r="X110" s="11">
        <f>SUM(Table1[[#This Row],[Минск
Indoor_]:[Заславль
Мульти_]])</f>
        <v>102</v>
      </c>
      <c r="Y110" s="11">
        <f>SUM(Table1[[#This Row],[Минск
Indoor_]:[Брест
Олимпик_]])</f>
        <v>102</v>
      </c>
      <c r="Z110" s="11">
        <f>SUM(Table1[[#This Row],[Минск
Indoor_]:[Святск Триатлон_]])</f>
        <v>102</v>
      </c>
      <c r="AA110" s="11">
        <f>SUM(Table1[[#This Row],[Минск
Indoor_]:[Минск
Триатлон_]])</f>
        <v>169</v>
      </c>
      <c r="AB110" s="11">
        <f>SUM(Table1[[#This Row],[Минск
Indoor_]:[Гомель Кросс_]])</f>
        <v>169</v>
      </c>
      <c r="AC110" s="11">
        <f>SUM(Table1[[#This Row],[Минск
Indoor_]:[Минск Полный_]])</f>
        <v>169</v>
      </c>
      <c r="AD110" s="11">
        <f>SUM(Table1[[#This Row],[Минск
Indoor_]:[Раубичи
Дуатлон_]])</f>
        <v>169</v>
      </c>
      <c r="AE110" s="17">
        <v>169</v>
      </c>
      <c r="AF110" s="17">
        <f>Table1[[#This Row],[Раубичи
Дуатлон]]-AE110</f>
        <v>0</v>
      </c>
    </row>
    <row r="111" spans="1:32" ht="12.75" hidden="1" customHeight="1" x14ac:dyDescent="0.2">
      <c r="A111" s="15" t="s">
        <v>151</v>
      </c>
      <c r="B111" s="15" t="s">
        <v>171</v>
      </c>
      <c r="C111" s="15"/>
      <c r="D111" s="14">
        <f>50+0-15+1</f>
        <v>36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1">
        <v>0</v>
      </c>
      <c r="K111" s="11">
        <v>0</v>
      </c>
      <c r="L111" s="11">
        <f>70+0-9+1</f>
        <v>62</v>
      </c>
      <c r="M111" s="11">
        <f>70+0-13+1</f>
        <v>58</v>
      </c>
      <c r="N111" s="11">
        <v>0</v>
      </c>
      <c r="O111" s="11">
        <v>0</v>
      </c>
      <c r="P111" s="11">
        <v>0</v>
      </c>
      <c r="Q111" s="13">
        <v>0</v>
      </c>
      <c r="R111" s="11">
        <f>SUM(Table1[[#This Row],[Минск
Indoor_]])</f>
        <v>36</v>
      </c>
      <c r="S111" s="11">
        <f>SUM(Table1[[#This Row],[Минск
Indoor_]],Table1[[#This Row],[Логойск
Зимний_]])</f>
        <v>36</v>
      </c>
      <c r="T111" s="11">
        <f>SUM(Table1[[#This Row],[Минск
Indoor_]:[Дрогичин
Дуатлон_]])</f>
        <v>36</v>
      </c>
      <c r="U111" s="11">
        <f>SUM(Table1[[#This Row],[Минск
Indoor_]:[Могилёв
Спринт_]])</f>
        <v>36</v>
      </c>
      <c r="V111" s="11">
        <f>SUM(Table1[[#This Row],[Минск
Indoor_]:[Лепель Кросс_]])</f>
        <v>36</v>
      </c>
      <c r="W111" s="11">
        <f>SUM(Table1[[#This Row],[Минск
Indoor_]:[Гомель Спринт_]])</f>
        <v>36</v>
      </c>
      <c r="X111" s="11">
        <f>SUM(Table1[[#This Row],[Минск
Indoor_]:[Заславль
Мульти_]])</f>
        <v>36</v>
      </c>
      <c r="Y111" s="11">
        <f>SUM(Table1[[#This Row],[Минск
Indoor_]:[Брест
Олимпик_]])</f>
        <v>36</v>
      </c>
      <c r="Z111" s="11">
        <f>SUM(Table1[[#This Row],[Минск
Indoor_]:[Святск Триатлон_]])</f>
        <v>98</v>
      </c>
      <c r="AA111" s="11">
        <f>SUM(Table1[[#This Row],[Минск
Indoor_]:[Минск
Триатлон_]])</f>
        <v>156</v>
      </c>
      <c r="AB111" s="11">
        <f>SUM(Table1[[#This Row],[Минск
Indoor_]:[Гомель Кросс_]])</f>
        <v>156</v>
      </c>
      <c r="AC111" s="11">
        <f>SUM(Table1[[#This Row],[Минск
Indoor_]:[Минск Полный_]])</f>
        <v>156</v>
      </c>
      <c r="AD111" s="11">
        <f>SUM(Table1[[#This Row],[Минск
Indoor_]:[Раубичи
Дуатлон_]])</f>
        <v>156</v>
      </c>
      <c r="AE111" s="17">
        <v>156</v>
      </c>
      <c r="AF111" s="17">
        <f>Table1[[#This Row],[Раубичи
Дуатлон]]-AE111</f>
        <v>0</v>
      </c>
    </row>
    <row r="112" spans="1:32" ht="12.75" hidden="1" customHeight="1" x14ac:dyDescent="0.2">
      <c r="A112" s="15" t="s">
        <v>152</v>
      </c>
      <c r="B112" s="15" t="s">
        <v>171</v>
      </c>
      <c r="C112" s="15" t="s">
        <v>89</v>
      </c>
      <c r="D112" s="14">
        <f>50+2-2+1</f>
        <v>51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1">
        <v>0</v>
      </c>
      <c r="K112" s="11">
        <f>80+3-1+1</f>
        <v>83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3">
        <v>0</v>
      </c>
      <c r="R112" s="11">
        <f>SUM(Table1[[#This Row],[Минск
Indoor_]])</f>
        <v>51</v>
      </c>
      <c r="S112" s="11">
        <f>SUM(Table1[[#This Row],[Минск
Indoor_]],Table1[[#This Row],[Логойск
Зимний_]])</f>
        <v>51</v>
      </c>
      <c r="T112" s="11">
        <f>SUM(Table1[[#This Row],[Минск
Indoor_]:[Дрогичин
Дуатлон_]])</f>
        <v>51</v>
      </c>
      <c r="U112" s="11">
        <f>SUM(Table1[[#This Row],[Минск
Indoor_]:[Могилёв
Спринт_]])</f>
        <v>51</v>
      </c>
      <c r="V112" s="11">
        <f>SUM(Table1[[#This Row],[Минск
Indoor_]:[Лепель Кросс_]])</f>
        <v>51</v>
      </c>
      <c r="W112" s="11">
        <f>SUM(Table1[[#This Row],[Минск
Indoor_]:[Гомель Спринт_]])</f>
        <v>51</v>
      </c>
      <c r="X112" s="11">
        <f>SUM(Table1[[#This Row],[Минск
Indoor_]:[Заславль
Мульти_]])</f>
        <v>51</v>
      </c>
      <c r="Y112" s="11">
        <f>SUM(Table1[[#This Row],[Минск
Indoor_]:[Брест
Олимпик_]])</f>
        <v>134</v>
      </c>
      <c r="Z112" s="11">
        <f>SUM(Table1[[#This Row],[Минск
Indoor_]:[Святск Триатлон_]])</f>
        <v>134</v>
      </c>
      <c r="AA112" s="11">
        <f>SUM(Table1[[#This Row],[Минск
Indoor_]:[Минск
Триатлон_]])</f>
        <v>134</v>
      </c>
      <c r="AB112" s="11">
        <f>SUM(Table1[[#This Row],[Минск
Indoor_]:[Гомель Кросс_]])</f>
        <v>134</v>
      </c>
      <c r="AC112" s="11">
        <f>SUM(Table1[[#This Row],[Минск
Indoor_]:[Минск Полный_]])</f>
        <v>134</v>
      </c>
      <c r="AD112" s="11">
        <f>SUM(Table1[[#This Row],[Минск
Indoor_]:[Раубичи
Дуатлон_]])</f>
        <v>134</v>
      </c>
      <c r="AE112" s="17">
        <v>134</v>
      </c>
      <c r="AF112" s="17">
        <f>Table1[[#This Row],[Раубичи
Дуатлон]]-AE112</f>
        <v>0</v>
      </c>
    </row>
    <row r="113" spans="1:32" ht="12.75" hidden="1" customHeight="1" x14ac:dyDescent="0.2">
      <c r="A113" s="15" t="s">
        <v>153</v>
      </c>
      <c r="B113" s="15" t="s">
        <v>171</v>
      </c>
      <c r="C113" s="15" t="s">
        <v>154</v>
      </c>
      <c r="D113" s="14">
        <f>50+0-9+1</f>
        <v>42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1">
        <v>0</v>
      </c>
      <c r="K113" s="11">
        <v>0</v>
      </c>
      <c r="L113" s="11">
        <v>0</v>
      </c>
      <c r="M113" s="11">
        <f>90+2-7+1</f>
        <v>86</v>
      </c>
      <c r="N113" s="11">
        <v>0</v>
      </c>
      <c r="O113" s="11">
        <v>0</v>
      </c>
      <c r="P113" s="11">
        <v>0</v>
      </c>
      <c r="Q113" s="13">
        <v>0</v>
      </c>
      <c r="R113" s="11">
        <f>SUM(Table1[[#This Row],[Минск
Indoor_]])</f>
        <v>42</v>
      </c>
      <c r="S113" s="11">
        <f>SUM(Table1[[#This Row],[Минск
Indoor_]],Table1[[#This Row],[Логойск
Зимний_]])</f>
        <v>42</v>
      </c>
      <c r="T113" s="11">
        <f>SUM(Table1[[#This Row],[Минск
Indoor_]:[Дрогичин
Дуатлон_]])</f>
        <v>42</v>
      </c>
      <c r="U113" s="11">
        <f>SUM(Table1[[#This Row],[Минск
Indoor_]:[Могилёв
Спринт_]])</f>
        <v>42</v>
      </c>
      <c r="V113" s="11">
        <f>SUM(Table1[[#This Row],[Минск
Indoor_]:[Лепель Кросс_]])</f>
        <v>42</v>
      </c>
      <c r="W113" s="11">
        <f>SUM(Table1[[#This Row],[Минск
Indoor_]:[Гомель Спринт_]])</f>
        <v>42</v>
      </c>
      <c r="X113" s="11">
        <f>SUM(Table1[[#This Row],[Минск
Indoor_]:[Заславль
Мульти_]])</f>
        <v>42</v>
      </c>
      <c r="Y113" s="11">
        <f>SUM(Table1[[#This Row],[Минск
Indoor_]:[Брест
Олимпик_]])</f>
        <v>42</v>
      </c>
      <c r="Z113" s="11">
        <f>SUM(Table1[[#This Row],[Минск
Indoor_]:[Святск Триатлон_]])</f>
        <v>42</v>
      </c>
      <c r="AA113" s="11">
        <f>SUM(Table1[[#This Row],[Минск
Indoor_]:[Минск
Триатлон_]])</f>
        <v>128</v>
      </c>
      <c r="AB113" s="11">
        <f>SUM(Table1[[#This Row],[Минск
Indoor_]:[Гомель Кросс_]])</f>
        <v>128</v>
      </c>
      <c r="AC113" s="11">
        <f>SUM(Table1[[#This Row],[Минск
Indoor_]:[Минск Полный_]])</f>
        <v>128</v>
      </c>
      <c r="AD113" s="11">
        <f>SUM(Table1[[#This Row],[Минск
Indoor_]:[Раубичи
Дуатлон_]])</f>
        <v>128</v>
      </c>
      <c r="AE113" s="17">
        <v>128</v>
      </c>
      <c r="AF113" s="17">
        <f>Table1[[#This Row],[Раубичи
Дуатлон]]-AE113</f>
        <v>0</v>
      </c>
    </row>
    <row r="114" spans="1:32" ht="12.75" hidden="1" customHeight="1" x14ac:dyDescent="0.2">
      <c r="A114" s="8" t="s">
        <v>155</v>
      </c>
      <c r="B114" s="15" t="s">
        <v>171</v>
      </c>
      <c r="C114" s="8" t="s">
        <v>109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3">
        <v>0</v>
      </c>
      <c r="R114" s="10">
        <f>SUM(Table1[[#This Row],[Минск
Indoor_]])</f>
        <v>0</v>
      </c>
      <c r="S114" s="10">
        <f>SUM(Table1[[#This Row],[Минск
Indoor_]],Table1[[#This Row],[Логойск
Зимний_]])</f>
        <v>0</v>
      </c>
      <c r="T114" s="10">
        <f>SUM(Table1[[#This Row],[Минск
Indoor_]:[Дрогичин
Дуатлон_]])</f>
        <v>0</v>
      </c>
      <c r="U114" s="10">
        <f>SUM(Table1[[#This Row],[Минск
Indoor_]:[Могилёв
Спринт_]])</f>
        <v>0</v>
      </c>
      <c r="V114" s="10">
        <f>SUM(Table1[[#This Row],[Минск
Indoor_]:[Лепель Кросс_]])</f>
        <v>0</v>
      </c>
      <c r="W114" s="10">
        <f>SUM(Table1[[#This Row],[Минск
Indoor_]:[Гомель Спринт_]])</f>
        <v>0</v>
      </c>
      <c r="X114" s="10">
        <f>SUM(Table1[[#This Row],[Минск
Indoor_]:[Заславль
Мульти_]])</f>
        <v>0</v>
      </c>
      <c r="Y114" s="10">
        <f>SUM(Table1[[#This Row],[Минск
Indoor_]:[Брест
Олимпик_]])</f>
        <v>0</v>
      </c>
      <c r="Z114" s="10">
        <f>SUM(Table1[[#This Row],[Минск
Indoor_]:[Святск Триатлон_]])</f>
        <v>0</v>
      </c>
      <c r="AA114" s="10">
        <f>SUM(Table1[[#This Row],[Минск
Indoor_]:[Минск
Триатлон_]])</f>
        <v>0</v>
      </c>
      <c r="AB114" s="10">
        <f>SUM(Table1[[#This Row],[Минск
Indoor_]:[Гомель Кросс_]])</f>
        <v>0</v>
      </c>
      <c r="AC114" s="10">
        <f>SUM(Table1[[#This Row],[Минск
Indoor_]:[Минск Полный_]])</f>
        <v>0</v>
      </c>
      <c r="AD114" s="10">
        <f>SUM(Table1[[#This Row],[Минск
Indoor_]:[Раубичи
Дуатлон_]])</f>
        <v>0</v>
      </c>
      <c r="AE114" s="17">
        <v>0</v>
      </c>
      <c r="AF114" s="17">
        <f>Table1[[#This Row],[Раубичи
Дуатлон]]-AE114</f>
        <v>0</v>
      </c>
    </row>
    <row r="115" spans="1:32" ht="12.75" customHeight="1" x14ac:dyDescent="0.2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4"/>
      <c r="S115" s="4"/>
      <c r="T115" s="4"/>
      <c r="U115" s="4"/>
      <c r="V115" s="4"/>
      <c r="W115" s="4"/>
    </row>
    <row r="116" spans="1:32" ht="12.75" customHeight="1" x14ac:dyDescent="0.2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4"/>
      <c r="S116" s="4"/>
      <c r="T116" s="4"/>
      <c r="U116" s="4"/>
      <c r="V116" s="4"/>
      <c r="W116" s="4"/>
    </row>
    <row r="117" spans="1:32" ht="12.75" customHeight="1" x14ac:dyDescent="0.2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4"/>
      <c r="S117" s="4"/>
      <c r="T117" s="4"/>
      <c r="U117" s="4"/>
      <c r="V117" s="4"/>
      <c r="W117" s="4"/>
    </row>
    <row r="118" spans="1:32" ht="12.75" customHeight="1" x14ac:dyDescent="0.2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4"/>
      <c r="S118" s="4"/>
      <c r="T118" s="4"/>
      <c r="U118" s="4"/>
      <c r="V118" s="4"/>
      <c r="W118" s="4"/>
    </row>
    <row r="119" spans="1:32" ht="12.75" customHeight="1" x14ac:dyDescent="0.2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4"/>
      <c r="S119" s="4"/>
      <c r="T119" s="4"/>
      <c r="U119" s="4"/>
      <c r="V119" s="4"/>
      <c r="W119" s="4"/>
    </row>
    <row r="120" spans="1:32" ht="12.75" customHeight="1" x14ac:dyDescent="0.2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4"/>
      <c r="S120" s="4"/>
      <c r="T120" s="4"/>
      <c r="U120" s="4"/>
      <c r="V120" s="4"/>
      <c r="W120" s="4"/>
    </row>
    <row r="121" spans="1:32" ht="12.75" customHeight="1" x14ac:dyDescent="0.2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4"/>
      <c r="S121" s="4"/>
      <c r="T121" s="4"/>
      <c r="U121" s="4"/>
      <c r="V121" s="4"/>
      <c r="W121" s="4"/>
    </row>
    <row r="122" spans="1:32" ht="12.75" customHeight="1" x14ac:dyDescent="0.2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4"/>
      <c r="S122" s="4"/>
      <c r="T122" s="4"/>
      <c r="U122" s="4"/>
      <c r="V122" s="4"/>
      <c r="W122" s="4"/>
    </row>
    <row r="123" spans="1:32" ht="12.75" customHeight="1" x14ac:dyDescent="0.2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4"/>
      <c r="S123" s="4"/>
      <c r="T123" s="4"/>
      <c r="U123" s="4"/>
      <c r="V123" s="4"/>
      <c r="W123" s="4"/>
    </row>
    <row r="124" spans="1:32" ht="12.75" customHeight="1" x14ac:dyDescent="0.2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4"/>
      <c r="S124" s="4"/>
      <c r="T124" s="4"/>
      <c r="U124" s="4"/>
      <c r="V124" s="4"/>
      <c r="W124" s="4"/>
    </row>
    <row r="125" spans="1:32" ht="12.75" customHeight="1" x14ac:dyDescent="0.2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4"/>
      <c r="S125" s="4"/>
      <c r="T125" s="4"/>
      <c r="U125" s="4"/>
      <c r="V125" s="4"/>
      <c r="W125" s="4"/>
    </row>
    <row r="126" spans="1:32" ht="12.75" customHeight="1" x14ac:dyDescent="0.2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4"/>
      <c r="S126" s="4"/>
      <c r="T126" s="4"/>
      <c r="U126" s="4"/>
      <c r="V126" s="4"/>
      <c r="W126" s="4"/>
    </row>
    <row r="127" spans="1:32" ht="12.75" customHeight="1" x14ac:dyDescent="0.2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4"/>
      <c r="S127" s="4"/>
      <c r="T127" s="4"/>
      <c r="U127" s="4"/>
      <c r="V127" s="4"/>
      <c r="W127" s="4"/>
    </row>
    <row r="128" spans="1:32" ht="12.75" customHeight="1" x14ac:dyDescent="0.2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4"/>
      <c r="S128" s="4"/>
      <c r="T128" s="4"/>
      <c r="U128" s="4"/>
      <c r="V128" s="4"/>
      <c r="W128" s="4"/>
    </row>
    <row r="129" spans="1:23" ht="12.75" customHeight="1" x14ac:dyDescent="0.2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4"/>
      <c r="S129" s="4"/>
      <c r="T129" s="4"/>
      <c r="U129" s="4"/>
      <c r="V129" s="4"/>
      <c r="W129" s="4"/>
    </row>
    <row r="130" spans="1:23" ht="12.75" customHeight="1" x14ac:dyDescent="0.2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4"/>
      <c r="S130" s="4"/>
      <c r="T130" s="4"/>
      <c r="U130" s="4"/>
      <c r="V130" s="4"/>
      <c r="W130" s="4"/>
    </row>
    <row r="131" spans="1:23" ht="12.75" customHeight="1" x14ac:dyDescent="0.2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4"/>
      <c r="S131" s="4"/>
      <c r="T131" s="4"/>
      <c r="U131" s="4"/>
      <c r="V131" s="4"/>
      <c r="W131" s="4"/>
    </row>
    <row r="132" spans="1:23" ht="12.75" customHeight="1" x14ac:dyDescent="0.2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4"/>
      <c r="S132" s="4"/>
      <c r="T132" s="4"/>
      <c r="U132" s="4"/>
      <c r="V132" s="4"/>
      <c r="W132" s="4"/>
    </row>
    <row r="133" spans="1:23" ht="12.75" customHeight="1" x14ac:dyDescent="0.2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4"/>
      <c r="S133" s="4"/>
      <c r="T133" s="4"/>
      <c r="U133" s="4"/>
      <c r="V133" s="4"/>
      <c r="W133" s="4"/>
    </row>
    <row r="134" spans="1:23" ht="12.75" customHeight="1" x14ac:dyDescent="0.2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4"/>
      <c r="S134" s="4"/>
      <c r="T134" s="4"/>
      <c r="U134" s="4"/>
      <c r="V134" s="4"/>
      <c r="W134" s="4"/>
    </row>
    <row r="135" spans="1:23" ht="12.75" customHeight="1" x14ac:dyDescent="0.2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4"/>
      <c r="S135" s="4"/>
      <c r="T135" s="4"/>
      <c r="U135" s="4"/>
      <c r="V135" s="4"/>
      <c r="W135" s="4"/>
    </row>
    <row r="136" spans="1:23" ht="12.75" customHeight="1" x14ac:dyDescent="0.2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4"/>
      <c r="S136" s="4"/>
      <c r="T136" s="4"/>
      <c r="U136" s="4"/>
      <c r="V136" s="4"/>
      <c r="W136" s="4"/>
    </row>
    <row r="137" spans="1:23" ht="12.75" customHeight="1" x14ac:dyDescent="0.2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4"/>
      <c r="S137" s="4"/>
      <c r="T137" s="4"/>
      <c r="U137" s="4"/>
      <c r="V137" s="4"/>
      <c r="W137" s="4"/>
    </row>
    <row r="138" spans="1:23" ht="12.75" customHeight="1" x14ac:dyDescent="0.2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4"/>
      <c r="S138" s="4"/>
      <c r="T138" s="4"/>
      <c r="U138" s="4"/>
      <c r="V138" s="4"/>
      <c r="W138" s="4"/>
    </row>
    <row r="139" spans="1:23" ht="12.75" customHeight="1" x14ac:dyDescent="0.2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4"/>
      <c r="S139" s="4"/>
      <c r="T139" s="4"/>
      <c r="U139" s="4"/>
      <c r="V139" s="4"/>
      <c r="W139" s="4"/>
    </row>
    <row r="140" spans="1:23" ht="12.75" customHeight="1" x14ac:dyDescent="0.2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4"/>
      <c r="S140" s="4"/>
      <c r="T140" s="4"/>
      <c r="U140" s="4"/>
      <c r="V140" s="4"/>
      <c r="W140" s="4"/>
    </row>
    <row r="141" spans="1:23" ht="12.75" customHeight="1" x14ac:dyDescent="0.2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4"/>
      <c r="S141" s="4"/>
      <c r="T141" s="4"/>
      <c r="U141" s="4"/>
      <c r="V141" s="4"/>
      <c r="W141" s="4"/>
    </row>
    <row r="142" spans="1:23" ht="12.75" customHeight="1" x14ac:dyDescent="0.2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4"/>
      <c r="S142" s="4"/>
      <c r="T142" s="4"/>
      <c r="U142" s="4"/>
      <c r="V142" s="4"/>
      <c r="W142" s="4"/>
    </row>
    <row r="143" spans="1:23" ht="12.75" customHeight="1" x14ac:dyDescent="0.2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4"/>
      <c r="S143" s="4"/>
      <c r="T143" s="4"/>
      <c r="U143" s="4"/>
      <c r="V143" s="4"/>
      <c r="W143" s="4"/>
    </row>
    <row r="144" spans="1:23" ht="12.75" customHeight="1" x14ac:dyDescent="0.2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/>
      <c r="S144" s="4"/>
      <c r="T144" s="4"/>
      <c r="U144" s="4"/>
      <c r="V144" s="4"/>
      <c r="W144" s="4"/>
    </row>
    <row r="145" spans="1:23" ht="12.75" customHeight="1" x14ac:dyDescent="0.2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4"/>
      <c r="S145" s="4"/>
      <c r="T145" s="4"/>
      <c r="U145" s="4"/>
      <c r="V145" s="4"/>
      <c r="W145" s="4"/>
    </row>
    <row r="146" spans="1:23" ht="12.75" customHeight="1" x14ac:dyDescent="0.2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4"/>
      <c r="S146" s="4"/>
      <c r="T146" s="4"/>
      <c r="U146" s="4"/>
      <c r="V146" s="4"/>
      <c r="W146" s="4"/>
    </row>
    <row r="147" spans="1:23" ht="12.75" customHeight="1" x14ac:dyDescent="0.2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4"/>
      <c r="S147" s="4"/>
      <c r="T147" s="4"/>
      <c r="U147" s="4"/>
      <c r="V147" s="4"/>
      <c r="W147" s="4"/>
    </row>
    <row r="148" spans="1:23" ht="12.75" customHeight="1" x14ac:dyDescent="0.2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4"/>
      <c r="S148" s="4"/>
      <c r="T148" s="4"/>
      <c r="U148" s="4"/>
      <c r="V148" s="4"/>
      <c r="W148" s="4"/>
    </row>
    <row r="149" spans="1:23" ht="12.75" customHeight="1" x14ac:dyDescent="0.2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4"/>
      <c r="S149" s="4"/>
      <c r="T149" s="4"/>
      <c r="U149" s="4"/>
      <c r="V149" s="4"/>
      <c r="W149" s="4"/>
    </row>
    <row r="150" spans="1:23" ht="12.75" customHeight="1" x14ac:dyDescent="0.2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4"/>
      <c r="S150" s="4"/>
      <c r="T150" s="4"/>
      <c r="U150" s="4"/>
      <c r="V150" s="4"/>
      <c r="W150" s="4"/>
    </row>
    <row r="151" spans="1:23" ht="12.75" customHeight="1" x14ac:dyDescent="0.2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</row>
    <row r="152" spans="1:23" ht="12.75" customHeight="1" x14ac:dyDescent="0.2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4"/>
      <c r="S152" s="4"/>
      <c r="T152" s="4"/>
      <c r="U152" s="4"/>
      <c r="V152" s="4"/>
      <c r="W152" s="4"/>
    </row>
    <row r="153" spans="1:23" ht="12.75" customHeight="1" x14ac:dyDescent="0.2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4"/>
      <c r="S153" s="4"/>
      <c r="T153" s="4"/>
      <c r="U153" s="4"/>
      <c r="V153" s="4"/>
      <c r="W153" s="4"/>
    </row>
    <row r="154" spans="1:23" ht="12.75" customHeight="1" x14ac:dyDescent="0.2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4"/>
      <c r="S154" s="4"/>
      <c r="T154" s="4"/>
      <c r="U154" s="4"/>
      <c r="V154" s="4"/>
      <c r="W154" s="4"/>
    </row>
    <row r="155" spans="1:23" ht="12.75" customHeight="1" x14ac:dyDescent="0.2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4"/>
      <c r="S155" s="4"/>
      <c r="T155" s="4"/>
      <c r="U155" s="4"/>
      <c r="V155" s="4"/>
      <c r="W155" s="4"/>
    </row>
    <row r="156" spans="1:23" ht="12.75" customHeight="1" x14ac:dyDescent="0.2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4"/>
      <c r="S156" s="4"/>
      <c r="T156" s="4"/>
      <c r="U156" s="4"/>
      <c r="V156" s="4"/>
      <c r="W156" s="4"/>
    </row>
    <row r="157" spans="1:23" ht="12.75" customHeight="1" x14ac:dyDescent="0.2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4"/>
      <c r="S157" s="4"/>
      <c r="T157" s="4"/>
      <c r="U157" s="4"/>
      <c r="V157" s="4"/>
      <c r="W157" s="4"/>
    </row>
    <row r="158" spans="1:23" ht="12.75" customHeight="1" x14ac:dyDescent="0.2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4"/>
      <c r="S158" s="4"/>
      <c r="T158" s="4"/>
      <c r="U158" s="4"/>
      <c r="V158" s="4"/>
      <c r="W158" s="4"/>
    </row>
    <row r="159" spans="1:23" ht="12.75" customHeight="1" x14ac:dyDescent="0.2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4"/>
      <c r="S159" s="4"/>
      <c r="T159" s="4"/>
      <c r="U159" s="4"/>
      <c r="V159" s="4"/>
      <c r="W159" s="4"/>
    </row>
    <row r="160" spans="1:23" ht="12.75" customHeight="1" x14ac:dyDescent="0.2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4"/>
      <c r="S160" s="4"/>
      <c r="T160" s="4"/>
      <c r="U160" s="4"/>
      <c r="V160" s="4"/>
      <c r="W160" s="4"/>
    </row>
    <row r="161" spans="1:23" ht="12.75" customHeight="1" x14ac:dyDescent="0.2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4"/>
      <c r="S161" s="4"/>
      <c r="T161" s="4"/>
      <c r="U161" s="4"/>
      <c r="V161" s="4"/>
      <c r="W161" s="4"/>
    </row>
    <row r="162" spans="1:23" ht="12.75" customHeight="1" x14ac:dyDescent="0.2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4"/>
      <c r="S162" s="4"/>
      <c r="T162" s="4"/>
      <c r="U162" s="4"/>
      <c r="V162" s="4"/>
      <c r="W162" s="4"/>
    </row>
    <row r="163" spans="1:23" ht="12.75" customHeight="1" x14ac:dyDescent="0.2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4"/>
      <c r="S163" s="4"/>
      <c r="T163" s="4"/>
      <c r="U163" s="4"/>
      <c r="V163" s="4"/>
      <c r="W163" s="4"/>
    </row>
    <row r="164" spans="1:23" ht="12.75" customHeight="1" x14ac:dyDescent="0.2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4"/>
      <c r="S164" s="4"/>
      <c r="T164" s="4"/>
      <c r="U164" s="4"/>
      <c r="V164" s="4"/>
      <c r="W164" s="4"/>
    </row>
    <row r="165" spans="1:23" ht="12.75" customHeight="1" x14ac:dyDescent="0.2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4"/>
      <c r="S165" s="4"/>
      <c r="T165" s="4"/>
      <c r="U165" s="4"/>
      <c r="V165" s="4"/>
      <c r="W165" s="4"/>
    </row>
    <row r="166" spans="1:23" ht="12.75" customHeight="1" x14ac:dyDescent="0.2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4"/>
      <c r="S166" s="4"/>
      <c r="T166" s="4"/>
      <c r="U166" s="4"/>
      <c r="V166" s="4"/>
      <c r="W166" s="4"/>
    </row>
    <row r="167" spans="1:23" ht="12.75" customHeight="1" x14ac:dyDescent="0.2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4"/>
      <c r="S167" s="4"/>
      <c r="T167" s="4"/>
      <c r="U167" s="4"/>
      <c r="V167" s="4"/>
      <c r="W167" s="4"/>
    </row>
    <row r="168" spans="1:23" ht="12.75" customHeight="1" x14ac:dyDescent="0.2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4"/>
      <c r="S168" s="4"/>
      <c r="T168" s="4"/>
      <c r="U168" s="4"/>
      <c r="V168" s="4"/>
      <c r="W168" s="4"/>
    </row>
    <row r="169" spans="1:23" ht="12.75" customHeight="1" x14ac:dyDescent="0.2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4"/>
      <c r="S169" s="4"/>
      <c r="T169" s="4"/>
      <c r="U169" s="4"/>
      <c r="V169" s="4"/>
      <c r="W169" s="4"/>
    </row>
    <row r="170" spans="1:23" ht="12.75" customHeight="1" x14ac:dyDescent="0.2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4"/>
      <c r="S170" s="4"/>
      <c r="T170" s="4"/>
      <c r="U170" s="4"/>
      <c r="V170" s="4"/>
      <c r="W170" s="4"/>
    </row>
    <row r="171" spans="1:23" ht="12.75" customHeight="1" x14ac:dyDescent="0.2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4"/>
      <c r="S171" s="4"/>
      <c r="T171" s="4"/>
      <c r="U171" s="4"/>
      <c r="V171" s="4"/>
      <c r="W171" s="4"/>
    </row>
    <row r="172" spans="1:23" ht="12.75" customHeight="1" x14ac:dyDescent="0.2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4"/>
      <c r="S172" s="4"/>
      <c r="T172" s="4"/>
      <c r="U172" s="4"/>
      <c r="V172" s="4"/>
      <c r="W172" s="4"/>
    </row>
    <row r="173" spans="1:23" ht="12.75" customHeight="1" x14ac:dyDescent="0.2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4"/>
      <c r="S173" s="4"/>
      <c r="T173" s="4"/>
      <c r="U173" s="4"/>
      <c r="V173" s="4"/>
      <c r="W173" s="4"/>
    </row>
    <row r="174" spans="1:23" ht="12.75" customHeight="1" x14ac:dyDescent="0.2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4"/>
      <c r="S174" s="4"/>
      <c r="T174" s="4"/>
      <c r="U174" s="4"/>
      <c r="V174" s="4"/>
      <c r="W174" s="4"/>
    </row>
    <row r="175" spans="1:23" ht="12.75" customHeight="1" x14ac:dyDescent="0.2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4"/>
      <c r="S175" s="4"/>
      <c r="T175" s="4"/>
      <c r="U175" s="4"/>
      <c r="V175" s="4"/>
      <c r="W175" s="4"/>
    </row>
    <row r="176" spans="1:23" ht="12.75" customHeight="1" x14ac:dyDescent="0.2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4"/>
      <c r="S176" s="4"/>
      <c r="T176" s="4"/>
      <c r="U176" s="4"/>
      <c r="V176" s="4"/>
      <c r="W176" s="4"/>
    </row>
    <row r="177" spans="1:23" ht="12.75" customHeight="1" x14ac:dyDescent="0.2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4"/>
      <c r="S177" s="4"/>
      <c r="T177" s="4"/>
      <c r="U177" s="4"/>
      <c r="V177" s="4"/>
      <c r="W177" s="4"/>
    </row>
    <row r="178" spans="1:23" ht="12.75" customHeight="1" x14ac:dyDescent="0.2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4"/>
      <c r="S178" s="4"/>
      <c r="T178" s="4"/>
      <c r="U178" s="4"/>
      <c r="V178" s="4"/>
      <c r="W178" s="4"/>
    </row>
    <row r="179" spans="1:23" ht="12.75" customHeight="1" x14ac:dyDescent="0.2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4"/>
      <c r="S179" s="4"/>
      <c r="T179" s="4"/>
      <c r="U179" s="4"/>
      <c r="V179" s="4"/>
      <c r="W179" s="4"/>
    </row>
    <row r="180" spans="1:23" ht="12.75" customHeight="1" x14ac:dyDescent="0.2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4"/>
      <c r="S180" s="4"/>
      <c r="T180" s="4"/>
      <c r="U180" s="4"/>
      <c r="V180" s="4"/>
      <c r="W180" s="4"/>
    </row>
    <row r="181" spans="1:23" ht="12.75" customHeight="1" x14ac:dyDescent="0.2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4"/>
      <c r="S181" s="4"/>
      <c r="T181" s="4"/>
      <c r="U181" s="4"/>
      <c r="V181" s="4"/>
      <c r="W181" s="4"/>
    </row>
    <row r="182" spans="1:23" ht="12.75" customHeight="1" x14ac:dyDescent="0.2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4"/>
      <c r="S182" s="4"/>
      <c r="T182" s="4"/>
      <c r="U182" s="4"/>
      <c r="V182" s="4"/>
      <c r="W182" s="4"/>
    </row>
    <row r="183" spans="1:23" ht="12.75" customHeight="1" x14ac:dyDescent="0.2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4"/>
      <c r="S183" s="4"/>
      <c r="T183" s="4"/>
      <c r="U183" s="4"/>
      <c r="V183" s="4"/>
      <c r="W183" s="4"/>
    </row>
    <row r="184" spans="1:23" ht="12.75" customHeight="1" x14ac:dyDescent="0.2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4"/>
      <c r="S184" s="4"/>
      <c r="T184" s="4"/>
      <c r="U184" s="4"/>
      <c r="V184" s="4"/>
      <c r="W184" s="4"/>
    </row>
    <row r="185" spans="1:23" ht="12.75" customHeight="1" x14ac:dyDescent="0.2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4"/>
      <c r="S185" s="4"/>
      <c r="T185" s="4"/>
      <c r="U185" s="4"/>
      <c r="V185" s="4"/>
      <c r="W185" s="4"/>
    </row>
    <row r="186" spans="1:23" ht="12.75" customHeight="1" x14ac:dyDescent="0.2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4"/>
      <c r="S186" s="4"/>
      <c r="T186" s="4"/>
      <c r="U186" s="4"/>
      <c r="V186" s="4"/>
      <c r="W186" s="4"/>
    </row>
    <row r="187" spans="1:23" ht="12.75" customHeight="1" x14ac:dyDescent="0.2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4"/>
      <c r="S187" s="4"/>
      <c r="T187" s="4"/>
      <c r="U187" s="4"/>
      <c r="V187" s="4"/>
      <c r="W187" s="4"/>
    </row>
    <row r="188" spans="1:23" ht="12.75" customHeight="1" x14ac:dyDescent="0.2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4"/>
      <c r="S188" s="4"/>
      <c r="T188" s="4"/>
      <c r="U188" s="4"/>
      <c r="V188" s="4"/>
      <c r="W188" s="4"/>
    </row>
    <row r="189" spans="1:23" ht="12.75" customHeight="1" x14ac:dyDescent="0.2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4"/>
      <c r="S189" s="4"/>
      <c r="T189" s="4"/>
      <c r="U189" s="4"/>
      <c r="V189" s="4"/>
      <c r="W189" s="4"/>
    </row>
    <row r="190" spans="1:23" ht="12.75" customHeight="1" x14ac:dyDescent="0.2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4"/>
      <c r="S190" s="4"/>
      <c r="T190" s="4"/>
      <c r="U190" s="4"/>
      <c r="V190" s="4"/>
      <c r="W190" s="4"/>
    </row>
    <row r="191" spans="1:23" ht="12.75" customHeight="1" x14ac:dyDescent="0.2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4"/>
      <c r="S191" s="4"/>
      <c r="T191" s="4"/>
      <c r="U191" s="4"/>
      <c r="V191" s="4"/>
      <c r="W191" s="4"/>
    </row>
    <row r="192" spans="1:23" ht="12.75" customHeight="1" x14ac:dyDescent="0.2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4"/>
      <c r="S192" s="4"/>
      <c r="T192" s="4"/>
      <c r="U192" s="4"/>
      <c r="V192" s="4"/>
      <c r="W192" s="4"/>
    </row>
    <row r="193" spans="1:23" ht="12.75" customHeight="1" x14ac:dyDescent="0.2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4"/>
      <c r="S193" s="4"/>
      <c r="T193" s="4"/>
      <c r="U193" s="4"/>
      <c r="V193" s="4"/>
      <c r="W193" s="4"/>
    </row>
    <row r="194" spans="1:23" ht="12.75" customHeight="1" x14ac:dyDescent="0.2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4"/>
      <c r="S194" s="4"/>
      <c r="T194" s="4"/>
      <c r="U194" s="4"/>
      <c r="V194" s="4"/>
      <c r="W194" s="4"/>
    </row>
    <row r="195" spans="1:23" ht="12.75" customHeight="1" x14ac:dyDescent="0.2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4"/>
      <c r="S195" s="4"/>
      <c r="T195" s="4"/>
      <c r="U195" s="4"/>
      <c r="V195" s="4"/>
      <c r="W195" s="4"/>
    </row>
    <row r="196" spans="1:23" ht="12.75" customHeight="1" x14ac:dyDescent="0.2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4"/>
      <c r="S196" s="4"/>
      <c r="T196" s="4"/>
      <c r="U196" s="4"/>
      <c r="V196" s="4"/>
      <c r="W196" s="4"/>
    </row>
    <row r="197" spans="1:23" ht="12.75" customHeight="1" x14ac:dyDescent="0.2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4"/>
      <c r="S197" s="4"/>
      <c r="T197" s="4"/>
      <c r="U197" s="4"/>
      <c r="V197" s="4"/>
      <c r="W197" s="4"/>
    </row>
    <row r="198" spans="1:23" ht="12.75" customHeight="1" x14ac:dyDescent="0.2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4"/>
      <c r="S198" s="4"/>
      <c r="T198" s="4"/>
      <c r="U198" s="4"/>
      <c r="V198" s="4"/>
      <c r="W198" s="4"/>
    </row>
    <row r="199" spans="1:23" ht="12.75" customHeight="1" x14ac:dyDescent="0.2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4"/>
      <c r="S199" s="4"/>
      <c r="T199" s="4"/>
      <c r="U199" s="4"/>
      <c r="V199" s="4"/>
      <c r="W199" s="4"/>
    </row>
    <row r="200" spans="1:23" ht="12.75" customHeight="1" x14ac:dyDescent="0.2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4"/>
      <c r="S200" s="4"/>
      <c r="T200" s="4"/>
      <c r="U200" s="4"/>
      <c r="V200" s="4"/>
      <c r="W200" s="4"/>
    </row>
    <row r="201" spans="1:23" ht="12.75" customHeight="1" x14ac:dyDescent="0.2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4"/>
      <c r="S201" s="4"/>
      <c r="T201" s="4"/>
      <c r="U201" s="4"/>
      <c r="V201" s="4"/>
      <c r="W201" s="4"/>
    </row>
    <row r="202" spans="1:23" ht="12.75" customHeight="1" x14ac:dyDescent="0.2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4"/>
      <c r="S202" s="4"/>
      <c r="T202" s="4"/>
      <c r="U202" s="4"/>
      <c r="V202" s="4"/>
      <c r="W202" s="4"/>
    </row>
    <row r="203" spans="1:23" ht="12.75" customHeight="1" x14ac:dyDescent="0.2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4"/>
      <c r="S203" s="4"/>
      <c r="T203" s="4"/>
      <c r="U203" s="4"/>
      <c r="V203" s="4"/>
      <c r="W203" s="4"/>
    </row>
    <row r="204" spans="1:23" ht="12.75" customHeight="1" x14ac:dyDescent="0.2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4"/>
      <c r="S204" s="4"/>
      <c r="T204" s="4"/>
      <c r="U204" s="4"/>
      <c r="V204" s="4"/>
      <c r="W204" s="4"/>
    </row>
    <row r="205" spans="1:23" ht="12.75" customHeight="1" x14ac:dyDescent="0.2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4"/>
      <c r="S205" s="4"/>
      <c r="T205" s="4"/>
      <c r="U205" s="4"/>
      <c r="V205" s="4"/>
      <c r="W205" s="4"/>
    </row>
    <row r="206" spans="1:23" ht="12.75" customHeight="1" x14ac:dyDescent="0.2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4"/>
      <c r="S206" s="4"/>
      <c r="T206" s="4"/>
      <c r="U206" s="4"/>
      <c r="V206" s="4"/>
      <c r="W206" s="4"/>
    </row>
    <row r="207" spans="1:23" ht="12.75" customHeight="1" x14ac:dyDescent="0.2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4"/>
      <c r="S207" s="4"/>
      <c r="T207" s="4"/>
      <c r="U207" s="4"/>
      <c r="V207" s="4"/>
      <c r="W207" s="4"/>
    </row>
    <row r="208" spans="1:23" ht="12.75" customHeight="1" x14ac:dyDescent="0.2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4"/>
      <c r="S208" s="4"/>
      <c r="T208" s="4"/>
      <c r="U208" s="4"/>
      <c r="V208" s="4"/>
      <c r="W208" s="4"/>
    </row>
    <row r="209" spans="1:23" ht="12.75" customHeight="1" x14ac:dyDescent="0.2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4"/>
      <c r="S209" s="4"/>
      <c r="T209" s="4"/>
      <c r="U209" s="4"/>
      <c r="V209" s="4"/>
      <c r="W209" s="4"/>
    </row>
    <row r="210" spans="1:23" ht="12.75" customHeight="1" x14ac:dyDescent="0.2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4"/>
      <c r="S210" s="4"/>
      <c r="T210" s="4"/>
      <c r="U210" s="4"/>
      <c r="V210" s="4"/>
      <c r="W210" s="4"/>
    </row>
    <row r="211" spans="1:23" ht="12.75" customHeight="1" x14ac:dyDescent="0.2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4"/>
      <c r="S211" s="4"/>
      <c r="T211" s="4"/>
      <c r="U211" s="4"/>
      <c r="V211" s="4"/>
      <c r="W211" s="4"/>
    </row>
    <row r="212" spans="1:23" ht="12.75" customHeight="1" x14ac:dyDescent="0.2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</row>
    <row r="213" spans="1:23" ht="12.75" customHeight="1" x14ac:dyDescent="0.2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4"/>
      <c r="S213" s="4"/>
      <c r="T213" s="4"/>
      <c r="U213" s="4"/>
      <c r="V213" s="4"/>
      <c r="W213" s="4"/>
    </row>
    <row r="214" spans="1:23" ht="12.75" customHeight="1" x14ac:dyDescent="0.2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4"/>
      <c r="S214" s="4"/>
      <c r="T214" s="4"/>
      <c r="U214" s="4"/>
      <c r="V214" s="4"/>
      <c r="W214" s="4"/>
    </row>
    <row r="215" spans="1:23" ht="12.75" customHeight="1" x14ac:dyDescent="0.2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4"/>
      <c r="S215" s="4"/>
      <c r="T215" s="4"/>
      <c r="U215" s="4"/>
      <c r="V215" s="4"/>
      <c r="W215" s="4"/>
    </row>
    <row r="216" spans="1:23" ht="12.75" customHeight="1" x14ac:dyDescent="0.2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4"/>
      <c r="S216" s="4"/>
      <c r="T216" s="4"/>
      <c r="U216" s="4"/>
      <c r="V216" s="4"/>
      <c r="W216" s="4"/>
    </row>
    <row r="217" spans="1:23" ht="12.75" customHeight="1" x14ac:dyDescent="0.2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4"/>
      <c r="S217" s="4"/>
      <c r="T217" s="4"/>
      <c r="U217" s="4"/>
      <c r="V217" s="4"/>
      <c r="W217" s="4"/>
    </row>
    <row r="218" spans="1:23" ht="12.75" customHeight="1" x14ac:dyDescent="0.2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4"/>
      <c r="S218" s="4"/>
      <c r="T218" s="4"/>
      <c r="U218" s="4"/>
      <c r="V218" s="4"/>
      <c r="W218" s="4"/>
    </row>
    <row r="219" spans="1:23" ht="12.75" customHeight="1" x14ac:dyDescent="0.2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4"/>
      <c r="S219" s="4"/>
      <c r="T219" s="4"/>
      <c r="U219" s="4"/>
      <c r="V219" s="4"/>
      <c r="W219" s="4"/>
    </row>
    <row r="220" spans="1:23" ht="12.75" customHeight="1" x14ac:dyDescent="0.2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4"/>
      <c r="S220" s="4"/>
      <c r="T220" s="4"/>
      <c r="U220" s="4"/>
      <c r="V220" s="4"/>
      <c r="W220" s="4"/>
    </row>
    <row r="221" spans="1:23" ht="12.75" customHeight="1" x14ac:dyDescent="0.2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4"/>
      <c r="S221" s="4"/>
      <c r="T221" s="4"/>
      <c r="U221" s="4"/>
      <c r="V221" s="4"/>
      <c r="W221" s="4"/>
    </row>
    <row r="222" spans="1:23" ht="12.75" customHeight="1" x14ac:dyDescent="0.2">
      <c r="A222" s="4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4"/>
      <c r="S222" s="4"/>
      <c r="T222" s="4"/>
      <c r="U222" s="4"/>
      <c r="V222" s="4"/>
      <c r="W222" s="4"/>
    </row>
    <row r="223" spans="1:23" ht="12.75" customHeight="1" x14ac:dyDescent="0.2">
      <c r="A223" s="4"/>
      <c r="B223" s="4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4"/>
      <c r="S223" s="4"/>
      <c r="T223" s="4"/>
      <c r="U223" s="4"/>
      <c r="V223" s="4"/>
      <c r="W223" s="4"/>
    </row>
    <row r="224" spans="1:23" ht="12.75" customHeight="1" x14ac:dyDescent="0.2">
      <c r="A224" s="4"/>
      <c r="B224" s="4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4"/>
      <c r="S224" s="4"/>
      <c r="T224" s="4"/>
      <c r="U224" s="4"/>
      <c r="V224" s="4"/>
      <c r="W224" s="4"/>
    </row>
    <row r="225" spans="1:23" ht="12.75" customHeight="1" x14ac:dyDescent="0.2">
      <c r="A225" s="4"/>
      <c r="B225" s="4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4"/>
      <c r="S225" s="4"/>
      <c r="T225" s="4"/>
      <c r="U225" s="4"/>
      <c r="V225" s="4"/>
      <c r="W225" s="4"/>
    </row>
    <row r="226" spans="1:23" ht="12.75" customHeight="1" x14ac:dyDescent="0.2">
      <c r="A226" s="4"/>
      <c r="B226" s="4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4"/>
      <c r="S226" s="4"/>
      <c r="T226" s="4"/>
      <c r="U226" s="4"/>
      <c r="V226" s="4"/>
      <c r="W226" s="4"/>
    </row>
    <row r="227" spans="1:23" ht="12.75" customHeight="1" x14ac:dyDescent="0.2">
      <c r="A227" s="4"/>
      <c r="B227" s="4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4"/>
      <c r="S227" s="4"/>
      <c r="T227" s="4"/>
      <c r="U227" s="4"/>
      <c r="V227" s="4"/>
      <c r="W227" s="4"/>
    </row>
    <row r="228" spans="1:23" ht="12.75" customHeight="1" x14ac:dyDescent="0.2">
      <c r="A228" s="4"/>
      <c r="B228" s="4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4"/>
      <c r="S228" s="4"/>
      <c r="T228" s="4"/>
      <c r="U228" s="4"/>
      <c r="V228" s="4"/>
      <c r="W228" s="4"/>
    </row>
    <row r="229" spans="1:23" ht="12.75" customHeight="1" x14ac:dyDescent="0.2">
      <c r="A229" s="4"/>
      <c r="B229" s="4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4"/>
      <c r="S229" s="4"/>
      <c r="T229" s="4"/>
      <c r="U229" s="4"/>
      <c r="V229" s="4"/>
      <c r="W229" s="4"/>
    </row>
    <row r="230" spans="1:23" ht="12.75" customHeight="1" x14ac:dyDescent="0.2">
      <c r="A230" s="4"/>
      <c r="B230" s="4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4"/>
      <c r="S230" s="4"/>
      <c r="T230" s="4"/>
      <c r="U230" s="4"/>
      <c r="V230" s="4"/>
      <c r="W230" s="4"/>
    </row>
    <row r="231" spans="1:23" ht="12.75" customHeight="1" x14ac:dyDescent="0.2">
      <c r="A231" s="4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4"/>
      <c r="S231" s="4"/>
      <c r="T231" s="4"/>
      <c r="U231" s="4"/>
      <c r="V231" s="4"/>
      <c r="W231" s="4"/>
    </row>
    <row r="232" spans="1:23" ht="12.75" customHeight="1" x14ac:dyDescent="0.2">
      <c r="A232" s="4"/>
      <c r="B232" s="4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4"/>
      <c r="S232" s="4"/>
      <c r="T232" s="4"/>
      <c r="U232" s="4"/>
      <c r="V232" s="4"/>
      <c r="W232" s="4"/>
    </row>
    <row r="233" spans="1:23" ht="12.75" customHeight="1" x14ac:dyDescent="0.2">
      <c r="A233" s="4"/>
      <c r="B233" s="4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4"/>
      <c r="S233" s="4"/>
      <c r="T233" s="4"/>
      <c r="U233" s="4"/>
      <c r="V233" s="4"/>
      <c r="W233" s="4"/>
    </row>
    <row r="234" spans="1:23" ht="12.75" customHeight="1" x14ac:dyDescent="0.2">
      <c r="A234" s="4"/>
      <c r="B234" s="4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4"/>
      <c r="S234" s="4"/>
      <c r="T234" s="4"/>
      <c r="U234" s="4"/>
      <c r="V234" s="4"/>
      <c r="W234" s="4"/>
    </row>
    <row r="235" spans="1:23" ht="12.75" customHeight="1" x14ac:dyDescent="0.2">
      <c r="A235" s="4"/>
      <c r="B235" s="4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4"/>
      <c r="S235" s="4"/>
      <c r="T235" s="4"/>
      <c r="U235" s="4"/>
      <c r="V235" s="4"/>
      <c r="W235" s="4"/>
    </row>
    <row r="236" spans="1:23" ht="12.75" customHeight="1" x14ac:dyDescent="0.2">
      <c r="A236" s="4"/>
      <c r="B236" s="4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4"/>
      <c r="S236" s="4"/>
      <c r="T236" s="4"/>
      <c r="U236" s="4"/>
      <c r="V236" s="4"/>
      <c r="W236" s="4"/>
    </row>
    <row r="237" spans="1:23" ht="12.75" customHeight="1" x14ac:dyDescent="0.2">
      <c r="A237" s="4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4"/>
      <c r="S237" s="4"/>
      <c r="T237" s="4"/>
      <c r="U237" s="4"/>
      <c r="V237" s="4"/>
      <c r="W237" s="4"/>
    </row>
    <row r="238" spans="1:23" ht="12.75" customHeight="1" x14ac:dyDescent="0.2">
      <c r="A238" s="4"/>
      <c r="B238" s="4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4"/>
      <c r="S238" s="4"/>
      <c r="T238" s="4"/>
      <c r="U238" s="4"/>
      <c r="V238" s="4"/>
      <c r="W238" s="4"/>
    </row>
    <row r="239" spans="1:23" ht="12.75" customHeight="1" x14ac:dyDescent="0.2">
      <c r="A239" s="4"/>
      <c r="B239" s="4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4"/>
      <c r="S239" s="4"/>
      <c r="T239" s="4"/>
      <c r="U239" s="4"/>
      <c r="V239" s="4"/>
      <c r="W239" s="4"/>
    </row>
    <row r="240" spans="1:23" ht="12.75" customHeight="1" x14ac:dyDescent="0.2">
      <c r="A240" s="4"/>
      <c r="B240" s="4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4"/>
      <c r="S240" s="4"/>
      <c r="T240" s="4"/>
      <c r="U240" s="4"/>
      <c r="V240" s="4"/>
      <c r="W240" s="4"/>
    </row>
    <row r="241" spans="1:23" ht="12.75" customHeight="1" x14ac:dyDescent="0.2">
      <c r="A241" s="4"/>
      <c r="B241" s="4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4"/>
      <c r="S241" s="4"/>
      <c r="T241" s="4"/>
      <c r="U241" s="4"/>
      <c r="V241" s="4"/>
      <c r="W241" s="4"/>
    </row>
    <row r="242" spans="1:23" ht="12.75" customHeight="1" x14ac:dyDescent="0.2">
      <c r="A242" s="4"/>
      <c r="B242" s="4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4"/>
      <c r="S242" s="4"/>
      <c r="T242" s="4"/>
      <c r="U242" s="4"/>
      <c r="V242" s="4"/>
      <c r="W242" s="4"/>
    </row>
    <row r="243" spans="1:23" ht="12.75" customHeight="1" x14ac:dyDescent="0.2">
      <c r="A243" s="4"/>
      <c r="B243" s="4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4"/>
      <c r="S243" s="4"/>
      <c r="T243" s="4"/>
      <c r="U243" s="4"/>
      <c r="V243" s="4"/>
      <c r="W243" s="4"/>
    </row>
    <row r="244" spans="1:23" ht="12.75" customHeight="1" x14ac:dyDescent="0.2">
      <c r="A244" s="4"/>
      <c r="B244" s="4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4"/>
      <c r="S244" s="4"/>
      <c r="T244" s="4"/>
      <c r="U244" s="4"/>
      <c r="V244" s="4"/>
      <c r="W244" s="4"/>
    </row>
    <row r="245" spans="1:23" ht="12.75" customHeight="1" x14ac:dyDescent="0.2">
      <c r="A245" s="4"/>
      <c r="B245" s="4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4"/>
      <c r="S245" s="4"/>
      <c r="T245" s="4"/>
      <c r="U245" s="4"/>
      <c r="V245" s="4"/>
      <c r="W245" s="4"/>
    </row>
    <row r="246" spans="1:23" ht="12.75" customHeight="1" x14ac:dyDescent="0.2">
      <c r="A246" s="4"/>
      <c r="B246" s="4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4"/>
      <c r="S246" s="4"/>
      <c r="T246" s="4"/>
      <c r="U246" s="4"/>
      <c r="V246" s="4"/>
      <c r="W246" s="4"/>
    </row>
    <row r="247" spans="1:23" ht="12.75" customHeight="1" x14ac:dyDescent="0.2">
      <c r="A247" s="4"/>
      <c r="B247" s="4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4"/>
      <c r="S247" s="4"/>
      <c r="T247" s="4"/>
      <c r="U247" s="4"/>
      <c r="V247" s="4"/>
      <c r="W247" s="4"/>
    </row>
    <row r="248" spans="1:23" ht="12.75" customHeight="1" x14ac:dyDescent="0.2">
      <c r="A248" s="4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4"/>
      <c r="S248" s="4"/>
      <c r="T248" s="4"/>
      <c r="U248" s="4"/>
      <c r="V248" s="4"/>
      <c r="W248" s="4"/>
    </row>
    <row r="249" spans="1:23" ht="12.75" customHeight="1" x14ac:dyDescent="0.2">
      <c r="A249" s="4"/>
      <c r="B249" s="4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4"/>
      <c r="S249" s="4"/>
      <c r="T249" s="4"/>
      <c r="U249" s="4"/>
      <c r="V249" s="4"/>
      <c r="W249" s="4"/>
    </row>
    <row r="250" spans="1:23" ht="12.75" customHeight="1" x14ac:dyDescent="0.2">
      <c r="A250" s="4"/>
      <c r="B250" s="4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4"/>
      <c r="S250" s="4"/>
      <c r="T250" s="4"/>
      <c r="U250" s="4"/>
      <c r="V250" s="4"/>
      <c r="W250" s="4"/>
    </row>
    <row r="251" spans="1:23" ht="12.75" customHeight="1" x14ac:dyDescent="0.2">
      <c r="A251" s="4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4"/>
      <c r="S251" s="4"/>
      <c r="T251" s="4"/>
      <c r="U251" s="4"/>
      <c r="V251" s="4"/>
      <c r="W251" s="4"/>
    </row>
    <row r="252" spans="1:23" ht="12.75" customHeight="1" x14ac:dyDescent="0.2">
      <c r="A252" s="4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4"/>
      <c r="S252" s="4"/>
      <c r="T252" s="4"/>
      <c r="U252" s="4"/>
      <c r="V252" s="4"/>
      <c r="W252" s="4"/>
    </row>
    <row r="253" spans="1:23" ht="12.75" customHeight="1" x14ac:dyDescent="0.2">
      <c r="A253" s="4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4"/>
      <c r="S253" s="4"/>
      <c r="T253" s="4"/>
      <c r="U253" s="4"/>
      <c r="V253" s="4"/>
      <c r="W253" s="4"/>
    </row>
    <row r="254" spans="1:23" ht="12.75" customHeight="1" x14ac:dyDescent="0.2">
      <c r="A254" s="4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4"/>
      <c r="S254" s="4"/>
      <c r="T254" s="4"/>
      <c r="U254" s="4"/>
      <c r="V254" s="4"/>
      <c r="W254" s="4"/>
    </row>
    <row r="255" spans="1:23" ht="12.75" customHeight="1" x14ac:dyDescent="0.2">
      <c r="A255" s="4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4"/>
      <c r="S255" s="4"/>
      <c r="T255" s="4"/>
      <c r="U255" s="4"/>
      <c r="V255" s="4"/>
      <c r="W255" s="4"/>
    </row>
    <row r="256" spans="1:23" ht="12.75" customHeight="1" x14ac:dyDescent="0.2">
      <c r="A256" s="4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4"/>
      <c r="S256" s="4"/>
      <c r="T256" s="4"/>
      <c r="U256" s="4"/>
      <c r="V256" s="4"/>
      <c r="W256" s="4"/>
    </row>
    <row r="257" spans="1:23" ht="12.75" customHeight="1" x14ac:dyDescent="0.2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4"/>
      <c r="S257" s="4"/>
      <c r="T257" s="4"/>
      <c r="U257" s="4"/>
      <c r="V257" s="4"/>
      <c r="W257" s="4"/>
    </row>
    <row r="258" spans="1:23" ht="12.75" customHeight="1" x14ac:dyDescent="0.2">
      <c r="A258" s="4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4"/>
      <c r="S258" s="4"/>
      <c r="T258" s="4"/>
      <c r="U258" s="4"/>
      <c r="V258" s="4"/>
      <c r="W258" s="4"/>
    </row>
    <row r="259" spans="1:23" ht="12.75" customHeight="1" x14ac:dyDescent="0.2">
      <c r="A259" s="4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4"/>
      <c r="S259" s="4"/>
      <c r="T259" s="4"/>
      <c r="U259" s="4"/>
      <c r="V259" s="4"/>
      <c r="W259" s="4"/>
    </row>
    <row r="260" spans="1:23" ht="12.75" customHeight="1" x14ac:dyDescent="0.2">
      <c r="A260" s="4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4"/>
      <c r="S260" s="4"/>
      <c r="T260" s="4"/>
      <c r="U260" s="4"/>
      <c r="V260" s="4"/>
      <c r="W260" s="4"/>
    </row>
    <row r="261" spans="1:23" ht="12.75" customHeight="1" x14ac:dyDescent="0.2">
      <c r="A261" s="4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4"/>
      <c r="S261" s="4"/>
      <c r="T261" s="4"/>
      <c r="U261" s="4"/>
      <c r="V261" s="4"/>
      <c r="W261" s="4"/>
    </row>
    <row r="262" spans="1:23" ht="12.75" customHeight="1" x14ac:dyDescent="0.2">
      <c r="A262" s="4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4"/>
      <c r="S262" s="4"/>
      <c r="T262" s="4"/>
      <c r="U262" s="4"/>
      <c r="V262" s="4"/>
      <c r="W262" s="4"/>
    </row>
    <row r="263" spans="1:23" ht="12.75" customHeight="1" x14ac:dyDescent="0.2">
      <c r="A263" s="4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4"/>
      <c r="S263" s="4"/>
      <c r="T263" s="4"/>
      <c r="U263" s="4"/>
      <c r="V263" s="4"/>
      <c r="W263" s="4"/>
    </row>
    <row r="264" spans="1:23" ht="12.75" customHeight="1" x14ac:dyDescent="0.2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4"/>
      <c r="S264" s="4"/>
      <c r="T264" s="4"/>
      <c r="U264" s="4"/>
      <c r="V264" s="4"/>
      <c r="W264" s="4"/>
    </row>
    <row r="265" spans="1:23" ht="12.75" customHeight="1" x14ac:dyDescent="0.2">
      <c r="A265" s="4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4"/>
      <c r="S265" s="4"/>
      <c r="T265" s="4"/>
      <c r="U265" s="4"/>
      <c r="V265" s="4"/>
      <c r="W265" s="4"/>
    </row>
    <row r="266" spans="1:23" ht="12.75" customHeight="1" x14ac:dyDescent="0.2">
      <c r="A266" s="4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4"/>
      <c r="S266" s="4"/>
      <c r="T266" s="4"/>
      <c r="U266" s="4"/>
      <c r="V266" s="4"/>
      <c r="W266" s="4"/>
    </row>
    <row r="267" spans="1:23" ht="12.75" customHeight="1" x14ac:dyDescent="0.2">
      <c r="A267" s="4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4"/>
      <c r="S267" s="4"/>
      <c r="T267" s="4"/>
      <c r="U267" s="4"/>
      <c r="V267" s="4"/>
      <c r="W267" s="4"/>
    </row>
    <row r="268" spans="1:23" ht="12.75" customHeight="1" x14ac:dyDescent="0.2">
      <c r="A268" s="4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4"/>
      <c r="S268" s="4"/>
      <c r="T268" s="4"/>
      <c r="U268" s="4"/>
      <c r="V268" s="4"/>
      <c r="W268" s="4"/>
    </row>
    <row r="269" spans="1:23" ht="12.75" customHeight="1" x14ac:dyDescent="0.2">
      <c r="A269" s="4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4"/>
      <c r="S269" s="4"/>
      <c r="T269" s="4"/>
      <c r="U269" s="4"/>
      <c r="V269" s="4"/>
      <c r="W269" s="4"/>
    </row>
    <row r="270" spans="1:23" ht="12.75" customHeight="1" x14ac:dyDescent="0.2">
      <c r="A270" s="4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4"/>
      <c r="S270" s="4"/>
      <c r="T270" s="4"/>
      <c r="U270" s="4"/>
      <c r="V270" s="4"/>
      <c r="W270" s="4"/>
    </row>
    <row r="271" spans="1:23" ht="12.75" customHeight="1" x14ac:dyDescent="0.2">
      <c r="A271" s="4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4"/>
      <c r="S271" s="4"/>
      <c r="T271" s="4"/>
      <c r="U271" s="4"/>
      <c r="V271" s="4"/>
      <c r="W271" s="4"/>
    </row>
    <row r="272" spans="1:23" ht="12.75" customHeight="1" x14ac:dyDescent="0.2">
      <c r="A272" s="4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4"/>
      <c r="S272" s="4"/>
      <c r="T272" s="4"/>
      <c r="U272" s="4"/>
      <c r="V272" s="4"/>
      <c r="W272" s="4"/>
    </row>
    <row r="273" spans="1:23" ht="12.75" customHeight="1" x14ac:dyDescent="0.2">
      <c r="A273" s="4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4"/>
      <c r="S273" s="4"/>
      <c r="T273" s="4"/>
      <c r="U273" s="4"/>
      <c r="V273" s="4"/>
      <c r="W273" s="4"/>
    </row>
    <row r="274" spans="1:23" ht="12.75" customHeight="1" x14ac:dyDescent="0.2">
      <c r="A274" s="4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4"/>
      <c r="S274" s="4"/>
      <c r="T274" s="4"/>
      <c r="U274" s="4"/>
      <c r="V274" s="4"/>
      <c r="W274" s="4"/>
    </row>
    <row r="275" spans="1:23" ht="12.75" customHeight="1" x14ac:dyDescent="0.2">
      <c r="A275" s="4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4"/>
      <c r="S275" s="4"/>
      <c r="T275" s="4"/>
      <c r="U275" s="4"/>
      <c r="V275" s="4"/>
      <c r="W275" s="4"/>
    </row>
    <row r="276" spans="1:23" ht="12.75" customHeight="1" x14ac:dyDescent="0.2">
      <c r="A276" s="4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4"/>
      <c r="S276" s="4"/>
      <c r="T276" s="4"/>
      <c r="U276" s="4"/>
      <c r="V276" s="4"/>
      <c r="W276" s="4"/>
    </row>
    <row r="277" spans="1:23" ht="12.75" customHeight="1" x14ac:dyDescent="0.2">
      <c r="A277" s="4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4"/>
      <c r="S277" s="4"/>
      <c r="T277" s="4"/>
      <c r="U277" s="4"/>
      <c r="V277" s="4"/>
      <c r="W277" s="4"/>
    </row>
    <row r="278" spans="1:23" ht="12.75" customHeight="1" x14ac:dyDescent="0.2">
      <c r="A278" s="4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4"/>
      <c r="S278" s="4"/>
      <c r="T278" s="4"/>
      <c r="U278" s="4"/>
      <c r="V278" s="4"/>
      <c r="W278" s="4"/>
    </row>
    <row r="279" spans="1:23" ht="12.75" customHeight="1" x14ac:dyDescent="0.2">
      <c r="A279" s="4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4"/>
      <c r="S279" s="4"/>
      <c r="T279" s="4"/>
      <c r="U279" s="4"/>
      <c r="V279" s="4"/>
      <c r="W279" s="4"/>
    </row>
    <row r="280" spans="1:23" ht="12.75" customHeight="1" x14ac:dyDescent="0.2">
      <c r="A280" s="4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4"/>
      <c r="S280" s="4"/>
      <c r="T280" s="4"/>
      <c r="U280" s="4"/>
      <c r="V280" s="4"/>
      <c r="W280" s="4"/>
    </row>
    <row r="281" spans="1:23" ht="12.75" customHeight="1" x14ac:dyDescent="0.2">
      <c r="A281" s="4"/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4"/>
      <c r="S281" s="4"/>
      <c r="T281" s="4"/>
      <c r="U281" s="4"/>
      <c r="V281" s="4"/>
      <c r="W281" s="4"/>
    </row>
    <row r="282" spans="1:23" ht="12.75" customHeight="1" x14ac:dyDescent="0.2">
      <c r="A282" s="4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4"/>
      <c r="S282" s="4"/>
      <c r="T282" s="4"/>
      <c r="U282" s="4"/>
      <c r="V282" s="4"/>
      <c r="W282" s="4"/>
    </row>
    <row r="283" spans="1:23" ht="12.75" customHeight="1" x14ac:dyDescent="0.2">
      <c r="A283" s="4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4"/>
      <c r="S283" s="4"/>
      <c r="T283" s="4"/>
      <c r="U283" s="4"/>
      <c r="V283" s="4"/>
      <c r="W283" s="4"/>
    </row>
    <row r="284" spans="1:23" ht="12.75" customHeight="1" x14ac:dyDescent="0.2">
      <c r="A284" s="4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4"/>
      <c r="S284" s="4"/>
      <c r="T284" s="4"/>
      <c r="U284" s="4"/>
      <c r="V284" s="4"/>
      <c r="W284" s="4"/>
    </row>
    <row r="285" spans="1:23" ht="12.75" customHeight="1" x14ac:dyDescent="0.2">
      <c r="A285" s="4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4"/>
      <c r="S285" s="4"/>
      <c r="T285" s="4"/>
      <c r="U285" s="4"/>
      <c r="V285" s="4"/>
      <c r="W285" s="4"/>
    </row>
    <row r="286" spans="1:23" ht="12.75" customHeight="1" x14ac:dyDescent="0.2">
      <c r="A286" s="4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4"/>
      <c r="S286" s="4"/>
      <c r="T286" s="4"/>
      <c r="U286" s="4"/>
      <c r="V286" s="4"/>
      <c r="W286" s="4"/>
    </row>
    <row r="287" spans="1:23" ht="12.75" customHeight="1" x14ac:dyDescent="0.2">
      <c r="A287" s="4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4"/>
      <c r="S287" s="4"/>
      <c r="T287" s="4"/>
      <c r="U287" s="4"/>
      <c r="V287" s="4"/>
      <c r="W287" s="4"/>
    </row>
    <row r="288" spans="1:23" ht="12.75" customHeight="1" x14ac:dyDescent="0.2">
      <c r="A288" s="4"/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4"/>
      <c r="S288" s="4"/>
      <c r="T288" s="4"/>
      <c r="U288" s="4"/>
      <c r="V288" s="4"/>
      <c r="W288" s="4"/>
    </row>
    <row r="289" spans="1:23" ht="12.75" customHeight="1" x14ac:dyDescent="0.2">
      <c r="A289" s="4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4"/>
      <c r="S289" s="4"/>
      <c r="T289" s="4"/>
      <c r="U289" s="4"/>
      <c r="V289" s="4"/>
      <c r="W289" s="4"/>
    </row>
    <row r="290" spans="1:23" ht="12.75" customHeight="1" x14ac:dyDescent="0.2">
      <c r="A290" s="4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4"/>
      <c r="S290" s="4"/>
      <c r="T290" s="4"/>
      <c r="U290" s="4"/>
      <c r="V290" s="4"/>
      <c r="W290" s="4"/>
    </row>
    <row r="291" spans="1:23" ht="12.75" customHeight="1" x14ac:dyDescent="0.2">
      <c r="A291" s="4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4"/>
      <c r="S291" s="4"/>
      <c r="T291" s="4"/>
      <c r="U291" s="4"/>
      <c r="V291" s="4"/>
      <c r="W291" s="4"/>
    </row>
    <row r="292" spans="1:23" ht="12.75" customHeight="1" x14ac:dyDescent="0.2">
      <c r="A292" s="4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4"/>
      <c r="S292" s="4"/>
      <c r="T292" s="4"/>
      <c r="U292" s="4"/>
      <c r="V292" s="4"/>
      <c r="W292" s="4"/>
    </row>
    <row r="293" spans="1:23" ht="12.75" customHeight="1" x14ac:dyDescent="0.2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4"/>
      <c r="S293" s="4"/>
      <c r="T293" s="4"/>
      <c r="U293" s="4"/>
      <c r="V293" s="4"/>
      <c r="W293" s="4"/>
    </row>
    <row r="294" spans="1:23" ht="12.75" customHeight="1" x14ac:dyDescent="0.2">
      <c r="A294" s="4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4"/>
      <c r="S294" s="4"/>
      <c r="T294" s="4"/>
      <c r="U294" s="4"/>
      <c r="V294" s="4"/>
      <c r="W294" s="4"/>
    </row>
    <row r="295" spans="1:23" ht="12.75" customHeight="1" x14ac:dyDescent="0.2">
      <c r="A295" s="4"/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4"/>
      <c r="S295" s="4"/>
      <c r="T295" s="4"/>
      <c r="U295" s="4"/>
      <c r="V295" s="4"/>
      <c r="W295" s="4"/>
    </row>
    <row r="296" spans="1:23" ht="12.75" customHeight="1" x14ac:dyDescent="0.2">
      <c r="A296" s="4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4"/>
      <c r="S296" s="4"/>
      <c r="T296" s="4"/>
      <c r="U296" s="4"/>
      <c r="V296" s="4"/>
      <c r="W296" s="4"/>
    </row>
    <row r="297" spans="1:23" ht="12.75" customHeight="1" x14ac:dyDescent="0.2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4"/>
      <c r="S297" s="4"/>
      <c r="T297" s="4"/>
      <c r="U297" s="4"/>
      <c r="V297" s="4"/>
      <c r="W297" s="4"/>
    </row>
    <row r="298" spans="1:23" ht="12.75" customHeight="1" x14ac:dyDescent="0.2">
      <c r="A298" s="4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4"/>
      <c r="S298" s="4"/>
      <c r="T298" s="4"/>
      <c r="U298" s="4"/>
      <c r="V298" s="4"/>
      <c r="W298" s="4"/>
    </row>
    <row r="299" spans="1:23" ht="12.75" customHeight="1" x14ac:dyDescent="0.2">
      <c r="A299" s="4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4"/>
      <c r="S299" s="4"/>
      <c r="T299" s="4"/>
      <c r="U299" s="4"/>
      <c r="V299" s="4"/>
      <c r="W299" s="4"/>
    </row>
    <row r="300" spans="1:23" ht="12.75" customHeight="1" x14ac:dyDescent="0.2">
      <c r="A300" s="4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4"/>
      <c r="S300" s="4"/>
      <c r="T300" s="4"/>
      <c r="U300" s="4"/>
      <c r="V300" s="4"/>
      <c r="W300" s="4"/>
    </row>
    <row r="301" spans="1:23" ht="12.75" customHeight="1" x14ac:dyDescent="0.2">
      <c r="A301" s="4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4"/>
      <c r="S301" s="4"/>
      <c r="T301" s="4"/>
      <c r="U301" s="4"/>
      <c r="V301" s="4"/>
      <c r="W301" s="4"/>
    </row>
    <row r="302" spans="1:23" ht="12.75" customHeight="1" x14ac:dyDescent="0.2">
      <c r="A302" s="4"/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4"/>
      <c r="S302" s="4"/>
      <c r="T302" s="4"/>
      <c r="U302" s="4"/>
      <c r="V302" s="4"/>
      <c r="W302" s="4"/>
    </row>
    <row r="303" spans="1:23" ht="12.75" customHeight="1" x14ac:dyDescent="0.2">
      <c r="A303" s="4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4"/>
      <c r="S303" s="4"/>
      <c r="T303" s="4"/>
      <c r="U303" s="4"/>
      <c r="V303" s="4"/>
      <c r="W303" s="4"/>
    </row>
    <row r="304" spans="1:23" ht="12.75" customHeight="1" x14ac:dyDescent="0.2">
      <c r="A304" s="4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4"/>
      <c r="S304" s="4"/>
      <c r="T304" s="4"/>
      <c r="U304" s="4"/>
      <c r="V304" s="4"/>
      <c r="W304" s="4"/>
    </row>
    <row r="305" spans="1:23" ht="12.75" customHeight="1" x14ac:dyDescent="0.2">
      <c r="A305" s="4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4"/>
      <c r="S305" s="4"/>
      <c r="T305" s="4"/>
      <c r="U305" s="4"/>
      <c r="V305" s="4"/>
      <c r="W305" s="4"/>
    </row>
    <row r="306" spans="1:23" ht="12.75" customHeight="1" x14ac:dyDescent="0.2">
      <c r="A306" s="4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4"/>
      <c r="S306" s="4"/>
      <c r="T306" s="4"/>
      <c r="U306" s="4"/>
      <c r="V306" s="4"/>
      <c r="W306" s="4"/>
    </row>
    <row r="307" spans="1:23" ht="12.75" customHeight="1" x14ac:dyDescent="0.2">
      <c r="A307" s="4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4"/>
      <c r="S307" s="4"/>
      <c r="T307" s="4"/>
      <c r="U307" s="4"/>
      <c r="V307" s="4"/>
      <c r="W307" s="4"/>
    </row>
    <row r="308" spans="1:23" ht="12.75" customHeight="1" x14ac:dyDescent="0.2">
      <c r="A308" s="4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4"/>
      <c r="S308" s="4"/>
      <c r="T308" s="4"/>
      <c r="U308" s="4"/>
      <c r="V308" s="4"/>
      <c r="W308" s="4"/>
    </row>
    <row r="309" spans="1:23" ht="12.75" customHeight="1" x14ac:dyDescent="0.2">
      <c r="A309" s="4"/>
      <c r="B309" s="4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4"/>
      <c r="S309" s="4"/>
      <c r="T309" s="4"/>
      <c r="U309" s="4"/>
      <c r="V309" s="4"/>
      <c r="W309" s="4"/>
    </row>
    <row r="310" spans="1:23" ht="12.75" customHeight="1" x14ac:dyDescent="0.2">
      <c r="A310" s="4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4"/>
      <c r="S310" s="4"/>
      <c r="T310" s="4"/>
      <c r="U310" s="4"/>
      <c r="V310" s="4"/>
      <c r="W310" s="4"/>
    </row>
    <row r="311" spans="1:23" ht="12.75" customHeight="1" x14ac:dyDescent="0.2">
      <c r="A311" s="4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4"/>
      <c r="S311" s="4"/>
      <c r="T311" s="4"/>
      <c r="U311" s="4"/>
      <c r="V311" s="4"/>
      <c r="W311" s="4"/>
    </row>
    <row r="312" spans="1:23" ht="12.75" customHeight="1" x14ac:dyDescent="0.2">
      <c r="A312" s="4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4"/>
      <c r="S312" s="4"/>
      <c r="T312" s="4"/>
      <c r="U312" s="4"/>
      <c r="V312" s="4"/>
      <c r="W312" s="4"/>
    </row>
    <row r="313" spans="1:23" ht="12.75" customHeight="1" x14ac:dyDescent="0.2">
      <c r="A313" s="4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4"/>
      <c r="S313" s="4"/>
      <c r="T313" s="4"/>
      <c r="U313" s="4"/>
      <c r="V313" s="4"/>
      <c r="W313" s="4"/>
    </row>
    <row r="314" spans="1:23" ht="12.75" customHeight="1" x14ac:dyDescent="0.2">
      <c r="A314" s="4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4"/>
      <c r="S314" s="4"/>
      <c r="T314" s="4"/>
      <c r="U314" s="4"/>
      <c r="V314" s="4"/>
      <c r="W314" s="4"/>
    </row>
    <row r="315" spans="1:23" ht="12.75" customHeight="1" x14ac:dyDescent="0.2">
      <c r="A315" s="4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4"/>
      <c r="S315" s="4"/>
      <c r="T315" s="4"/>
      <c r="U315" s="4"/>
      <c r="V315" s="4"/>
      <c r="W315" s="4"/>
    </row>
    <row r="316" spans="1:23" ht="12.75" customHeight="1" x14ac:dyDescent="0.2">
      <c r="A316" s="4"/>
      <c r="B316" s="4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4"/>
      <c r="S316" s="4"/>
      <c r="T316" s="4"/>
      <c r="U316" s="4"/>
      <c r="V316" s="4"/>
      <c r="W316" s="4"/>
    </row>
    <row r="317" spans="1:23" ht="12.75" customHeight="1" x14ac:dyDescent="0.2">
      <c r="A317" s="4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4"/>
      <c r="S317" s="4"/>
      <c r="T317" s="4"/>
      <c r="U317" s="4"/>
      <c r="V317" s="4"/>
      <c r="W317" s="4"/>
    </row>
    <row r="318" spans="1:23" ht="12.75" customHeight="1" x14ac:dyDescent="0.2">
      <c r="A318" s="4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4"/>
      <c r="S318" s="4"/>
      <c r="T318" s="4"/>
      <c r="U318" s="4"/>
      <c r="V318" s="4"/>
      <c r="W318" s="4"/>
    </row>
    <row r="319" spans="1:23" ht="12.75" customHeight="1" x14ac:dyDescent="0.2">
      <c r="A319" s="4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4"/>
      <c r="S319" s="4"/>
      <c r="T319" s="4"/>
      <c r="U319" s="4"/>
      <c r="V319" s="4"/>
      <c r="W319" s="4"/>
    </row>
    <row r="320" spans="1:23" ht="12.75" customHeight="1" x14ac:dyDescent="0.2">
      <c r="A320" s="4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4"/>
      <c r="S320" s="4"/>
      <c r="T320" s="4"/>
      <c r="U320" s="4"/>
      <c r="V320" s="4"/>
      <c r="W320" s="4"/>
    </row>
    <row r="321" spans="1:23" ht="12.75" customHeight="1" x14ac:dyDescent="0.2">
      <c r="A321" s="4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4"/>
      <c r="S321" s="4"/>
      <c r="T321" s="4"/>
      <c r="U321" s="4"/>
      <c r="V321" s="4"/>
      <c r="W321" s="4"/>
    </row>
    <row r="322" spans="1:23" ht="12.75" customHeight="1" x14ac:dyDescent="0.2">
      <c r="A322" s="4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4"/>
      <c r="S322" s="4"/>
      <c r="T322" s="4"/>
      <c r="U322" s="4"/>
      <c r="V322" s="4"/>
      <c r="W322" s="4"/>
    </row>
    <row r="323" spans="1:23" ht="12.75" customHeight="1" x14ac:dyDescent="0.2">
      <c r="A323" s="4"/>
      <c r="B323" s="4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4"/>
      <c r="S323" s="4"/>
      <c r="T323" s="4"/>
      <c r="U323" s="4"/>
      <c r="V323" s="4"/>
      <c r="W323" s="4"/>
    </row>
    <row r="324" spans="1:23" ht="12.75" customHeight="1" x14ac:dyDescent="0.2">
      <c r="A324" s="4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4"/>
      <c r="S324" s="4"/>
      <c r="T324" s="4"/>
      <c r="U324" s="4"/>
      <c r="V324" s="4"/>
      <c r="W324" s="4"/>
    </row>
    <row r="325" spans="1:23" ht="12.75" customHeight="1" x14ac:dyDescent="0.2">
      <c r="A325" s="4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4"/>
      <c r="S325" s="4"/>
      <c r="T325" s="4"/>
      <c r="U325" s="4"/>
      <c r="V325" s="4"/>
      <c r="W325" s="4"/>
    </row>
    <row r="326" spans="1:23" ht="12.75" customHeight="1" x14ac:dyDescent="0.2">
      <c r="A326" s="4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4"/>
      <c r="S326" s="4"/>
      <c r="T326" s="4"/>
      <c r="U326" s="4"/>
      <c r="V326" s="4"/>
      <c r="W326" s="4"/>
    </row>
    <row r="327" spans="1:23" ht="12.75" customHeight="1" x14ac:dyDescent="0.2">
      <c r="A327" s="4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4"/>
      <c r="S327" s="4"/>
      <c r="T327" s="4"/>
      <c r="U327" s="4"/>
      <c r="V327" s="4"/>
      <c r="W327" s="4"/>
    </row>
    <row r="328" spans="1:23" ht="12.75" customHeight="1" x14ac:dyDescent="0.2">
      <c r="A328" s="4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4"/>
      <c r="S328" s="4"/>
      <c r="T328" s="4"/>
      <c r="U328" s="4"/>
      <c r="V328" s="4"/>
      <c r="W328" s="4"/>
    </row>
    <row r="329" spans="1:23" ht="12.75" customHeight="1" x14ac:dyDescent="0.2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4"/>
      <c r="S329" s="4"/>
      <c r="T329" s="4"/>
      <c r="U329" s="4"/>
      <c r="V329" s="4"/>
      <c r="W329" s="4"/>
    </row>
    <row r="330" spans="1:23" ht="12.75" customHeight="1" x14ac:dyDescent="0.2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4"/>
      <c r="S330" s="4"/>
      <c r="T330" s="4"/>
      <c r="U330" s="4"/>
      <c r="V330" s="4"/>
      <c r="W330" s="4"/>
    </row>
    <row r="331" spans="1:23" ht="12.75" customHeight="1" x14ac:dyDescent="0.2">
      <c r="A331" s="4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4"/>
      <c r="S331" s="4"/>
      <c r="T331" s="4"/>
      <c r="U331" s="4"/>
      <c r="V331" s="4"/>
      <c r="W331" s="4"/>
    </row>
    <row r="332" spans="1:23" ht="12.75" customHeight="1" x14ac:dyDescent="0.2">
      <c r="A332" s="4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4"/>
      <c r="S332" s="4"/>
      <c r="T332" s="4"/>
      <c r="U332" s="4"/>
      <c r="V332" s="4"/>
      <c r="W332" s="4"/>
    </row>
    <row r="333" spans="1:23" ht="12.75" customHeight="1" x14ac:dyDescent="0.2">
      <c r="A333" s="4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4"/>
      <c r="S333" s="4"/>
      <c r="T333" s="4"/>
      <c r="U333" s="4"/>
      <c r="V333" s="4"/>
      <c r="W333" s="4"/>
    </row>
    <row r="334" spans="1:23" ht="12.75" customHeight="1" x14ac:dyDescent="0.2">
      <c r="A334" s="4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4"/>
      <c r="S334" s="4"/>
      <c r="T334" s="4"/>
      <c r="U334" s="4"/>
      <c r="V334" s="4"/>
      <c r="W334" s="4"/>
    </row>
    <row r="335" spans="1:23" ht="12.75" customHeight="1" x14ac:dyDescent="0.2">
      <c r="A335" s="4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4"/>
      <c r="S335" s="4"/>
      <c r="T335" s="4"/>
      <c r="U335" s="4"/>
      <c r="V335" s="4"/>
      <c r="W335" s="4"/>
    </row>
    <row r="336" spans="1:23" ht="12.75" customHeight="1" x14ac:dyDescent="0.2">
      <c r="A336" s="4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4"/>
      <c r="S336" s="4"/>
      <c r="T336" s="4"/>
      <c r="U336" s="4"/>
      <c r="V336" s="4"/>
      <c r="W336" s="4"/>
    </row>
    <row r="337" spans="1:23" ht="12.75" customHeight="1" x14ac:dyDescent="0.2">
      <c r="A337" s="4"/>
      <c r="B337" s="4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4"/>
      <c r="S337" s="4"/>
      <c r="T337" s="4"/>
      <c r="U337" s="4"/>
      <c r="V337" s="4"/>
      <c r="W337" s="4"/>
    </row>
    <row r="338" spans="1:23" ht="12.75" customHeight="1" x14ac:dyDescent="0.2">
      <c r="A338" s="4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4"/>
      <c r="S338" s="4"/>
      <c r="T338" s="4"/>
      <c r="U338" s="4"/>
      <c r="V338" s="4"/>
      <c r="W338" s="4"/>
    </row>
    <row r="339" spans="1:23" ht="12.75" customHeight="1" x14ac:dyDescent="0.2">
      <c r="A339" s="4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4"/>
      <c r="S339" s="4"/>
      <c r="T339" s="4"/>
      <c r="U339" s="4"/>
      <c r="V339" s="4"/>
      <c r="W339" s="4"/>
    </row>
    <row r="340" spans="1:23" ht="12.75" customHeight="1" x14ac:dyDescent="0.2">
      <c r="A340" s="4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4"/>
      <c r="S340" s="4"/>
      <c r="T340" s="4"/>
      <c r="U340" s="4"/>
      <c r="V340" s="4"/>
      <c r="W340" s="4"/>
    </row>
    <row r="341" spans="1:23" ht="12.75" customHeight="1" x14ac:dyDescent="0.2">
      <c r="A341" s="4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4"/>
      <c r="S341" s="4"/>
      <c r="T341" s="4"/>
      <c r="U341" s="4"/>
      <c r="V341" s="4"/>
      <c r="W341" s="4"/>
    </row>
    <row r="342" spans="1:23" ht="12.75" customHeight="1" x14ac:dyDescent="0.2">
      <c r="A342" s="4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4"/>
      <c r="S342" s="4"/>
      <c r="T342" s="4"/>
      <c r="U342" s="4"/>
      <c r="V342" s="4"/>
      <c r="W342" s="4"/>
    </row>
    <row r="343" spans="1:23" ht="12.75" customHeight="1" x14ac:dyDescent="0.2">
      <c r="A343" s="4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4"/>
      <c r="S343" s="4"/>
      <c r="T343" s="4"/>
      <c r="U343" s="4"/>
      <c r="V343" s="4"/>
      <c r="W343" s="4"/>
    </row>
    <row r="344" spans="1:23" ht="12.75" customHeight="1" x14ac:dyDescent="0.2">
      <c r="A344" s="4"/>
      <c r="B344" s="4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4"/>
      <c r="S344" s="4"/>
      <c r="T344" s="4"/>
      <c r="U344" s="4"/>
      <c r="V344" s="4"/>
      <c r="W344" s="4"/>
    </row>
    <row r="345" spans="1:23" ht="12.75" customHeight="1" x14ac:dyDescent="0.2">
      <c r="A345" s="4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4"/>
      <c r="S345" s="4"/>
      <c r="T345" s="4"/>
      <c r="U345" s="4"/>
      <c r="V345" s="4"/>
      <c r="W345" s="4"/>
    </row>
    <row r="346" spans="1:23" ht="12.75" customHeight="1" x14ac:dyDescent="0.2">
      <c r="A346" s="4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4"/>
      <c r="S346" s="4"/>
      <c r="T346" s="4"/>
      <c r="U346" s="4"/>
      <c r="V346" s="4"/>
      <c r="W346" s="4"/>
    </row>
    <row r="347" spans="1:23" ht="12.75" customHeight="1" x14ac:dyDescent="0.2">
      <c r="A347" s="4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4"/>
      <c r="S347" s="4"/>
      <c r="T347" s="4"/>
      <c r="U347" s="4"/>
      <c r="V347" s="4"/>
      <c r="W347" s="4"/>
    </row>
    <row r="348" spans="1:23" ht="12.75" customHeight="1" x14ac:dyDescent="0.2">
      <c r="A348" s="4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4"/>
      <c r="S348" s="4"/>
      <c r="T348" s="4"/>
      <c r="U348" s="4"/>
      <c r="V348" s="4"/>
      <c r="W348" s="4"/>
    </row>
    <row r="349" spans="1:23" ht="12.75" customHeight="1" x14ac:dyDescent="0.2">
      <c r="A349" s="4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4"/>
      <c r="S349" s="4"/>
      <c r="T349" s="4"/>
      <c r="U349" s="4"/>
      <c r="V349" s="4"/>
      <c r="W349" s="4"/>
    </row>
    <row r="350" spans="1:23" ht="12.75" customHeight="1" x14ac:dyDescent="0.2">
      <c r="A350" s="4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4"/>
      <c r="S350" s="4"/>
      <c r="T350" s="4"/>
      <c r="U350" s="4"/>
      <c r="V350" s="4"/>
      <c r="W350" s="4"/>
    </row>
    <row r="351" spans="1:23" ht="12.75" customHeight="1" x14ac:dyDescent="0.2">
      <c r="A351" s="4"/>
      <c r="B351" s="4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4"/>
      <c r="S351" s="4"/>
      <c r="T351" s="4"/>
      <c r="U351" s="4"/>
      <c r="V351" s="4"/>
      <c r="W351" s="4"/>
    </row>
    <row r="352" spans="1:23" ht="12.75" customHeight="1" x14ac:dyDescent="0.2">
      <c r="A352" s="4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4"/>
      <c r="S352" s="4"/>
      <c r="T352" s="4"/>
      <c r="U352" s="4"/>
      <c r="V352" s="4"/>
      <c r="W352" s="4"/>
    </row>
    <row r="353" spans="1:23" ht="12.75" customHeight="1" x14ac:dyDescent="0.2">
      <c r="A353" s="4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4"/>
      <c r="S353" s="4"/>
      <c r="T353" s="4"/>
      <c r="U353" s="4"/>
      <c r="V353" s="4"/>
      <c r="W353" s="4"/>
    </row>
    <row r="354" spans="1:23" ht="12.75" customHeight="1" x14ac:dyDescent="0.2">
      <c r="A354" s="4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4"/>
      <c r="S354" s="4"/>
      <c r="T354" s="4"/>
      <c r="U354" s="4"/>
      <c r="V354" s="4"/>
      <c r="W354" s="4"/>
    </row>
    <row r="355" spans="1:23" ht="12.75" customHeight="1" x14ac:dyDescent="0.2">
      <c r="A355" s="4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4"/>
      <c r="S355" s="4"/>
      <c r="T355" s="4"/>
      <c r="U355" s="4"/>
      <c r="V355" s="4"/>
      <c r="W355" s="4"/>
    </row>
    <row r="356" spans="1:23" ht="12.75" customHeight="1" x14ac:dyDescent="0.2">
      <c r="A356" s="4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4"/>
      <c r="S356" s="4"/>
      <c r="T356" s="4"/>
      <c r="U356" s="4"/>
      <c r="V356" s="4"/>
      <c r="W356" s="4"/>
    </row>
    <row r="357" spans="1:23" ht="12.75" customHeight="1" x14ac:dyDescent="0.2">
      <c r="A357" s="4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4"/>
      <c r="S357" s="4"/>
      <c r="T357" s="4"/>
      <c r="U357" s="4"/>
      <c r="V357" s="4"/>
      <c r="W357" s="4"/>
    </row>
    <row r="358" spans="1:23" ht="12.75" customHeight="1" x14ac:dyDescent="0.2">
      <c r="A358" s="4"/>
      <c r="B358" s="4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4"/>
      <c r="S358" s="4"/>
      <c r="T358" s="4"/>
      <c r="U358" s="4"/>
      <c r="V358" s="4"/>
      <c r="W358" s="4"/>
    </row>
    <row r="359" spans="1:23" ht="12.75" customHeight="1" x14ac:dyDescent="0.2">
      <c r="A359" s="4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4"/>
      <c r="S359" s="4"/>
      <c r="T359" s="4"/>
      <c r="U359" s="4"/>
      <c r="V359" s="4"/>
      <c r="W359" s="4"/>
    </row>
    <row r="360" spans="1:23" ht="12.75" customHeight="1" x14ac:dyDescent="0.2">
      <c r="A360" s="4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4"/>
      <c r="S360" s="4"/>
      <c r="T360" s="4"/>
      <c r="U360" s="4"/>
      <c r="V360" s="4"/>
      <c r="W360" s="4"/>
    </row>
    <row r="361" spans="1:23" ht="12.75" customHeight="1" x14ac:dyDescent="0.2">
      <c r="A361" s="4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4"/>
      <c r="S361" s="4"/>
      <c r="T361" s="4"/>
      <c r="U361" s="4"/>
      <c r="V361" s="4"/>
      <c r="W361" s="4"/>
    </row>
    <row r="362" spans="1:23" ht="12.75" customHeight="1" x14ac:dyDescent="0.2">
      <c r="A362" s="4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4"/>
      <c r="S362" s="4"/>
      <c r="T362" s="4"/>
      <c r="U362" s="4"/>
      <c r="V362" s="4"/>
      <c r="W362" s="4"/>
    </row>
    <row r="363" spans="1:23" ht="12.75" customHeight="1" x14ac:dyDescent="0.2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4"/>
      <c r="S363" s="4"/>
      <c r="T363" s="4"/>
      <c r="U363" s="4"/>
      <c r="V363" s="4"/>
      <c r="W363" s="4"/>
    </row>
    <row r="364" spans="1:23" ht="12.75" customHeight="1" x14ac:dyDescent="0.2">
      <c r="A364" s="4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4"/>
      <c r="S364" s="4"/>
      <c r="T364" s="4"/>
      <c r="U364" s="4"/>
      <c r="V364" s="4"/>
      <c r="W364" s="4"/>
    </row>
    <row r="365" spans="1:23" ht="12.75" customHeight="1" x14ac:dyDescent="0.2">
      <c r="A365" s="4"/>
      <c r="B365" s="4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4"/>
      <c r="S365" s="4"/>
      <c r="T365" s="4"/>
      <c r="U365" s="4"/>
      <c r="V365" s="4"/>
      <c r="W365" s="4"/>
    </row>
    <row r="366" spans="1:23" ht="12.75" customHeight="1" x14ac:dyDescent="0.2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4"/>
      <c r="S366" s="4"/>
      <c r="T366" s="4"/>
      <c r="U366" s="4"/>
      <c r="V366" s="4"/>
      <c r="W366" s="4"/>
    </row>
    <row r="367" spans="1:23" ht="12.75" customHeight="1" x14ac:dyDescent="0.2">
      <c r="A367" s="4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4"/>
      <c r="S367" s="4"/>
      <c r="T367" s="4"/>
      <c r="U367" s="4"/>
      <c r="V367" s="4"/>
      <c r="W367" s="4"/>
    </row>
    <row r="368" spans="1:23" ht="12.75" customHeight="1" x14ac:dyDescent="0.2">
      <c r="A368" s="4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4"/>
      <c r="S368" s="4"/>
      <c r="T368" s="4"/>
      <c r="U368" s="4"/>
      <c r="V368" s="4"/>
      <c r="W368" s="4"/>
    </row>
    <row r="369" spans="1:23" ht="12.75" customHeight="1" x14ac:dyDescent="0.2">
      <c r="A369" s="4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4"/>
      <c r="S369" s="4"/>
      <c r="T369" s="4"/>
      <c r="U369" s="4"/>
      <c r="V369" s="4"/>
      <c r="W369" s="4"/>
    </row>
    <row r="370" spans="1:23" ht="12.75" customHeight="1" x14ac:dyDescent="0.2">
      <c r="A370" s="4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4"/>
      <c r="S370" s="4"/>
      <c r="T370" s="4"/>
      <c r="U370" s="4"/>
      <c r="V370" s="4"/>
      <c r="W370" s="4"/>
    </row>
    <row r="371" spans="1:23" ht="12.75" customHeight="1" x14ac:dyDescent="0.2">
      <c r="A371" s="4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4"/>
      <c r="S371" s="4"/>
      <c r="T371" s="4"/>
      <c r="U371" s="4"/>
      <c r="V371" s="4"/>
      <c r="W371" s="4"/>
    </row>
    <row r="372" spans="1:23" ht="12.75" customHeight="1" x14ac:dyDescent="0.2">
      <c r="A372" s="4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4"/>
      <c r="S372" s="4"/>
      <c r="T372" s="4"/>
      <c r="U372" s="4"/>
      <c r="V372" s="4"/>
      <c r="W372" s="4"/>
    </row>
    <row r="373" spans="1:23" ht="12.75" customHeight="1" x14ac:dyDescent="0.2">
      <c r="A373" s="4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4"/>
      <c r="S373" s="4"/>
      <c r="T373" s="4"/>
      <c r="U373" s="4"/>
      <c r="V373" s="4"/>
      <c r="W373" s="4"/>
    </row>
    <row r="374" spans="1:23" ht="12.75" customHeight="1" x14ac:dyDescent="0.2">
      <c r="A374" s="4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4"/>
      <c r="S374" s="4"/>
      <c r="T374" s="4"/>
      <c r="U374" s="4"/>
      <c r="V374" s="4"/>
      <c r="W374" s="4"/>
    </row>
    <row r="375" spans="1:23" ht="12.75" customHeight="1" x14ac:dyDescent="0.2">
      <c r="A375" s="4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4"/>
      <c r="S375" s="4"/>
      <c r="T375" s="4"/>
      <c r="U375" s="4"/>
      <c r="V375" s="4"/>
      <c r="W375" s="4"/>
    </row>
    <row r="376" spans="1:23" ht="12.75" customHeight="1" x14ac:dyDescent="0.2">
      <c r="A376" s="4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4"/>
      <c r="S376" s="4"/>
      <c r="T376" s="4"/>
      <c r="U376" s="4"/>
      <c r="V376" s="4"/>
      <c r="W376" s="4"/>
    </row>
    <row r="377" spans="1:23" ht="12.75" customHeight="1" x14ac:dyDescent="0.2">
      <c r="A377" s="4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4"/>
      <c r="S377" s="4"/>
      <c r="T377" s="4"/>
      <c r="U377" s="4"/>
      <c r="V377" s="4"/>
      <c r="W377" s="4"/>
    </row>
    <row r="378" spans="1:23" ht="12.75" customHeight="1" x14ac:dyDescent="0.2">
      <c r="A378" s="4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4"/>
      <c r="S378" s="4"/>
      <c r="T378" s="4"/>
      <c r="U378" s="4"/>
      <c r="V378" s="4"/>
      <c r="W378" s="4"/>
    </row>
    <row r="379" spans="1:23" ht="12.75" customHeight="1" x14ac:dyDescent="0.2">
      <c r="A379" s="4"/>
      <c r="B379" s="4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4"/>
      <c r="S379" s="4"/>
      <c r="T379" s="4"/>
      <c r="U379" s="4"/>
      <c r="V379" s="4"/>
      <c r="W379" s="4"/>
    </row>
    <row r="380" spans="1:23" ht="12.75" customHeight="1" x14ac:dyDescent="0.2">
      <c r="A380" s="4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4"/>
      <c r="S380" s="4"/>
      <c r="T380" s="4"/>
      <c r="U380" s="4"/>
      <c r="V380" s="4"/>
      <c r="W380" s="4"/>
    </row>
    <row r="381" spans="1:23" ht="12.75" customHeight="1" x14ac:dyDescent="0.2">
      <c r="A381" s="4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4"/>
      <c r="S381" s="4"/>
      <c r="T381" s="4"/>
      <c r="U381" s="4"/>
      <c r="V381" s="4"/>
      <c r="W381" s="4"/>
    </row>
    <row r="382" spans="1:23" ht="12.75" customHeight="1" x14ac:dyDescent="0.2">
      <c r="A382" s="4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4"/>
      <c r="S382" s="4"/>
      <c r="T382" s="4"/>
      <c r="U382" s="4"/>
      <c r="V382" s="4"/>
      <c r="W382" s="4"/>
    </row>
    <row r="383" spans="1:23" ht="12.75" customHeight="1" x14ac:dyDescent="0.2">
      <c r="A383" s="4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4"/>
      <c r="S383" s="4"/>
      <c r="T383" s="4"/>
      <c r="U383" s="4"/>
      <c r="V383" s="4"/>
      <c r="W383" s="4"/>
    </row>
    <row r="384" spans="1:23" ht="12.75" customHeight="1" x14ac:dyDescent="0.2">
      <c r="A384" s="4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4"/>
      <c r="S384" s="4"/>
      <c r="T384" s="4"/>
      <c r="U384" s="4"/>
      <c r="V384" s="4"/>
      <c r="W384" s="4"/>
    </row>
    <row r="385" spans="1:23" ht="12.75" customHeight="1" x14ac:dyDescent="0.2">
      <c r="A385" s="4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4"/>
      <c r="S385" s="4"/>
      <c r="T385" s="4"/>
      <c r="U385" s="4"/>
      <c r="V385" s="4"/>
      <c r="W385" s="4"/>
    </row>
    <row r="386" spans="1:23" ht="12.75" customHeight="1" x14ac:dyDescent="0.2">
      <c r="A386" s="4"/>
      <c r="B386" s="4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4"/>
      <c r="S386" s="4"/>
      <c r="T386" s="4"/>
      <c r="U386" s="4"/>
      <c r="V386" s="4"/>
      <c r="W386" s="4"/>
    </row>
    <row r="387" spans="1:23" ht="12.75" customHeight="1" x14ac:dyDescent="0.2">
      <c r="A387" s="4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4"/>
      <c r="S387" s="4"/>
      <c r="T387" s="4"/>
      <c r="U387" s="4"/>
      <c r="V387" s="4"/>
      <c r="W387" s="4"/>
    </row>
    <row r="388" spans="1:23" ht="12.75" customHeight="1" x14ac:dyDescent="0.2">
      <c r="A388" s="4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4"/>
      <c r="S388" s="4"/>
      <c r="T388" s="4"/>
      <c r="U388" s="4"/>
      <c r="V388" s="4"/>
      <c r="W388" s="4"/>
    </row>
    <row r="389" spans="1:23" ht="12.75" customHeight="1" x14ac:dyDescent="0.2">
      <c r="A389" s="4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4"/>
      <c r="S389" s="4"/>
      <c r="T389" s="4"/>
      <c r="U389" s="4"/>
      <c r="V389" s="4"/>
      <c r="W389" s="4"/>
    </row>
    <row r="390" spans="1:23" ht="12.75" customHeight="1" x14ac:dyDescent="0.2">
      <c r="A390" s="4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4"/>
      <c r="S390" s="4"/>
      <c r="T390" s="4"/>
      <c r="U390" s="4"/>
      <c r="V390" s="4"/>
      <c r="W390" s="4"/>
    </row>
    <row r="391" spans="1:23" ht="12.75" customHeight="1" x14ac:dyDescent="0.2">
      <c r="A391" s="4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4"/>
      <c r="S391" s="4"/>
      <c r="T391" s="4"/>
      <c r="U391" s="4"/>
      <c r="V391" s="4"/>
      <c r="W391" s="4"/>
    </row>
    <row r="392" spans="1:23" ht="12.75" customHeight="1" x14ac:dyDescent="0.2">
      <c r="A392" s="4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4"/>
      <c r="S392" s="4"/>
      <c r="T392" s="4"/>
      <c r="U392" s="4"/>
      <c r="V392" s="4"/>
      <c r="W392" s="4"/>
    </row>
    <row r="393" spans="1:23" ht="12.75" customHeight="1" x14ac:dyDescent="0.2">
      <c r="A393" s="4"/>
      <c r="B393" s="4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4"/>
      <c r="S393" s="4"/>
      <c r="T393" s="4"/>
      <c r="U393" s="4"/>
      <c r="V393" s="4"/>
      <c r="W393" s="4"/>
    </row>
    <row r="394" spans="1:23" ht="12.75" customHeight="1" x14ac:dyDescent="0.2">
      <c r="A394" s="4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4"/>
      <c r="S394" s="4"/>
      <c r="T394" s="4"/>
      <c r="U394" s="4"/>
      <c r="V394" s="4"/>
      <c r="W394" s="4"/>
    </row>
    <row r="395" spans="1:23" ht="12.75" customHeight="1" x14ac:dyDescent="0.2">
      <c r="A395" s="4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4"/>
      <c r="S395" s="4"/>
      <c r="T395" s="4"/>
      <c r="U395" s="4"/>
      <c r="V395" s="4"/>
      <c r="W395" s="4"/>
    </row>
    <row r="396" spans="1:23" ht="12.75" customHeight="1" x14ac:dyDescent="0.2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4"/>
      <c r="S396" s="4"/>
      <c r="T396" s="4"/>
      <c r="U396" s="4"/>
      <c r="V396" s="4"/>
      <c r="W396" s="4"/>
    </row>
    <row r="397" spans="1:23" ht="12.75" customHeight="1" x14ac:dyDescent="0.2">
      <c r="A397" s="4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4"/>
      <c r="S397" s="4"/>
      <c r="T397" s="4"/>
      <c r="U397" s="4"/>
      <c r="V397" s="4"/>
      <c r="W397" s="4"/>
    </row>
    <row r="398" spans="1:23" ht="12.75" customHeight="1" x14ac:dyDescent="0.2">
      <c r="A398" s="4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4"/>
      <c r="S398" s="4"/>
      <c r="T398" s="4"/>
      <c r="U398" s="4"/>
      <c r="V398" s="4"/>
      <c r="W398" s="4"/>
    </row>
    <row r="399" spans="1:23" ht="12.75" customHeight="1" x14ac:dyDescent="0.2">
      <c r="A399" s="4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4"/>
      <c r="S399" s="4"/>
      <c r="T399" s="4"/>
      <c r="U399" s="4"/>
      <c r="V399" s="4"/>
      <c r="W399" s="4"/>
    </row>
    <row r="400" spans="1:23" ht="12.75" customHeight="1" x14ac:dyDescent="0.2">
      <c r="A400" s="4"/>
      <c r="B400" s="4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4"/>
      <c r="S400" s="4"/>
      <c r="T400" s="4"/>
      <c r="U400" s="4"/>
      <c r="V400" s="4"/>
      <c r="W400" s="4"/>
    </row>
    <row r="401" spans="1:23" ht="12.75" customHeight="1" x14ac:dyDescent="0.2">
      <c r="A401" s="4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4"/>
      <c r="S401" s="4"/>
      <c r="T401" s="4"/>
      <c r="U401" s="4"/>
      <c r="V401" s="4"/>
      <c r="W401" s="4"/>
    </row>
    <row r="402" spans="1:23" ht="12.75" customHeight="1" x14ac:dyDescent="0.2">
      <c r="A402" s="4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4"/>
      <c r="S402" s="4"/>
      <c r="T402" s="4"/>
      <c r="U402" s="4"/>
      <c r="V402" s="4"/>
      <c r="W402" s="4"/>
    </row>
    <row r="403" spans="1:23" ht="12.75" customHeight="1" x14ac:dyDescent="0.2">
      <c r="A403" s="4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4"/>
      <c r="S403" s="4"/>
      <c r="T403" s="4"/>
      <c r="U403" s="4"/>
      <c r="V403" s="4"/>
      <c r="W403" s="4"/>
    </row>
    <row r="404" spans="1:23" ht="12.75" customHeight="1" x14ac:dyDescent="0.2">
      <c r="A404" s="4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4"/>
      <c r="S404" s="4"/>
      <c r="T404" s="4"/>
      <c r="U404" s="4"/>
      <c r="V404" s="4"/>
      <c r="W404" s="4"/>
    </row>
    <row r="405" spans="1:23" ht="12.75" customHeight="1" x14ac:dyDescent="0.2">
      <c r="A405" s="4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4"/>
      <c r="S405" s="4"/>
      <c r="T405" s="4"/>
      <c r="U405" s="4"/>
      <c r="V405" s="4"/>
      <c r="W405" s="4"/>
    </row>
    <row r="406" spans="1:23" ht="12.75" customHeight="1" x14ac:dyDescent="0.2">
      <c r="A406" s="4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4"/>
      <c r="S406" s="4"/>
      <c r="T406" s="4"/>
      <c r="U406" s="4"/>
      <c r="V406" s="4"/>
      <c r="W406" s="4"/>
    </row>
    <row r="407" spans="1:23" ht="12.75" customHeight="1" x14ac:dyDescent="0.2">
      <c r="A407" s="4"/>
      <c r="B407" s="4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4"/>
      <c r="S407" s="4"/>
      <c r="T407" s="4"/>
      <c r="U407" s="4"/>
      <c r="V407" s="4"/>
      <c r="W407" s="4"/>
    </row>
    <row r="408" spans="1:23" ht="12.75" customHeight="1" x14ac:dyDescent="0.2">
      <c r="A408" s="4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4"/>
      <c r="S408" s="4"/>
      <c r="T408" s="4"/>
      <c r="U408" s="4"/>
      <c r="V408" s="4"/>
      <c r="W408" s="4"/>
    </row>
    <row r="409" spans="1:23" ht="12.75" customHeight="1" x14ac:dyDescent="0.2">
      <c r="A409" s="4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4"/>
      <c r="S409" s="4"/>
      <c r="T409" s="4"/>
      <c r="U409" s="4"/>
      <c r="V409" s="4"/>
      <c r="W409" s="4"/>
    </row>
    <row r="410" spans="1:23" ht="12.75" customHeight="1" x14ac:dyDescent="0.2">
      <c r="A410" s="4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4"/>
      <c r="S410" s="4"/>
      <c r="T410" s="4"/>
      <c r="U410" s="4"/>
      <c r="V410" s="4"/>
      <c r="W410" s="4"/>
    </row>
    <row r="411" spans="1:23" ht="12.75" customHeight="1" x14ac:dyDescent="0.2">
      <c r="A411" s="4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4"/>
      <c r="S411" s="4"/>
      <c r="T411" s="4"/>
      <c r="U411" s="4"/>
      <c r="V411" s="4"/>
      <c r="W411" s="4"/>
    </row>
    <row r="412" spans="1:23" ht="12.75" customHeight="1" x14ac:dyDescent="0.2">
      <c r="A412" s="4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4"/>
      <c r="S412" s="4"/>
      <c r="T412" s="4"/>
      <c r="U412" s="4"/>
      <c r="V412" s="4"/>
      <c r="W412" s="4"/>
    </row>
    <row r="413" spans="1:23" ht="12.75" customHeight="1" x14ac:dyDescent="0.2">
      <c r="A413" s="4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4"/>
      <c r="S413" s="4"/>
      <c r="T413" s="4"/>
      <c r="U413" s="4"/>
      <c r="V413" s="4"/>
      <c r="W413" s="4"/>
    </row>
    <row r="414" spans="1:23" ht="12.75" customHeight="1" x14ac:dyDescent="0.2">
      <c r="A414" s="4"/>
      <c r="B414" s="4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4"/>
      <c r="S414" s="4"/>
      <c r="T414" s="4"/>
      <c r="U414" s="4"/>
      <c r="V414" s="4"/>
      <c r="W414" s="4"/>
    </row>
    <row r="415" spans="1:23" ht="12.75" customHeight="1" x14ac:dyDescent="0.2">
      <c r="A415" s="4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4"/>
      <c r="S415" s="4"/>
      <c r="T415" s="4"/>
      <c r="U415" s="4"/>
      <c r="V415" s="4"/>
      <c r="W415" s="4"/>
    </row>
    <row r="416" spans="1:23" ht="12.75" customHeight="1" x14ac:dyDescent="0.2">
      <c r="A416" s="4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4"/>
      <c r="S416" s="4"/>
      <c r="T416" s="4"/>
      <c r="U416" s="4"/>
      <c r="V416" s="4"/>
      <c r="W416" s="4"/>
    </row>
    <row r="417" spans="1:23" ht="12.75" customHeight="1" x14ac:dyDescent="0.2">
      <c r="A417" s="4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4"/>
      <c r="S417" s="4"/>
      <c r="T417" s="4"/>
      <c r="U417" s="4"/>
      <c r="V417" s="4"/>
      <c r="W417" s="4"/>
    </row>
    <row r="418" spans="1:23" ht="12.75" customHeight="1" x14ac:dyDescent="0.2">
      <c r="A418" s="4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4"/>
      <c r="S418" s="4"/>
      <c r="T418" s="4"/>
      <c r="U418" s="4"/>
      <c r="V418" s="4"/>
      <c r="W418" s="4"/>
    </row>
    <row r="419" spans="1:23" ht="12.75" customHeight="1" x14ac:dyDescent="0.2">
      <c r="A419" s="4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4"/>
      <c r="S419" s="4"/>
      <c r="T419" s="4"/>
      <c r="U419" s="4"/>
      <c r="V419" s="4"/>
      <c r="W419" s="4"/>
    </row>
    <row r="420" spans="1:23" ht="12.75" customHeight="1" x14ac:dyDescent="0.2">
      <c r="A420" s="4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4"/>
      <c r="S420" s="4"/>
      <c r="T420" s="4"/>
      <c r="U420" s="4"/>
      <c r="V420" s="4"/>
      <c r="W420" s="4"/>
    </row>
    <row r="421" spans="1:23" ht="12.75" customHeight="1" x14ac:dyDescent="0.2">
      <c r="A421" s="4"/>
      <c r="B421" s="4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4"/>
      <c r="S421" s="4"/>
      <c r="T421" s="4"/>
      <c r="U421" s="4"/>
      <c r="V421" s="4"/>
      <c r="W421" s="4"/>
    </row>
    <row r="422" spans="1:23" ht="12.75" customHeight="1" x14ac:dyDescent="0.2">
      <c r="A422" s="4"/>
      <c r="B422" s="4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4"/>
      <c r="S422" s="4"/>
      <c r="T422" s="4"/>
      <c r="U422" s="4"/>
      <c r="V422" s="4"/>
      <c r="W422" s="4"/>
    </row>
    <row r="423" spans="1:23" ht="12.75" customHeight="1" x14ac:dyDescent="0.2">
      <c r="A423" s="4"/>
      <c r="B423" s="4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4"/>
      <c r="S423" s="4"/>
      <c r="T423" s="4"/>
      <c r="U423" s="4"/>
      <c r="V423" s="4"/>
      <c r="W423" s="4"/>
    </row>
    <row r="424" spans="1:23" ht="12.75" customHeight="1" x14ac:dyDescent="0.2">
      <c r="A424" s="4"/>
      <c r="B424" s="4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4"/>
      <c r="S424" s="4"/>
      <c r="T424" s="4"/>
      <c r="U424" s="4"/>
      <c r="V424" s="4"/>
      <c r="W424" s="4"/>
    </row>
    <row r="425" spans="1:23" ht="12.75" customHeight="1" x14ac:dyDescent="0.2">
      <c r="A425" s="4"/>
      <c r="B425" s="4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4"/>
      <c r="S425" s="4"/>
      <c r="T425" s="4"/>
      <c r="U425" s="4"/>
      <c r="V425" s="4"/>
      <c r="W425" s="4"/>
    </row>
    <row r="426" spans="1:23" ht="12.75" customHeight="1" x14ac:dyDescent="0.2">
      <c r="A426" s="4"/>
      <c r="B426" s="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4"/>
      <c r="S426" s="4"/>
      <c r="T426" s="4"/>
      <c r="U426" s="4"/>
      <c r="V426" s="4"/>
      <c r="W426" s="4"/>
    </row>
    <row r="427" spans="1:23" ht="12.75" customHeight="1" x14ac:dyDescent="0.2">
      <c r="A427" s="4"/>
      <c r="B427" s="4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4"/>
      <c r="S427" s="4"/>
      <c r="T427" s="4"/>
      <c r="U427" s="4"/>
      <c r="V427" s="4"/>
      <c r="W427" s="4"/>
    </row>
    <row r="428" spans="1:23" ht="12.75" customHeight="1" x14ac:dyDescent="0.2">
      <c r="A428" s="4"/>
      <c r="B428" s="4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4"/>
      <c r="S428" s="4"/>
      <c r="T428" s="4"/>
      <c r="U428" s="4"/>
      <c r="V428" s="4"/>
      <c r="W428" s="4"/>
    </row>
    <row r="429" spans="1:23" ht="12.75" customHeight="1" x14ac:dyDescent="0.2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4"/>
      <c r="S429" s="4"/>
      <c r="T429" s="4"/>
      <c r="U429" s="4"/>
      <c r="V429" s="4"/>
      <c r="W429" s="4"/>
    </row>
    <row r="430" spans="1:23" ht="12.75" customHeight="1" x14ac:dyDescent="0.2">
      <c r="A430" s="4"/>
      <c r="B430" s="4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4"/>
      <c r="S430" s="4"/>
      <c r="T430" s="4"/>
      <c r="U430" s="4"/>
      <c r="V430" s="4"/>
      <c r="W430" s="4"/>
    </row>
    <row r="431" spans="1:23" ht="12.75" customHeight="1" x14ac:dyDescent="0.2">
      <c r="A431" s="4"/>
      <c r="B431" s="4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4"/>
      <c r="S431" s="4"/>
      <c r="T431" s="4"/>
      <c r="U431" s="4"/>
      <c r="V431" s="4"/>
      <c r="W431" s="4"/>
    </row>
    <row r="432" spans="1:23" ht="12.75" customHeight="1" x14ac:dyDescent="0.2">
      <c r="A432" s="4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4"/>
      <c r="S432" s="4"/>
      <c r="T432" s="4"/>
      <c r="U432" s="4"/>
      <c r="V432" s="4"/>
      <c r="W432" s="4"/>
    </row>
    <row r="433" spans="1:23" ht="12.75" customHeight="1" x14ac:dyDescent="0.2">
      <c r="A433" s="4"/>
      <c r="B433" s="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4"/>
      <c r="S433" s="4"/>
      <c r="T433" s="4"/>
      <c r="U433" s="4"/>
      <c r="V433" s="4"/>
      <c r="W433" s="4"/>
    </row>
    <row r="434" spans="1:23" ht="12.75" customHeight="1" x14ac:dyDescent="0.2">
      <c r="A434" s="4"/>
      <c r="B434" s="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4"/>
      <c r="S434" s="4"/>
      <c r="T434" s="4"/>
      <c r="U434" s="4"/>
      <c r="V434" s="4"/>
      <c r="W434" s="4"/>
    </row>
    <row r="435" spans="1:23" ht="12.75" customHeight="1" x14ac:dyDescent="0.2">
      <c r="A435" s="4"/>
      <c r="B435" s="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4"/>
      <c r="S435" s="4"/>
      <c r="T435" s="4"/>
      <c r="U435" s="4"/>
      <c r="V435" s="4"/>
      <c r="W435" s="4"/>
    </row>
    <row r="436" spans="1:23" ht="12.75" customHeight="1" x14ac:dyDescent="0.2">
      <c r="A436" s="4"/>
      <c r="B436" s="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4"/>
      <c r="S436" s="4"/>
      <c r="T436" s="4"/>
      <c r="U436" s="4"/>
      <c r="V436" s="4"/>
      <c r="W436" s="4"/>
    </row>
    <row r="437" spans="1:23" ht="12.75" customHeight="1" x14ac:dyDescent="0.2">
      <c r="A437" s="4"/>
      <c r="B437" s="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4"/>
      <c r="S437" s="4"/>
      <c r="T437" s="4"/>
      <c r="U437" s="4"/>
      <c r="V437" s="4"/>
      <c r="W437" s="4"/>
    </row>
    <row r="438" spans="1:23" ht="12.75" customHeight="1" x14ac:dyDescent="0.2">
      <c r="A438" s="4"/>
      <c r="B438" s="4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4"/>
      <c r="S438" s="4"/>
      <c r="T438" s="4"/>
      <c r="U438" s="4"/>
      <c r="V438" s="4"/>
      <c r="W438" s="4"/>
    </row>
    <row r="439" spans="1:23" ht="12.75" customHeight="1" x14ac:dyDescent="0.2">
      <c r="A439" s="4"/>
      <c r="B439" s="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4"/>
      <c r="S439" s="4"/>
      <c r="T439" s="4"/>
      <c r="U439" s="4"/>
      <c r="V439" s="4"/>
      <c r="W439" s="4"/>
    </row>
    <row r="440" spans="1:23" ht="12.75" customHeight="1" x14ac:dyDescent="0.2">
      <c r="A440" s="4"/>
      <c r="B440" s="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4"/>
      <c r="S440" s="4"/>
      <c r="T440" s="4"/>
      <c r="U440" s="4"/>
      <c r="V440" s="4"/>
      <c r="W440" s="4"/>
    </row>
    <row r="441" spans="1:23" ht="12.75" customHeight="1" x14ac:dyDescent="0.2">
      <c r="A441" s="4"/>
      <c r="B441" s="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4"/>
      <c r="S441" s="4"/>
      <c r="T441" s="4"/>
      <c r="U441" s="4"/>
      <c r="V441" s="4"/>
      <c r="W441" s="4"/>
    </row>
    <row r="442" spans="1:23" ht="12.75" customHeight="1" x14ac:dyDescent="0.2">
      <c r="A442" s="4"/>
      <c r="B442" s="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4"/>
      <c r="S442" s="4"/>
      <c r="T442" s="4"/>
      <c r="U442" s="4"/>
      <c r="V442" s="4"/>
      <c r="W442" s="4"/>
    </row>
    <row r="443" spans="1:23" ht="12.75" customHeight="1" x14ac:dyDescent="0.2">
      <c r="A443" s="4"/>
      <c r="B443" s="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4"/>
      <c r="S443" s="4"/>
      <c r="T443" s="4"/>
      <c r="U443" s="4"/>
      <c r="V443" s="4"/>
      <c r="W443" s="4"/>
    </row>
    <row r="444" spans="1:23" ht="12.75" customHeight="1" x14ac:dyDescent="0.2">
      <c r="A444" s="4"/>
      <c r="B444" s="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4"/>
      <c r="S444" s="4"/>
      <c r="T444" s="4"/>
      <c r="U444" s="4"/>
      <c r="V444" s="4"/>
      <c r="W444" s="4"/>
    </row>
    <row r="445" spans="1:23" ht="12.75" customHeight="1" x14ac:dyDescent="0.2">
      <c r="A445" s="4"/>
      <c r="B445" s="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4"/>
      <c r="S445" s="4"/>
      <c r="T445" s="4"/>
      <c r="U445" s="4"/>
      <c r="V445" s="4"/>
      <c r="W445" s="4"/>
    </row>
    <row r="446" spans="1:23" ht="12.75" customHeight="1" x14ac:dyDescent="0.2">
      <c r="A446" s="4"/>
      <c r="B446" s="4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4"/>
      <c r="S446" s="4"/>
      <c r="T446" s="4"/>
      <c r="U446" s="4"/>
      <c r="V446" s="4"/>
      <c r="W446" s="4"/>
    </row>
    <row r="447" spans="1:23" ht="12.75" customHeight="1" x14ac:dyDescent="0.2">
      <c r="A447" s="4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4"/>
      <c r="S447" s="4"/>
      <c r="T447" s="4"/>
      <c r="U447" s="4"/>
      <c r="V447" s="4"/>
      <c r="W447" s="4"/>
    </row>
    <row r="448" spans="1:23" ht="12.75" customHeight="1" x14ac:dyDescent="0.2">
      <c r="A448" s="4"/>
      <c r="B448" s="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4"/>
      <c r="S448" s="4"/>
      <c r="T448" s="4"/>
      <c r="U448" s="4"/>
      <c r="V448" s="4"/>
      <c r="W448" s="4"/>
    </row>
    <row r="449" spans="1:23" ht="12.75" customHeight="1" x14ac:dyDescent="0.2">
      <c r="A449" s="4"/>
      <c r="B449" s="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4"/>
      <c r="S449" s="4"/>
      <c r="T449" s="4"/>
      <c r="U449" s="4"/>
      <c r="V449" s="4"/>
      <c r="W449" s="4"/>
    </row>
    <row r="450" spans="1:23" ht="12.75" customHeight="1" x14ac:dyDescent="0.2">
      <c r="A450" s="4"/>
      <c r="B450" s="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4"/>
      <c r="S450" s="4"/>
      <c r="T450" s="4"/>
      <c r="U450" s="4"/>
      <c r="V450" s="4"/>
      <c r="W450" s="4"/>
    </row>
    <row r="451" spans="1:23" ht="12.75" customHeight="1" x14ac:dyDescent="0.2">
      <c r="A451" s="4"/>
      <c r="B451" s="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4"/>
      <c r="S451" s="4"/>
      <c r="T451" s="4"/>
      <c r="U451" s="4"/>
      <c r="V451" s="4"/>
      <c r="W451" s="4"/>
    </row>
    <row r="452" spans="1:23" ht="12.75" customHeight="1" x14ac:dyDescent="0.2">
      <c r="A452" s="4"/>
      <c r="B452" s="4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4"/>
      <c r="S452" s="4"/>
      <c r="T452" s="4"/>
      <c r="U452" s="4"/>
      <c r="V452" s="4"/>
      <c r="W452" s="4"/>
    </row>
    <row r="453" spans="1:23" ht="12.75" customHeight="1" x14ac:dyDescent="0.2">
      <c r="A453" s="4"/>
      <c r="B453" s="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4"/>
      <c r="S453" s="4"/>
      <c r="T453" s="4"/>
      <c r="U453" s="4"/>
      <c r="V453" s="4"/>
      <c r="W453" s="4"/>
    </row>
    <row r="454" spans="1:23" ht="12.75" customHeight="1" x14ac:dyDescent="0.2">
      <c r="A454" s="4"/>
      <c r="B454" s="4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4"/>
      <c r="S454" s="4"/>
      <c r="T454" s="4"/>
      <c r="U454" s="4"/>
      <c r="V454" s="4"/>
      <c r="W454" s="4"/>
    </row>
    <row r="455" spans="1:23" ht="12.75" customHeight="1" x14ac:dyDescent="0.2">
      <c r="A455" s="4"/>
      <c r="B455" s="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4"/>
      <c r="S455" s="4"/>
      <c r="T455" s="4"/>
      <c r="U455" s="4"/>
      <c r="V455" s="4"/>
      <c r="W455" s="4"/>
    </row>
    <row r="456" spans="1:23" ht="12.75" customHeight="1" x14ac:dyDescent="0.2">
      <c r="A456" s="4"/>
      <c r="B456" s="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4"/>
      <c r="S456" s="4"/>
      <c r="T456" s="4"/>
      <c r="U456" s="4"/>
      <c r="V456" s="4"/>
      <c r="W456" s="4"/>
    </row>
    <row r="457" spans="1:23" ht="12.75" customHeight="1" x14ac:dyDescent="0.2">
      <c r="A457" s="4"/>
      <c r="B457" s="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4"/>
      <c r="S457" s="4"/>
      <c r="T457" s="4"/>
      <c r="U457" s="4"/>
      <c r="V457" s="4"/>
      <c r="W457" s="4"/>
    </row>
    <row r="458" spans="1:23" ht="12.75" customHeight="1" x14ac:dyDescent="0.2">
      <c r="A458" s="4"/>
      <c r="B458" s="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4"/>
      <c r="S458" s="4"/>
      <c r="T458" s="4"/>
      <c r="U458" s="4"/>
      <c r="V458" s="4"/>
      <c r="W458" s="4"/>
    </row>
    <row r="459" spans="1:23" ht="12.75" customHeight="1" x14ac:dyDescent="0.2">
      <c r="A459" s="4"/>
      <c r="B459" s="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4"/>
      <c r="S459" s="4"/>
      <c r="T459" s="4"/>
      <c r="U459" s="4"/>
      <c r="V459" s="4"/>
      <c r="W459" s="4"/>
    </row>
    <row r="460" spans="1:23" ht="12.75" customHeight="1" x14ac:dyDescent="0.2">
      <c r="A460" s="4"/>
      <c r="B460" s="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4"/>
      <c r="S460" s="4"/>
      <c r="T460" s="4"/>
      <c r="U460" s="4"/>
      <c r="V460" s="4"/>
      <c r="W460" s="4"/>
    </row>
    <row r="461" spans="1:23" ht="12.75" customHeight="1" x14ac:dyDescent="0.2">
      <c r="A461" s="4"/>
      <c r="B461" s="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4"/>
      <c r="S461" s="4"/>
      <c r="T461" s="4"/>
      <c r="U461" s="4"/>
      <c r="V461" s="4"/>
      <c r="W461" s="4"/>
    </row>
    <row r="462" spans="1:23" ht="12.75" customHeight="1" x14ac:dyDescent="0.2">
      <c r="A462" s="4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4"/>
      <c r="S462" s="4"/>
      <c r="T462" s="4"/>
      <c r="U462" s="4"/>
      <c r="V462" s="4"/>
      <c r="W462" s="4"/>
    </row>
    <row r="463" spans="1:23" ht="12.75" customHeight="1" x14ac:dyDescent="0.2">
      <c r="A463" s="4"/>
      <c r="B463" s="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4"/>
      <c r="S463" s="4"/>
      <c r="T463" s="4"/>
      <c r="U463" s="4"/>
      <c r="V463" s="4"/>
      <c r="W463" s="4"/>
    </row>
    <row r="464" spans="1:23" ht="12.75" customHeight="1" x14ac:dyDescent="0.2">
      <c r="A464" s="4"/>
      <c r="B464" s="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4"/>
      <c r="S464" s="4"/>
      <c r="T464" s="4"/>
      <c r="U464" s="4"/>
      <c r="V464" s="4"/>
      <c r="W464" s="4"/>
    </row>
    <row r="465" spans="1:23" ht="12.75" customHeight="1" x14ac:dyDescent="0.2">
      <c r="A465" s="4"/>
      <c r="B465" s="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4"/>
      <c r="S465" s="4"/>
      <c r="T465" s="4"/>
      <c r="U465" s="4"/>
      <c r="V465" s="4"/>
      <c r="W465" s="4"/>
    </row>
    <row r="466" spans="1:23" ht="12.75" customHeight="1" x14ac:dyDescent="0.2">
      <c r="A466" s="4"/>
      <c r="B466" s="4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4"/>
      <c r="S466" s="4"/>
      <c r="T466" s="4"/>
      <c r="U466" s="4"/>
      <c r="V466" s="4"/>
      <c r="W466" s="4"/>
    </row>
    <row r="467" spans="1:23" ht="12.75" customHeight="1" x14ac:dyDescent="0.2">
      <c r="A467" s="4"/>
      <c r="B467" s="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4"/>
      <c r="S467" s="4"/>
      <c r="T467" s="4"/>
      <c r="U467" s="4"/>
      <c r="V467" s="4"/>
      <c r="W467" s="4"/>
    </row>
    <row r="468" spans="1:23" ht="12.75" customHeight="1" x14ac:dyDescent="0.2">
      <c r="A468" s="4"/>
      <c r="B468" s="4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4"/>
      <c r="S468" s="4"/>
      <c r="T468" s="4"/>
      <c r="U468" s="4"/>
      <c r="V468" s="4"/>
      <c r="W468" s="4"/>
    </row>
    <row r="469" spans="1:23" ht="12.75" customHeight="1" x14ac:dyDescent="0.2">
      <c r="A469" s="4"/>
      <c r="B469" s="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4"/>
      <c r="S469" s="4"/>
      <c r="T469" s="4"/>
      <c r="U469" s="4"/>
      <c r="V469" s="4"/>
      <c r="W469" s="4"/>
    </row>
    <row r="470" spans="1:23" ht="12.75" customHeight="1" x14ac:dyDescent="0.2">
      <c r="A470" s="4"/>
      <c r="B470" s="4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4"/>
      <c r="S470" s="4"/>
      <c r="T470" s="4"/>
      <c r="U470" s="4"/>
      <c r="V470" s="4"/>
      <c r="W470" s="4"/>
    </row>
    <row r="471" spans="1:23" ht="12.75" customHeight="1" x14ac:dyDescent="0.2">
      <c r="A471" s="4"/>
      <c r="B471" s="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4"/>
      <c r="S471" s="4"/>
      <c r="T471" s="4"/>
      <c r="U471" s="4"/>
      <c r="V471" s="4"/>
      <c r="W471" s="4"/>
    </row>
    <row r="472" spans="1:23" ht="12.75" customHeight="1" x14ac:dyDescent="0.2">
      <c r="A472" s="4"/>
      <c r="B472" s="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4"/>
      <c r="S472" s="4"/>
      <c r="T472" s="4"/>
      <c r="U472" s="4"/>
      <c r="V472" s="4"/>
      <c r="W472" s="4"/>
    </row>
    <row r="473" spans="1:23" ht="12.75" customHeight="1" x14ac:dyDescent="0.2">
      <c r="A473" s="4"/>
      <c r="B473" s="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4"/>
      <c r="S473" s="4"/>
      <c r="T473" s="4"/>
      <c r="U473" s="4"/>
      <c r="V473" s="4"/>
      <c r="W473" s="4"/>
    </row>
    <row r="474" spans="1:23" ht="12.75" customHeight="1" x14ac:dyDescent="0.2">
      <c r="A474" s="4"/>
      <c r="B474" s="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4"/>
      <c r="S474" s="4"/>
      <c r="T474" s="4"/>
      <c r="U474" s="4"/>
      <c r="V474" s="4"/>
      <c r="W474" s="4"/>
    </row>
    <row r="475" spans="1:23" ht="12.75" customHeight="1" x14ac:dyDescent="0.2">
      <c r="A475" s="4"/>
      <c r="B475" s="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4"/>
      <c r="S475" s="4"/>
      <c r="T475" s="4"/>
      <c r="U475" s="4"/>
      <c r="V475" s="4"/>
      <c r="W475" s="4"/>
    </row>
    <row r="476" spans="1:23" ht="12.75" customHeight="1" x14ac:dyDescent="0.2">
      <c r="A476" s="4"/>
      <c r="B476" s="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4"/>
      <c r="S476" s="4"/>
      <c r="T476" s="4"/>
      <c r="U476" s="4"/>
      <c r="V476" s="4"/>
      <c r="W476" s="4"/>
    </row>
    <row r="477" spans="1:23" ht="12.75" customHeight="1" x14ac:dyDescent="0.2">
      <c r="A477" s="4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4"/>
      <c r="S477" s="4"/>
      <c r="T477" s="4"/>
      <c r="U477" s="4"/>
      <c r="V477" s="4"/>
      <c r="W477" s="4"/>
    </row>
    <row r="478" spans="1:23" ht="12.75" customHeight="1" x14ac:dyDescent="0.2">
      <c r="A478" s="4"/>
      <c r="B478" s="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4"/>
      <c r="S478" s="4"/>
      <c r="T478" s="4"/>
      <c r="U478" s="4"/>
      <c r="V478" s="4"/>
      <c r="W478" s="4"/>
    </row>
    <row r="479" spans="1:23" ht="12.75" customHeight="1" x14ac:dyDescent="0.2">
      <c r="A479" s="4"/>
      <c r="B479" s="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4"/>
      <c r="S479" s="4"/>
      <c r="T479" s="4"/>
      <c r="U479" s="4"/>
      <c r="V479" s="4"/>
      <c r="W479" s="4"/>
    </row>
    <row r="480" spans="1:23" ht="12.75" customHeight="1" x14ac:dyDescent="0.2">
      <c r="A480" s="4"/>
      <c r="B480" s="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4"/>
      <c r="S480" s="4"/>
      <c r="T480" s="4"/>
      <c r="U480" s="4"/>
      <c r="V480" s="4"/>
      <c r="W480" s="4"/>
    </row>
    <row r="481" spans="1:23" ht="12.75" customHeight="1" x14ac:dyDescent="0.2">
      <c r="A481" s="4"/>
      <c r="B481" s="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4"/>
      <c r="S481" s="4"/>
      <c r="T481" s="4"/>
      <c r="U481" s="4"/>
      <c r="V481" s="4"/>
      <c r="W481" s="4"/>
    </row>
    <row r="482" spans="1:23" ht="12.75" customHeight="1" x14ac:dyDescent="0.2">
      <c r="A482" s="4"/>
      <c r="B482" s="4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4"/>
      <c r="S482" s="4"/>
      <c r="T482" s="4"/>
      <c r="U482" s="4"/>
      <c r="V482" s="4"/>
      <c r="W482" s="4"/>
    </row>
    <row r="483" spans="1:23" ht="12.75" customHeight="1" x14ac:dyDescent="0.2">
      <c r="A483" s="4"/>
      <c r="B483" s="4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4"/>
      <c r="S483" s="4"/>
      <c r="T483" s="4"/>
      <c r="U483" s="4"/>
      <c r="V483" s="4"/>
      <c r="W483" s="4"/>
    </row>
    <row r="484" spans="1:23" ht="12.75" customHeight="1" x14ac:dyDescent="0.2">
      <c r="A484" s="4"/>
      <c r="B484" s="4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4"/>
      <c r="S484" s="4"/>
      <c r="T484" s="4"/>
      <c r="U484" s="4"/>
      <c r="V484" s="4"/>
      <c r="W484" s="4"/>
    </row>
    <row r="485" spans="1:23" ht="12.75" customHeight="1" x14ac:dyDescent="0.2">
      <c r="A485" s="4"/>
      <c r="B485" s="4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4"/>
      <c r="S485" s="4"/>
      <c r="T485" s="4"/>
      <c r="U485" s="4"/>
      <c r="V485" s="4"/>
      <c r="W485" s="4"/>
    </row>
    <row r="486" spans="1:23" ht="12.75" customHeight="1" x14ac:dyDescent="0.2">
      <c r="A486" s="4"/>
      <c r="B486" s="4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4"/>
      <c r="S486" s="4"/>
      <c r="T486" s="4"/>
      <c r="U486" s="4"/>
      <c r="V486" s="4"/>
      <c r="W486" s="4"/>
    </row>
    <row r="487" spans="1:23" ht="12.75" customHeight="1" x14ac:dyDescent="0.2">
      <c r="A487" s="4"/>
      <c r="B487" s="4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4"/>
      <c r="S487" s="4"/>
      <c r="T487" s="4"/>
      <c r="U487" s="4"/>
      <c r="V487" s="4"/>
      <c r="W487" s="4"/>
    </row>
    <row r="488" spans="1:23" ht="12.75" customHeight="1" x14ac:dyDescent="0.2">
      <c r="A488" s="4"/>
      <c r="B488" s="4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4"/>
      <c r="S488" s="4"/>
      <c r="T488" s="4"/>
      <c r="U488" s="4"/>
      <c r="V488" s="4"/>
      <c r="W488" s="4"/>
    </row>
    <row r="489" spans="1:23" ht="12.75" customHeight="1" x14ac:dyDescent="0.2">
      <c r="A489" s="4"/>
      <c r="B489" s="4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4"/>
      <c r="S489" s="4"/>
      <c r="T489" s="4"/>
      <c r="U489" s="4"/>
      <c r="V489" s="4"/>
      <c r="W489" s="4"/>
    </row>
    <row r="490" spans="1:23" ht="12.75" customHeight="1" x14ac:dyDescent="0.2">
      <c r="A490" s="4"/>
      <c r="B490" s="4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4"/>
      <c r="S490" s="4"/>
      <c r="T490" s="4"/>
      <c r="U490" s="4"/>
      <c r="V490" s="4"/>
      <c r="W490" s="4"/>
    </row>
    <row r="491" spans="1:23" ht="12.75" customHeight="1" x14ac:dyDescent="0.2">
      <c r="A491" s="4"/>
      <c r="B491" s="4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4"/>
      <c r="S491" s="4"/>
      <c r="T491" s="4"/>
      <c r="U491" s="4"/>
      <c r="V491" s="4"/>
      <c r="W491" s="4"/>
    </row>
    <row r="492" spans="1:23" ht="12.75" customHeight="1" x14ac:dyDescent="0.2">
      <c r="A492" s="4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4"/>
      <c r="S492" s="4"/>
      <c r="T492" s="4"/>
      <c r="U492" s="4"/>
      <c r="V492" s="4"/>
      <c r="W492" s="4"/>
    </row>
    <row r="493" spans="1:23" ht="12.75" customHeight="1" x14ac:dyDescent="0.2">
      <c r="A493" s="4"/>
      <c r="B493" s="4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4"/>
      <c r="S493" s="4"/>
      <c r="T493" s="4"/>
      <c r="U493" s="4"/>
      <c r="V493" s="4"/>
      <c r="W493" s="4"/>
    </row>
    <row r="494" spans="1:23" ht="12.75" customHeight="1" x14ac:dyDescent="0.2">
      <c r="A494" s="4"/>
      <c r="B494" s="4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4"/>
      <c r="S494" s="4"/>
      <c r="T494" s="4"/>
      <c r="U494" s="4"/>
      <c r="V494" s="4"/>
      <c r="W494" s="4"/>
    </row>
    <row r="495" spans="1:23" ht="12.75" customHeight="1" x14ac:dyDescent="0.2">
      <c r="A495" s="4"/>
      <c r="B495" s="4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4"/>
      <c r="S495" s="4"/>
      <c r="T495" s="4"/>
      <c r="U495" s="4"/>
      <c r="V495" s="4"/>
      <c r="W495" s="4"/>
    </row>
    <row r="496" spans="1:23" ht="12.75" customHeight="1" x14ac:dyDescent="0.2">
      <c r="A496" s="4"/>
      <c r="B496" s="4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4"/>
      <c r="S496" s="4"/>
      <c r="T496" s="4"/>
      <c r="U496" s="4"/>
      <c r="V496" s="4"/>
      <c r="W496" s="4"/>
    </row>
    <row r="497" spans="1:23" ht="12.75" customHeight="1" x14ac:dyDescent="0.2">
      <c r="A497" s="4"/>
      <c r="B497" s="4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4"/>
      <c r="S497" s="4"/>
      <c r="T497" s="4"/>
      <c r="U497" s="4"/>
      <c r="V497" s="4"/>
      <c r="W497" s="4"/>
    </row>
    <row r="498" spans="1:23" ht="12.75" customHeight="1" x14ac:dyDescent="0.2">
      <c r="A498" s="4"/>
      <c r="B498" s="4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4"/>
      <c r="S498" s="4"/>
      <c r="T498" s="4"/>
      <c r="U498" s="4"/>
      <c r="V498" s="4"/>
      <c r="W498" s="4"/>
    </row>
    <row r="499" spans="1:23" ht="12.75" customHeight="1" x14ac:dyDescent="0.2">
      <c r="A499" s="4"/>
      <c r="B499" s="4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4"/>
      <c r="S499" s="4"/>
      <c r="T499" s="4"/>
      <c r="U499" s="4"/>
      <c r="V499" s="4"/>
      <c r="W499" s="4"/>
    </row>
    <row r="500" spans="1:23" ht="12.75" customHeight="1" x14ac:dyDescent="0.2">
      <c r="A500" s="4"/>
      <c r="B500" s="4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4"/>
      <c r="S500" s="4"/>
      <c r="T500" s="4"/>
      <c r="U500" s="4"/>
      <c r="V500" s="4"/>
      <c r="W500" s="4"/>
    </row>
    <row r="501" spans="1:23" ht="12.75" customHeight="1" x14ac:dyDescent="0.2">
      <c r="A501" s="4"/>
      <c r="B501" s="4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4"/>
      <c r="S501" s="4"/>
      <c r="T501" s="4"/>
      <c r="U501" s="4"/>
      <c r="V501" s="4"/>
      <c r="W501" s="4"/>
    </row>
    <row r="502" spans="1:23" ht="12.75" customHeight="1" x14ac:dyDescent="0.2">
      <c r="A502" s="4"/>
      <c r="B502" s="4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4"/>
      <c r="S502" s="4"/>
      <c r="T502" s="4"/>
      <c r="U502" s="4"/>
      <c r="V502" s="4"/>
      <c r="W502" s="4"/>
    </row>
    <row r="503" spans="1:23" ht="12.75" customHeight="1" x14ac:dyDescent="0.2">
      <c r="A503" s="4"/>
      <c r="B503" s="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4"/>
      <c r="S503" s="4"/>
      <c r="T503" s="4"/>
      <c r="U503" s="4"/>
      <c r="V503" s="4"/>
      <c r="W503" s="4"/>
    </row>
    <row r="504" spans="1:23" ht="12.75" customHeight="1" x14ac:dyDescent="0.2">
      <c r="A504" s="4"/>
      <c r="B504" s="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4"/>
      <c r="S504" s="4"/>
      <c r="T504" s="4"/>
      <c r="U504" s="4"/>
      <c r="V504" s="4"/>
      <c r="W504" s="4"/>
    </row>
    <row r="505" spans="1:23" ht="12.75" customHeight="1" x14ac:dyDescent="0.2">
      <c r="A505" s="4"/>
      <c r="B505" s="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4"/>
      <c r="S505" s="4"/>
      <c r="T505" s="4"/>
      <c r="U505" s="4"/>
      <c r="V505" s="4"/>
      <c r="W505" s="4"/>
    </row>
    <row r="506" spans="1:23" ht="12.75" customHeight="1" x14ac:dyDescent="0.2">
      <c r="A506" s="4"/>
      <c r="B506" s="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4"/>
      <c r="S506" s="4"/>
      <c r="T506" s="4"/>
      <c r="U506" s="4"/>
      <c r="V506" s="4"/>
      <c r="W506" s="4"/>
    </row>
    <row r="507" spans="1:23" ht="12.75" customHeight="1" x14ac:dyDescent="0.2">
      <c r="A507" s="4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4"/>
      <c r="S507" s="4"/>
      <c r="T507" s="4"/>
      <c r="U507" s="4"/>
      <c r="V507" s="4"/>
      <c r="W507" s="4"/>
    </row>
    <row r="508" spans="1:23" ht="12.75" customHeight="1" x14ac:dyDescent="0.2">
      <c r="A508" s="4"/>
      <c r="B508" s="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4"/>
      <c r="S508" s="4"/>
      <c r="T508" s="4"/>
      <c r="U508" s="4"/>
      <c r="V508" s="4"/>
      <c r="W508" s="4"/>
    </row>
    <row r="509" spans="1:23" ht="12.75" customHeight="1" x14ac:dyDescent="0.2">
      <c r="A509" s="4"/>
      <c r="B509" s="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4"/>
      <c r="S509" s="4"/>
      <c r="T509" s="4"/>
      <c r="U509" s="4"/>
      <c r="V509" s="4"/>
      <c r="W509" s="4"/>
    </row>
    <row r="510" spans="1:23" ht="12.75" customHeight="1" x14ac:dyDescent="0.2">
      <c r="A510" s="4"/>
      <c r="B510" s="4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4"/>
      <c r="S510" s="4"/>
      <c r="T510" s="4"/>
      <c r="U510" s="4"/>
      <c r="V510" s="4"/>
      <c r="W510" s="4"/>
    </row>
    <row r="511" spans="1:23" ht="12.75" customHeight="1" x14ac:dyDescent="0.2">
      <c r="A511" s="4"/>
      <c r="B511" s="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4"/>
      <c r="S511" s="4"/>
      <c r="T511" s="4"/>
      <c r="U511" s="4"/>
      <c r="V511" s="4"/>
      <c r="W511" s="4"/>
    </row>
    <row r="512" spans="1:23" ht="12.75" customHeight="1" x14ac:dyDescent="0.2">
      <c r="A512" s="4"/>
      <c r="B512" s="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4"/>
      <c r="S512" s="4"/>
      <c r="T512" s="4"/>
      <c r="U512" s="4"/>
      <c r="V512" s="4"/>
      <c r="W512" s="4"/>
    </row>
    <row r="513" spans="1:23" ht="12.75" customHeight="1" x14ac:dyDescent="0.2">
      <c r="A513" s="4"/>
      <c r="B513" s="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4"/>
      <c r="S513" s="4"/>
      <c r="T513" s="4"/>
      <c r="U513" s="4"/>
      <c r="V513" s="4"/>
      <c r="W513" s="4"/>
    </row>
    <row r="514" spans="1:23" ht="12.75" customHeight="1" x14ac:dyDescent="0.2">
      <c r="A514" s="4"/>
      <c r="B514" s="4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4"/>
      <c r="S514" s="4"/>
      <c r="T514" s="4"/>
      <c r="U514" s="4"/>
      <c r="V514" s="4"/>
      <c r="W514" s="4"/>
    </row>
    <row r="515" spans="1:23" ht="12.75" customHeight="1" x14ac:dyDescent="0.2">
      <c r="A515" s="4"/>
      <c r="B515" s="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4"/>
      <c r="S515" s="4"/>
      <c r="T515" s="4"/>
      <c r="U515" s="4"/>
      <c r="V515" s="4"/>
      <c r="W515" s="4"/>
    </row>
    <row r="516" spans="1:23" ht="12.75" customHeight="1" x14ac:dyDescent="0.2">
      <c r="A516" s="4"/>
      <c r="B516" s="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4"/>
      <c r="S516" s="4"/>
      <c r="T516" s="4"/>
      <c r="U516" s="4"/>
      <c r="V516" s="4"/>
      <c r="W516" s="4"/>
    </row>
    <row r="517" spans="1:23" ht="12.75" customHeight="1" x14ac:dyDescent="0.2">
      <c r="A517" s="4"/>
      <c r="B517" s="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4"/>
      <c r="S517" s="4"/>
      <c r="T517" s="4"/>
      <c r="U517" s="4"/>
      <c r="V517" s="4"/>
      <c r="W517" s="4"/>
    </row>
    <row r="518" spans="1:23" ht="12.75" customHeight="1" x14ac:dyDescent="0.2">
      <c r="A518" s="4"/>
      <c r="B518" s="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4"/>
      <c r="S518" s="4"/>
      <c r="T518" s="4"/>
      <c r="U518" s="4"/>
      <c r="V518" s="4"/>
      <c r="W518" s="4"/>
    </row>
    <row r="519" spans="1:23" ht="12.75" customHeight="1" x14ac:dyDescent="0.2">
      <c r="A519" s="4"/>
      <c r="B519" s="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4"/>
      <c r="S519" s="4"/>
      <c r="T519" s="4"/>
      <c r="U519" s="4"/>
      <c r="V519" s="4"/>
      <c r="W519" s="4"/>
    </row>
    <row r="520" spans="1:23" ht="12.75" customHeight="1" x14ac:dyDescent="0.2">
      <c r="A520" s="4"/>
      <c r="B520" s="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4"/>
      <c r="S520" s="4"/>
      <c r="T520" s="4"/>
      <c r="U520" s="4"/>
      <c r="V520" s="4"/>
      <c r="W520" s="4"/>
    </row>
    <row r="521" spans="1:23" ht="12.75" customHeight="1" x14ac:dyDescent="0.2">
      <c r="A521" s="4"/>
      <c r="B521" s="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4"/>
      <c r="S521" s="4"/>
      <c r="T521" s="4"/>
      <c r="U521" s="4"/>
      <c r="V521" s="4"/>
      <c r="W521" s="4"/>
    </row>
    <row r="522" spans="1:23" ht="12.75" customHeight="1" x14ac:dyDescent="0.2">
      <c r="A522" s="4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4"/>
      <c r="S522" s="4"/>
      <c r="T522" s="4"/>
      <c r="U522" s="4"/>
      <c r="V522" s="4"/>
      <c r="W522" s="4"/>
    </row>
    <row r="523" spans="1:23" ht="12.75" customHeight="1" x14ac:dyDescent="0.2">
      <c r="A523" s="4"/>
      <c r="B523" s="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4"/>
      <c r="S523" s="4"/>
      <c r="T523" s="4"/>
      <c r="U523" s="4"/>
      <c r="V523" s="4"/>
      <c r="W523" s="4"/>
    </row>
    <row r="524" spans="1:23" ht="12.75" customHeight="1" x14ac:dyDescent="0.2">
      <c r="A524" s="4"/>
      <c r="B524" s="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4"/>
      <c r="S524" s="4"/>
      <c r="T524" s="4"/>
      <c r="U524" s="4"/>
      <c r="V524" s="4"/>
      <c r="W524" s="4"/>
    </row>
    <row r="525" spans="1:23" ht="12.75" customHeight="1" x14ac:dyDescent="0.2">
      <c r="A525" s="4"/>
      <c r="B525" s="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4"/>
      <c r="S525" s="4"/>
      <c r="T525" s="4"/>
      <c r="U525" s="4"/>
      <c r="V525" s="4"/>
      <c r="W525" s="4"/>
    </row>
    <row r="526" spans="1:23" ht="12.75" customHeight="1" x14ac:dyDescent="0.2">
      <c r="A526" s="4"/>
      <c r="B526" s="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4"/>
      <c r="S526" s="4"/>
      <c r="T526" s="4"/>
      <c r="U526" s="4"/>
      <c r="V526" s="4"/>
      <c r="W526" s="4"/>
    </row>
    <row r="527" spans="1:23" ht="12.75" customHeight="1" x14ac:dyDescent="0.2">
      <c r="A527" s="4"/>
      <c r="B527" s="4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4"/>
      <c r="S527" s="4"/>
      <c r="T527" s="4"/>
      <c r="U527" s="4"/>
      <c r="V527" s="4"/>
      <c r="W527" s="4"/>
    </row>
    <row r="528" spans="1:23" ht="12.75" customHeight="1" x14ac:dyDescent="0.2">
      <c r="A528" s="4"/>
      <c r="B528" s="4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4"/>
      <c r="S528" s="4"/>
      <c r="T528" s="4"/>
      <c r="U528" s="4"/>
      <c r="V528" s="4"/>
      <c r="W528" s="4"/>
    </row>
    <row r="529" spans="1:23" ht="12.75" customHeight="1" x14ac:dyDescent="0.2">
      <c r="A529" s="4"/>
      <c r="B529" s="4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4"/>
      <c r="S529" s="4"/>
      <c r="T529" s="4"/>
      <c r="U529" s="4"/>
      <c r="V529" s="4"/>
      <c r="W529" s="4"/>
    </row>
    <row r="530" spans="1:23" ht="12.75" customHeight="1" x14ac:dyDescent="0.2">
      <c r="A530" s="4"/>
      <c r="B530" s="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4"/>
      <c r="S530" s="4"/>
      <c r="T530" s="4"/>
      <c r="U530" s="4"/>
      <c r="V530" s="4"/>
      <c r="W530" s="4"/>
    </row>
    <row r="531" spans="1:23" ht="12.75" customHeight="1" x14ac:dyDescent="0.2">
      <c r="A531" s="4"/>
      <c r="B531" s="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4"/>
      <c r="S531" s="4"/>
      <c r="T531" s="4"/>
      <c r="U531" s="4"/>
      <c r="V531" s="4"/>
      <c r="W531" s="4"/>
    </row>
    <row r="532" spans="1:23" ht="12.75" customHeight="1" x14ac:dyDescent="0.2">
      <c r="A532" s="4"/>
      <c r="B532" s="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4"/>
      <c r="S532" s="4"/>
      <c r="T532" s="4"/>
      <c r="U532" s="4"/>
      <c r="V532" s="4"/>
      <c r="W532" s="4"/>
    </row>
    <row r="533" spans="1:23" ht="12.75" customHeight="1" x14ac:dyDescent="0.2">
      <c r="A533" s="4"/>
      <c r="B533" s="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4"/>
      <c r="S533" s="4"/>
      <c r="T533" s="4"/>
      <c r="U533" s="4"/>
      <c r="V533" s="4"/>
      <c r="W533" s="4"/>
    </row>
    <row r="534" spans="1:23" ht="12.75" customHeight="1" x14ac:dyDescent="0.2">
      <c r="A534" s="4"/>
      <c r="B534" s="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4"/>
      <c r="S534" s="4"/>
      <c r="T534" s="4"/>
      <c r="U534" s="4"/>
      <c r="V534" s="4"/>
      <c r="W534" s="4"/>
    </row>
    <row r="535" spans="1:23" ht="12.75" customHeight="1" x14ac:dyDescent="0.2">
      <c r="A535" s="4"/>
      <c r="B535" s="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4"/>
      <c r="S535" s="4"/>
      <c r="T535" s="4"/>
      <c r="U535" s="4"/>
      <c r="V535" s="4"/>
      <c r="W535" s="4"/>
    </row>
    <row r="536" spans="1:23" ht="12.75" customHeight="1" x14ac:dyDescent="0.2">
      <c r="A536" s="4"/>
      <c r="B536" s="4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4"/>
      <c r="S536" s="4"/>
      <c r="T536" s="4"/>
      <c r="U536" s="4"/>
      <c r="V536" s="4"/>
      <c r="W536" s="4"/>
    </row>
    <row r="537" spans="1:23" ht="12.75" customHeight="1" x14ac:dyDescent="0.2">
      <c r="A537" s="4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4"/>
      <c r="S537" s="4"/>
      <c r="T537" s="4"/>
      <c r="U537" s="4"/>
      <c r="V537" s="4"/>
      <c r="W537" s="4"/>
    </row>
    <row r="538" spans="1:23" ht="12.75" customHeight="1" x14ac:dyDescent="0.2">
      <c r="A538" s="4"/>
      <c r="B538" s="4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4"/>
      <c r="S538" s="4"/>
      <c r="T538" s="4"/>
      <c r="U538" s="4"/>
      <c r="V538" s="4"/>
      <c r="W538" s="4"/>
    </row>
    <row r="539" spans="1:23" ht="12.75" customHeight="1" x14ac:dyDescent="0.2">
      <c r="A539" s="4"/>
      <c r="B539" s="4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4"/>
      <c r="S539" s="4"/>
      <c r="T539" s="4"/>
      <c r="U539" s="4"/>
      <c r="V539" s="4"/>
      <c r="W539" s="4"/>
    </row>
    <row r="540" spans="1:23" ht="12.75" customHeight="1" x14ac:dyDescent="0.2">
      <c r="A540" s="4"/>
      <c r="B540" s="4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4"/>
      <c r="S540" s="4"/>
      <c r="T540" s="4"/>
      <c r="U540" s="4"/>
      <c r="V540" s="4"/>
      <c r="W540" s="4"/>
    </row>
    <row r="541" spans="1:23" ht="12.75" customHeight="1" x14ac:dyDescent="0.2">
      <c r="A541" s="4"/>
      <c r="B541" s="4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4"/>
      <c r="S541" s="4"/>
      <c r="T541" s="4"/>
      <c r="U541" s="4"/>
      <c r="V541" s="4"/>
      <c r="W541" s="4"/>
    </row>
    <row r="542" spans="1:23" ht="12.75" customHeight="1" x14ac:dyDescent="0.2">
      <c r="A542" s="4"/>
      <c r="B542" s="4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4"/>
      <c r="S542" s="4"/>
      <c r="T542" s="4"/>
      <c r="U542" s="4"/>
      <c r="V542" s="4"/>
      <c r="W542" s="4"/>
    </row>
    <row r="543" spans="1:23" ht="12.75" customHeight="1" x14ac:dyDescent="0.2">
      <c r="A543" s="4"/>
      <c r="B543" s="4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4"/>
      <c r="S543" s="4"/>
      <c r="T543" s="4"/>
      <c r="U543" s="4"/>
      <c r="V543" s="4"/>
      <c r="W543" s="4"/>
    </row>
    <row r="544" spans="1:23" ht="12.75" customHeight="1" x14ac:dyDescent="0.2">
      <c r="A544" s="4"/>
      <c r="B544" s="4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4"/>
      <c r="S544" s="4"/>
      <c r="T544" s="4"/>
      <c r="U544" s="4"/>
      <c r="V544" s="4"/>
      <c r="W544" s="4"/>
    </row>
    <row r="545" spans="1:23" ht="12.75" customHeight="1" x14ac:dyDescent="0.2">
      <c r="A545" s="4"/>
      <c r="B545" s="4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4"/>
      <c r="S545" s="4"/>
      <c r="T545" s="4"/>
      <c r="U545" s="4"/>
      <c r="V545" s="4"/>
      <c r="W545" s="4"/>
    </row>
    <row r="546" spans="1:23" ht="12.75" customHeight="1" x14ac:dyDescent="0.2">
      <c r="A546" s="4"/>
      <c r="B546" s="4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4"/>
      <c r="S546" s="4"/>
      <c r="T546" s="4"/>
      <c r="U546" s="4"/>
      <c r="V546" s="4"/>
      <c r="W546" s="4"/>
    </row>
    <row r="547" spans="1:23" ht="12.75" customHeight="1" x14ac:dyDescent="0.2">
      <c r="A547" s="4"/>
      <c r="B547" s="4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4"/>
      <c r="S547" s="4"/>
      <c r="T547" s="4"/>
      <c r="U547" s="4"/>
      <c r="V547" s="4"/>
      <c r="W547" s="4"/>
    </row>
    <row r="548" spans="1:23" ht="12.75" customHeight="1" x14ac:dyDescent="0.2">
      <c r="A548" s="4"/>
      <c r="B548" s="4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4"/>
      <c r="S548" s="4"/>
      <c r="T548" s="4"/>
      <c r="U548" s="4"/>
      <c r="V548" s="4"/>
      <c r="W548" s="4"/>
    </row>
    <row r="549" spans="1:23" ht="12.75" customHeight="1" x14ac:dyDescent="0.2">
      <c r="A549" s="4"/>
      <c r="B549" s="4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4"/>
      <c r="S549" s="4"/>
      <c r="T549" s="4"/>
      <c r="U549" s="4"/>
      <c r="V549" s="4"/>
      <c r="W549" s="4"/>
    </row>
    <row r="550" spans="1:23" ht="12.75" customHeight="1" x14ac:dyDescent="0.2">
      <c r="A550" s="4"/>
      <c r="B550" s="4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4"/>
      <c r="S550" s="4"/>
      <c r="T550" s="4"/>
      <c r="U550" s="4"/>
      <c r="V550" s="4"/>
      <c r="W550" s="4"/>
    </row>
    <row r="551" spans="1:23" ht="12.75" customHeight="1" x14ac:dyDescent="0.2">
      <c r="A551" s="4"/>
      <c r="B551" s="4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4"/>
      <c r="S551" s="4"/>
      <c r="T551" s="4"/>
      <c r="U551" s="4"/>
      <c r="V551" s="4"/>
      <c r="W551" s="4"/>
    </row>
    <row r="552" spans="1:23" ht="12.75" customHeight="1" x14ac:dyDescent="0.2">
      <c r="A552" s="4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4"/>
      <c r="S552" s="4"/>
      <c r="T552" s="4"/>
      <c r="U552" s="4"/>
      <c r="V552" s="4"/>
      <c r="W552" s="4"/>
    </row>
    <row r="553" spans="1:23" ht="12.75" customHeight="1" x14ac:dyDescent="0.2">
      <c r="A553" s="4"/>
      <c r="B553" s="4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4"/>
      <c r="S553" s="4"/>
      <c r="T553" s="4"/>
      <c r="U553" s="4"/>
      <c r="V553" s="4"/>
      <c r="W553" s="4"/>
    </row>
    <row r="554" spans="1:23" ht="12.75" customHeight="1" x14ac:dyDescent="0.2">
      <c r="A554" s="4"/>
      <c r="B554" s="4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4"/>
      <c r="S554" s="4"/>
      <c r="T554" s="4"/>
      <c r="U554" s="4"/>
      <c r="V554" s="4"/>
      <c r="W554" s="4"/>
    </row>
    <row r="555" spans="1:23" ht="12.75" customHeight="1" x14ac:dyDescent="0.2">
      <c r="A555" s="4"/>
      <c r="B555" s="4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4"/>
      <c r="S555" s="4"/>
      <c r="T555" s="4"/>
      <c r="U555" s="4"/>
      <c r="V555" s="4"/>
      <c r="W555" s="4"/>
    </row>
    <row r="556" spans="1:23" ht="12.75" customHeight="1" x14ac:dyDescent="0.2">
      <c r="A556" s="4"/>
      <c r="B556" s="4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4"/>
      <c r="S556" s="4"/>
      <c r="T556" s="4"/>
      <c r="U556" s="4"/>
      <c r="V556" s="4"/>
      <c r="W556" s="4"/>
    </row>
    <row r="557" spans="1:23" ht="12.75" customHeight="1" x14ac:dyDescent="0.2">
      <c r="A557" s="4"/>
      <c r="B557" s="4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4"/>
      <c r="S557" s="4"/>
      <c r="T557" s="4"/>
      <c r="U557" s="4"/>
      <c r="V557" s="4"/>
      <c r="W557" s="4"/>
    </row>
    <row r="558" spans="1:23" ht="12.75" customHeight="1" x14ac:dyDescent="0.2">
      <c r="A558" s="4"/>
      <c r="B558" s="4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4"/>
      <c r="S558" s="4"/>
      <c r="T558" s="4"/>
      <c r="U558" s="4"/>
      <c r="V558" s="4"/>
      <c r="W558" s="4"/>
    </row>
    <row r="559" spans="1:23" ht="12.75" customHeight="1" x14ac:dyDescent="0.2">
      <c r="A559" s="4"/>
      <c r="B559" s="4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4"/>
      <c r="S559" s="4"/>
      <c r="T559" s="4"/>
      <c r="U559" s="4"/>
      <c r="V559" s="4"/>
      <c r="W559" s="4"/>
    </row>
    <row r="560" spans="1:23" ht="12.75" customHeight="1" x14ac:dyDescent="0.2">
      <c r="A560" s="4"/>
      <c r="B560" s="4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4"/>
      <c r="S560" s="4"/>
      <c r="T560" s="4"/>
      <c r="U560" s="4"/>
      <c r="V560" s="4"/>
      <c r="W560" s="4"/>
    </row>
    <row r="561" spans="1:23" ht="12.75" customHeight="1" x14ac:dyDescent="0.2">
      <c r="A561" s="4"/>
      <c r="B561" s="4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4"/>
      <c r="S561" s="4"/>
      <c r="T561" s="4"/>
      <c r="U561" s="4"/>
      <c r="V561" s="4"/>
      <c r="W561" s="4"/>
    </row>
    <row r="562" spans="1:23" ht="12.75" customHeight="1" x14ac:dyDescent="0.2">
      <c r="A562" s="4"/>
      <c r="B562" s="4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4"/>
      <c r="S562" s="4"/>
      <c r="T562" s="4"/>
      <c r="U562" s="4"/>
      <c r="V562" s="4"/>
      <c r="W562" s="4"/>
    </row>
    <row r="563" spans="1:23" ht="12.75" customHeight="1" x14ac:dyDescent="0.2">
      <c r="A563" s="4"/>
      <c r="B563" s="4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4"/>
      <c r="S563" s="4"/>
      <c r="T563" s="4"/>
      <c r="U563" s="4"/>
      <c r="V563" s="4"/>
      <c r="W563" s="4"/>
    </row>
    <row r="564" spans="1:23" ht="12.75" customHeight="1" x14ac:dyDescent="0.2">
      <c r="A564" s="4"/>
      <c r="B564" s="4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4"/>
      <c r="S564" s="4"/>
      <c r="T564" s="4"/>
      <c r="U564" s="4"/>
      <c r="V564" s="4"/>
      <c r="W564" s="4"/>
    </row>
    <row r="565" spans="1:23" ht="12.75" customHeight="1" x14ac:dyDescent="0.2">
      <c r="A565" s="4"/>
      <c r="B565" s="4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4"/>
      <c r="S565" s="4"/>
      <c r="T565" s="4"/>
      <c r="U565" s="4"/>
      <c r="V565" s="4"/>
      <c r="W565" s="4"/>
    </row>
    <row r="566" spans="1:23" ht="12.75" customHeight="1" x14ac:dyDescent="0.2">
      <c r="A566" s="4"/>
      <c r="B566" s="4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4"/>
      <c r="S566" s="4"/>
      <c r="T566" s="4"/>
      <c r="U566" s="4"/>
      <c r="V566" s="4"/>
      <c r="W566" s="4"/>
    </row>
    <row r="567" spans="1:23" ht="12.75" customHeight="1" x14ac:dyDescent="0.2">
      <c r="A567" s="4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4"/>
      <c r="S567" s="4"/>
      <c r="T567" s="4"/>
      <c r="U567" s="4"/>
      <c r="V567" s="4"/>
      <c r="W567" s="4"/>
    </row>
    <row r="568" spans="1:23" ht="12.75" customHeight="1" x14ac:dyDescent="0.2">
      <c r="A568" s="4"/>
      <c r="B568" s="4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4"/>
      <c r="S568" s="4"/>
      <c r="T568" s="4"/>
      <c r="U568" s="4"/>
      <c r="V568" s="4"/>
      <c r="W568" s="4"/>
    </row>
    <row r="569" spans="1:23" ht="12.75" customHeight="1" x14ac:dyDescent="0.2">
      <c r="A569" s="4"/>
      <c r="B569" s="4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4"/>
      <c r="S569" s="4"/>
      <c r="T569" s="4"/>
      <c r="U569" s="4"/>
      <c r="V569" s="4"/>
      <c r="W569" s="4"/>
    </row>
    <row r="570" spans="1:23" ht="12.75" customHeight="1" x14ac:dyDescent="0.2">
      <c r="A570" s="4"/>
      <c r="B570" s="4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4"/>
      <c r="S570" s="4"/>
      <c r="T570" s="4"/>
      <c r="U570" s="4"/>
      <c r="V570" s="4"/>
      <c r="W570" s="4"/>
    </row>
    <row r="571" spans="1:23" ht="12.75" customHeight="1" x14ac:dyDescent="0.2">
      <c r="A571" s="4"/>
      <c r="B571" s="4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4"/>
      <c r="S571" s="4"/>
      <c r="T571" s="4"/>
      <c r="U571" s="4"/>
      <c r="V571" s="4"/>
      <c r="W571" s="4"/>
    </row>
    <row r="572" spans="1:23" ht="12.75" customHeight="1" x14ac:dyDescent="0.2">
      <c r="A572" s="4"/>
      <c r="B572" s="4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4"/>
      <c r="S572" s="4"/>
      <c r="T572" s="4"/>
      <c r="U572" s="4"/>
      <c r="V572" s="4"/>
      <c r="W572" s="4"/>
    </row>
    <row r="573" spans="1:23" ht="12.75" customHeight="1" x14ac:dyDescent="0.2">
      <c r="A573" s="4"/>
      <c r="B573" s="4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4"/>
      <c r="S573" s="4"/>
      <c r="T573" s="4"/>
      <c r="U573" s="4"/>
      <c r="V573" s="4"/>
      <c r="W573" s="4"/>
    </row>
    <row r="574" spans="1:23" ht="12.75" customHeight="1" x14ac:dyDescent="0.2">
      <c r="A574" s="4"/>
      <c r="B574" s="4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4"/>
      <c r="S574" s="4"/>
      <c r="T574" s="4"/>
      <c r="U574" s="4"/>
      <c r="V574" s="4"/>
      <c r="W574" s="4"/>
    </row>
    <row r="575" spans="1:23" ht="12.75" customHeight="1" x14ac:dyDescent="0.2">
      <c r="A575" s="4"/>
      <c r="B575" s="4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4"/>
      <c r="S575" s="4"/>
      <c r="T575" s="4"/>
      <c r="U575" s="4"/>
      <c r="V575" s="4"/>
      <c r="W575" s="4"/>
    </row>
    <row r="576" spans="1:23" ht="12.75" customHeight="1" x14ac:dyDescent="0.2">
      <c r="A576" s="4"/>
      <c r="B576" s="4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4"/>
      <c r="S576" s="4"/>
      <c r="T576" s="4"/>
      <c r="U576" s="4"/>
      <c r="V576" s="4"/>
      <c r="W576" s="4"/>
    </row>
    <row r="577" spans="1:23" ht="12.75" customHeight="1" x14ac:dyDescent="0.2">
      <c r="A577" s="4"/>
      <c r="B577" s="4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4"/>
      <c r="S577" s="4"/>
      <c r="T577" s="4"/>
      <c r="U577" s="4"/>
      <c r="V577" s="4"/>
      <c r="W577" s="4"/>
    </row>
    <row r="578" spans="1:23" ht="12.75" customHeight="1" x14ac:dyDescent="0.2">
      <c r="A578" s="4"/>
      <c r="B578" s="4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4"/>
      <c r="S578" s="4"/>
      <c r="T578" s="4"/>
      <c r="U578" s="4"/>
      <c r="V578" s="4"/>
      <c r="W578" s="4"/>
    </row>
    <row r="579" spans="1:23" ht="12.75" customHeight="1" x14ac:dyDescent="0.2">
      <c r="A579" s="4"/>
      <c r="B579" s="4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4"/>
      <c r="S579" s="4"/>
      <c r="T579" s="4"/>
      <c r="U579" s="4"/>
      <c r="V579" s="4"/>
      <c r="W579" s="4"/>
    </row>
    <row r="580" spans="1:23" ht="12.75" customHeight="1" x14ac:dyDescent="0.2">
      <c r="A580" s="4"/>
      <c r="B580" s="4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4"/>
      <c r="S580" s="4"/>
      <c r="T580" s="4"/>
      <c r="U580" s="4"/>
      <c r="V580" s="4"/>
      <c r="W580" s="4"/>
    </row>
    <row r="581" spans="1:23" ht="12.75" customHeight="1" x14ac:dyDescent="0.2">
      <c r="A581" s="4"/>
      <c r="B581" s="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4"/>
      <c r="S581" s="4"/>
      <c r="T581" s="4"/>
      <c r="U581" s="4"/>
      <c r="V581" s="4"/>
      <c r="W581" s="4"/>
    </row>
    <row r="582" spans="1:23" ht="12.75" customHeight="1" x14ac:dyDescent="0.2">
      <c r="A582" s="4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4"/>
      <c r="S582" s="4"/>
      <c r="T582" s="4"/>
      <c r="U582" s="4"/>
      <c r="V582" s="4"/>
      <c r="W582" s="4"/>
    </row>
    <row r="583" spans="1:23" ht="12.75" customHeight="1" x14ac:dyDescent="0.2">
      <c r="A583" s="4"/>
      <c r="B583" s="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4"/>
      <c r="S583" s="4"/>
      <c r="T583" s="4"/>
      <c r="U583" s="4"/>
      <c r="V583" s="4"/>
      <c r="W583" s="4"/>
    </row>
    <row r="584" spans="1:23" ht="12.75" customHeight="1" x14ac:dyDescent="0.2">
      <c r="A584" s="4"/>
      <c r="B584" s="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4"/>
      <c r="S584" s="4"/>
      <c r="T584" s="4"/>
      <c r="U584" s="4"/>
      <c r="V584" s="4"/>
      <c r="W584" s="4"/>
    </row>
    <row r="585" spans="1:23" ht="12.75" customHeight="1" x14ac:dyDescent="0.2">
      <c r="A585" s="4"/>
      <c r="B585" s="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4"/>
      <c r="S585" s="4"/>
      <c r="T585" s="4"/>
      <c r="U585" s="4"/>
      <c r="V585" s="4"/>
      <c r="W585" s="4"/>
    </row>
    <row r="586" spans="1:23" ht="12.75" customHeight="1" x14ac:dyDescent="0.2">
      <c r="A586" s="4"/>
      <c r="B586" s="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4"/>
      <c r="S586" s="4"/>
      <c r="T586" s="4"/>
      <c r="U586" s="4"/>
      <c r="V586" s="4"/>
      <c r="W586" s="4"/>
    </row>
    <row r="587" spans="1:23" ht="12.75" customHeight="1" x14ac:dyDescent="0.2">
      <c r="A587" s="4"/>
      <c r="B587" s="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4"/>
      <c r="S587" s="4"/>
      <c r="T587" s="4"/>
      <c r="U587" s="4"/>
      <c r="V587" s="4"/>
      <c r="W587" s="4"/>
    </row>
    <row r="588" spans="1:23" ht="12.75" customHeight="1" x14ac:dyDescent="0.2">
      <c r="A588" s="4"/>
      <c r="B588" s="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4"/>
      <c r="S588" s="4"/>
      <c r="T588" s="4"/>
      <c r="U588" s="4"/>
      <c r="V588" s="4"/>
      <c r="W588" s="4"/>
    </row>
    <row r="589" spans="1:23" ht="12.75" customHeight="1" x14ac:dyDescent="0.2">
      <c r="A589" s="4"/>
      <c r="B589" s="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4"/>
      <c r="S589" s="4"/>
      <c r="T589" s="4"/>
      <c r="U589" s="4"/>
      <c r="V589" s="4"/>
      <c r="W589" s="4"/>
    </row>
    <row r="590" spans="1:23" ht="12.75" customHeight="1" x14ac:dyDescent="0.2">
      <c r="A590" s="4"/>
      <c r="B590" s="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4"/>
      <c r="S590" s="4"/>
      <c r="T590" s="4"/>
      <c r="U590" s="4"/>
      <c r="V590" s="4"/>
      <c r="W590" s="4"/>
    </row>
    <row r="591" spans="1:23" ht="12.75" customHeight="1" x14ac:dyDescent="0.2">
      <c r="A591" s="4"/>
      <c r="B591" s="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4"/>
      <c r="S591" s="4"/>
      <c r="T591" s="4"/>
      <c r="U591" s="4"/>
      <c r="V591" s="4"/>
      <c r="W591" s="4"/>
    </row>
    <row r="592" spans="1:23" ht="12.75" customHeight="1" x14ac:dyDescent="0.2">
      <c r="A592" s="4"/>
      <c r="B592" s="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4"/>
      <c r="S592" s="4"/>
      <c r="T592" s="4"/>
      <c r="U592" s="4"/>
      <c r="V592" s="4"/>
      <c r="W592" s="4"/>
    </row>
    <row r="593" spans="1:23" ht="12.75" customHeight="1" x14ac:dyDescent="0.2">
      <c r="A593" s="4"/>
      <c r="B593" s="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4"/>
      <c r="S593" s="4"/>
      <c r="T593" s="4"/>
      <c r="U593" s="4"/>
      <c r="V593" s="4"/>
      <c r="W593" s="4"/>
    </row>
    <row r="594" spans="1:23" ht="12.75" customHeight="1" x14ac:dyDescent="0.2">
      <c r="A594" s="4"/>
      <c r="B594" s="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4"/>
      <c r="S594" s="4"/>
      <c r="T594" s="4"/>
      <c r="U594" s="4"/>
      <c r="V594" s="4"/>
      <c r="W594" s="4"/>
    </row>
    <row r="595" spans="1:23" ht="12.75" customHeight="1" x14ac:dyDescent="0.2">
      <c r="A595" s="4"/>
      <c r="B595" s="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4"/>
      <c r="S595" s="4"/>
      <c r="T595" s="4"/>
      <c r="U595" s="4"/>
      <c r="V595" s="4"/>
      <c r="W595" s="4"/>
    </row>
    <row r="596" spans="1:23" ht="12.75" customHeight="1" x14ac:dyDescent="0.2">
      <c r="A596" s="4"/>
      <c r="B596" s="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4"/>
      <c r="S596" s="4"/>
      <c r="T596" s="4"/>
      <c r="U596" s="4"/>
      <c r="V596" s="4"/>
      <c r="W596" s="4"/>
    </row>
    <row r="597" spans="1:23" ht="12.75" customHeight="1" x14ac:dyDescent="0.2">
      <c r="A597" s="4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4"/>
      <c r="S597" s="4"/>
      <c r="T597" s="4"/>
      <c r="U597" s="4"/>
      <c r="V597" s="4"/>
      <c r="W597" s="4"/>
    </row>
    <row r="598" spans="1:23" ht="12.75" customHeight="1" x14ac:dyDescent="0.2">
      <c r="A598" s="4"/>
      <c r="B598" s="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4"/>
      <c r="S598" s="4"/>
      <c r="T598" s="4"/>
      <c r="U598" s="4"/>
      <c r="V598" s="4"/>
      <c r="W598" s="4"/>
    </row>
    <row r="599" spans="1:23" ht="12.75" customHeight="1" x14ac:dyDescent="0.2">
      <c r="A599" s="4"/>
      <c r="B599" s="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4"/>
      <c r="S599" s="4"/>
      <c r="T599" s="4"/>
      <c r="U599" s="4"/>
      <c r="V599" s="4"/>
      <c r="W599" s="4"/>
    </row>
    <row r="600" spans="1:23" ht="12.75" customHeight="1" x14ac:dyDescent="0.2">
      <c r="A600" s="4"/>
      <c r="B600" s="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4"/>
      <c r="S600" s="4"/>
      <c r="T600" s="4"/>
      <c r="U600" s="4"/>
      <c r="V600" s="4"/>
      <c r="W600" s="4"/>
    </row>
    <row r="601" spans="1:23" ht="12.75" customHeight="1" x14ac:dyDescent="0.2">
      <c r="A601" s="4"/>
      <c r="B601" s="4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4"/>
      <c r="S601" s="4"/>
      <c r="T601" s="4"/>
      <c r="U601" s="4"/>
      <c r="V601" s="4"/>
      <c r="W601" s="4"/>
    </row>
    <row r="602" spans="1:23" ht="12.75" customHeight="1" x14ac:dyDescent="0.2">
      <c r="A602" s="4"/>
      <c r="B602" s="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4"/>
      <c r="S602" s="4"/>
      <c r="T602" s="4"/>
      <c r="U602" s="4"/>
      <c r="V602" s="4"/>
      <c r="W602" s="4"/>
    </row>
    <row r="603" spans="1:23" ht="12.75" customHeight="1" x14ac:dyDescent="0.2">
      <c r="A603" s="4"/>
      <c r="B603" s="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4"/>
      <c r="S603" s="4"/>
      <c r="T603" s="4"/>
      <c r="U603" s="4"/>
      <c r="V603" s="4"/>
      <c r="W603" s="4"/>
    </row>
    <row r="604" spans="1:23" ht="12.75" customHeight="1" x14ac:dyDescent="0.2">
      <c r="A604" s="4"/>
      <c r="B604" s="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4"/>
      <c r="S604" s="4"/>
      <c r="T604" s="4"/>
      <c r="U604" s="4"/>
      <c r="V604" s="4"/>
      <c r="W604" s="4"/>
    </row>
    <row r="605" spans="1:23" ht="12.75" customHeight="1" x14ac:dyDescent="0.2">
      <c r="A605" s="4"/>
      <c r="B605" s="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4"/>
      <c r="S605" s="4"/>
      <c r="T605" s="4"/>
      <c r="U605" s="4"/>
      <c r="V605" s="4"/>
      <c r="W605" s="4"/>
    </row>
    <row r="606" spans="1:23" ht="12.75" customHeight="1" x14ac:dyDescent="0.2">
      <c r="A606" s="4"/>
      <c r="B606" s="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4"/>
      <c r="S606" s="4"/>
      <c r="T606" s="4"/>
      <c r="U606" s="4"/>
      <c r="V606" s="4"/>
      <c r="W606" s="4"/>
    </row>
    <row r="607" spans="1:23" ht="12.75" customHeight="1" x14ac:dyDescent="0.2">
      <c r="A607" s="4"/>
      <c r="B607" s="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4"/>
      <c r="S607" s="4"/>
      <c r="T607" s="4"/>
      <c r="U607" s="4"/>
      <c r="V607" s="4"/>
      <c r="W607" s="4"/>
    </row>
    <row r="608" spans="1:23" ht="12.75" customHeight="1" x14ac:dyDescent="0.2">
      <c r="A608" s="4"/>
      <c r="B608" s="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4"/>
      <c r="S608" s="4"/>
      <c r="T608" s="4"/>
      <c r="U608" s="4"/>
      <c r="V608" s="4"/>
      <c r="W608" s="4"/>
    </row>
    <row r="609" spans="1:23" ht="12.75" customHeight="1" x14ac:dyDescent="0.2">
      <c r="A609" s="4"/>
      <c r="B609" s="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4"/>
      <c r="S609" s="4"/>
      <c r="T609" s="4"/>
      <c r="U609" s="4"/>
      <c r="V609" s="4"/>
      <c r="W609" s="4"/>
    </row>
    <row r="610" spans="1:23" ht="12.75" customHeight="1" x14ac:dyDescent="0.2">
      <c r="A610" s="4"/>
      <c r="B610" s="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4"/>
      <c r="S610" s="4"/>
      <c r="T610" s="4"/>
      <c r="U610" s="4"/>
      <c r="V610" s="4"/>
      <c r="W610" s="4"/>
    </row>
    <row r="611" spans="1:23" ht="12.75" customHeight="1" x14ac:dyDescent="0.2">
      <c r="A611" s="4"/>
      <c r="B611" s="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4"/>
      <c r="S611" s="4"/>
      <c r="T611" s="4"/>
      <c r="U611" s="4"/>
      <c r="V611" s="4"/>
      <c r="W611" s="4"/>
    </row>
    <row r="612" spans="1:23" ht="12.75" customHeight="1" x14ac:dyDescent="0.2">
      <c r="A612" s="4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4"/>
      <c r="S612" s="4"/>
      <c r="T612" s="4"/>
      <c r="U612" s="4"/>
      <c r="V612" s="4"/>
      <c r="W612" s="4"/>
    </row>
    <row r="613" spans="1:23" ht="12.75" customHeight="1" x14ac:dyDescent="0.2">
      <c r="A613" s="4"/>
      <c r="B613" s="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4"/>
      <c r="S613" s="4"/>
      <c r="T613" s="4"/>
      <c r="U613" s="4"/>
      <c r="V613" s="4"/>
      <c r="W613" s="4"/>
    </row>
    <row r="614" spans="1:23" ht="12.75" customHeight="1" x14ac:dyDescent="0.2">
      <c r="A614" s="4"/>
      <c r="B614" s="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4"/>
      <c r="S614" s="4"/>
      <c r="T614" s="4"/>
      <c r="U614" s="4"/>
      <c r="V614" s="4"/>
      <c r="W614" s="4"/>
    </row>
    <row r="615" spans="1:23" ht="12.75" customHeight="1" x14ac:dyDescent="0.2">
      <c r="A615" s="4"/>
      <c r="B615" s="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4"/>
      <c r="S615" s="4"/>
      <c r="T615" s="4"/>
      <c r="U615" s="4"/>
      <c r="V615" s="4"/>
      <c r="W615" s="4"/>
    </row>
    <row r="616" spans="1:23" ht="12.75" customHeight="1" x14ac:dyDescent="0.2">
      <c r="A616" s="4"/>
      <c r="B616" s="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4"/>
      <c r="S616" s="4"/>
      <c r="T616" s="4"/>
      <c r="U616" s="4"/>
      <c r="V616" s="4"/>
      <c r="W616" s="4"/>
    </row>
    <row r="617" spans="1:23" ht="12.75" customHeight="1" x14ac:dyDescent="0.2">
      <c r="A617" s="4"/>
      <c r="B617" s="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4"/>
      <c r="S617" s="4"/>
      <c r="T617" s="4"/>
      <c r="U617" s="4"/>
      <c r="V617" s="4"/>
      <c r="W617" s="4"/>
    </row>
    <row r="618" spans="1:23" ht="12.75" customHeight="1" x14ac:dyDescent="0.2">
      <c r="A618" s="4"/>
      <c r="B618" s="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4"/>
      <c r="S618" s="4"/>
      <c r="T618" s="4"/>
      <c r="U618" s="4"/>
      <c r="V618" s="4"/>
      <c r="W618" s="4"/>
    </row>
    <row r="619" spans="1:23" ht="12.75" customHeight="1" x14ac:dyDescent="0.2">
      <c r="A619" s="4"/>
      <c r="B619" s="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4"/>
      <c r="S619" s="4"/>
      <c r="T619" s="4"/>
      <c r="U619" s="4"/>
      <c r="V619" s="4"/>
      <c r="W619" s="4"/>
    </row>
    <row r="620" spans="1:23" ht="12.75" customHeight="1" x14ac:dyDescent="0.2">
      <c r="A620" s="4"/>
      <c r="B620" s="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4"/>
      <c r="S620" s="4"/>
      <c r="T620" s="4"/>
      <c r="U620" s="4"/>
      <c r="V620" s="4"/>
      <c r="W620" s="4"/>
    </row>
    <row r="621" spans="1:23" ht="12.75" customHeight="1" x14ac:dyDescent="0.2">
      <c r="A621" s="4"/>
      <c r="B621" s="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4"/>
      <c r="S621" s="4"/>
      <c r="T621" s="4"/>
      <c r="U621" s="4"/>
      <c r="V621" s="4"/>
      <c r="W621" s="4"/>
    </row>
    <row r="622" spans="1:23" ht="12.75" customHeight="1" x14ac:dyDescent="0.2">
      <c r="A622" s="4"/>
      <c r="B622" s="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4"/>
      <c r="S622" s="4"/>
      <c r="T622" s="4"/>
      <c r="U622" s="4"/>
      <c r="V622" s="4"/>
      <c r="W622" s="4"/>
    </row>
    <row r="623" spans="1:23" ht="12.75" customHeight="1" x14ac:dyDescent="0.2">
      <c r="A623" s="4"/>
      <c r="B623" s="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4"/>
      <c r="S623" s="4"/>
      <c r="T623" s="4"/>
      <c r="U623" s="4"/>
      <c r="V623" s="4"/>
      <c r="W623" s="4"/>
    </row>
    <row r="624" spans="1:23" ht="12.75" customHeight="1" x14ac:dyDescent="0.2">
      <c r="A624" s="4"/>
      <c r="B624" s="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4"/>
      <c r="S624" s="4"/>
      <c r="T624" s="4"/>
      <c r="U624" s="4"/>
      <c r="V624" s="4"/>
      <c r="W624" s="4"/>
    </row>
    <row r="625" spans="1:23" ht="12.75" customHeight="1" x14ac:dyDescent="0.2">
      <c r="A625" s="4"/>
      <c r="B625" s="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4"/>
      <c r="S625" s="4"/>
      <c r="T625" s="4"/>
      <c r="U625" s="4"/>
      <c r="V625" s="4"/>
      <c r="W625" s="4"/>
    </row>
    <row r="626" spans="1:23" ht="12.75" customHeight="1" x14ac:dyDescent="0.2">
      <c r="A626" s="4"/>
      <c r="B626" s="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4"/>
      <c r="S626" s="4"/>
      <c r="T626" s="4"/>
      <c r="U626" s="4"/>
      <c r="V626" s="4"/>
      <c r="W626" s="4"/>
    </row>
    <row r="627" spans="1:23" ht="12.75" customHeight="1" x14ac:dyDescent="0.2">
      <c r="A627" s="4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4"/>
      <c r="S627" s="4"/>
      <c r="T627" s="4"/>
      <c r="U627" s="4"/>
      <c r="V627" s="4"/>
      <c r="W627" s="4"/>
    </row>
    <row r="628" spans="1:23" ht="12.75" customHeight="1" x14ac:dyDescent="0.2">
      <c r="A628" s="4"/>
      <c r="B628" s="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4"/>
      <c r="S628" s="4"/>
      <c r="T628" s="4"/>
      <c r="U628" s="4"/>
      <c r="V628" s="4"/>
      <c r="W628" s="4"/>
    </row>
    <row r="629" spans="1:23" ht="12.75" customHeight="1" x14ac:dyDescent="0.2">
      <c r="A629" s="4"/>
      <c r="B629" s="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4"/>
      <c r="S629" s="4"/>
      <c r="T629" s="4"/>
      <c r="U629" s="4"/>
      <c r="V629" s="4"/>
      <c r="W629" s="4"/>
    </row>
    <row r="630" spans="1:23" ht="12.75" customHeight="1" x14ac:dyDescent="0.2">
      <c r="A630" s="4"/>
      <c r="B630" s="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4"/>
      <c r="S630" s="4"/>
      <c r="T630" s="4"/>
      <c r="U630" s="4"/>
      <c r="V630" s="4"/>
      <c r="W630" s="4"/>
    </row>
    <row r="631" spans="1:23" ht="12.75" customHeight="1" x14ac:dyDescent="0.2">
      <c r="A631" s="4"/>
      <c r="B631" s="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4"/>
      <c r="S631" s="4"/>
      <c r="T631" s="4"/>
      <c r="U631" s="4"/>
      <c r="V631" s="4"/>
      <c r="W631" s="4"/>
    </row>
    <row r="632" spans="1:23" ht="12.75" customHeight="1" x14ac:dyDescent="0.2">
      <c r="A632" s="4"/>
      <c r="B632" s="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4"/>
      <c r="S632" s="4"/>
      <c r="T632" s="4"/>
      <c r="U632" s="4"/>
      <c r="V632" s="4"/>
      <c r="W632" s="4"/>
    </row>
    <row r="633" spans="1:23" ht="12.75" customHeight="1" x14ac:dyDescent="0.2">
      <c r="A633" s="4"/>
      <c r="B633" s="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4"/>
      <c r="S633" s="4"/>
      <c r="T633" s="4"/>
      <c r="U633" s="4"/>
      <c r="V633" s="4"/>
      <c r="W633" s="4"/>
    </row>
    <row r="634" spans="1:23" ht="12.75" customHeight="1" x14ac:dyDescent="0.2">
      <c r="A634" s="4"/>
      <c r="B634" s="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4"/>
      <c r="S634" s="4"/>
      <c r="T634" s="4"/>
      <c r="U634" s="4"/>
      <c r="V634" s="4"/>
      <c r="W634" s="4"/>
    </row>
    <row r="635" spans="1:23" ht="12.75" customHeight="1" x14ac:dyDescent="0.2">
      <c r="A635" s="4"/>
      <c r="B635" s="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4"/>
      <c r="S635" s="4"/>
      <c r="T635" s="4"/>
      <c r="U635" s="4"/>
      <c r="V635" s="4"/>
      <c r="W635" s="4"/>
    </row>
    <row r="636" spans="1:23" ht="12.75" customHeight="1" x14ac:dyDescent="0.2">
      <c r="A636" s="4"/>
      <c r="B636" s="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4"/>
      <c r="S636" s="4"/>
      <c r="T636" s="4"/>
      <c r="U636" s="4"/>
      <c r="V636" s="4"/>
      <c r="W636" s="4"/>
    </row>
    <row r="637" spans="1:23" ht="12.75" customHeight="1" x14ac:dyDescent="0.2">
      <c r="A637" s="4"/>
      <c r="B637" s="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4"/>
      <c r="S637" s="4"/>
      <c r="T637" s="4"/>
      <c r="U637" s="4"/>
      <c r="V637" s="4"/>
      <c r="W637" s="4"/>
    </row>
    <row r="638" spans="1:23" ht="12.75" customHeight="1" x14ac:dyDescent="0.2">
      <c r="A638" s="4"/>
      <c r="B638" s="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4"/>
      <c r="S638" s="4"/>
      <c r="T638" s="4"/>
      <c r="U638" s="4"/>
      <c r="V638" s="4"/>
      <c r="W638" s="4"/>
    </row>
    <row r="639" spans="1:23" ht="12.75" customHeight="1" x14ac:dyDescent="0.2">
      <c r="A639" s="4"/>
      <c r="B639" s="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4"/>
      <c r="S639" s="4"/>
      <c r="T639" s="4"/>
      <c r="U639" s="4"/>
      <c r="V639" s="4"/>
      <c r="W639" s="4"/>
    </row>
    <row r="640" spans="1:23" ht="12.75" customHeight="1" x14ac:dyDescent="0.2">
      <c r="A640" s="4"/>
      <c r="B640" s="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4"/>
      <c r="S640" s="4"/>
      <c r="T640" s="4"/>
      <c r="U640" s="4"/>
      <c r="V640" s="4"/>
      <c r="W640" s="4"/>
    </row>
    <row r="641" spans="1:23" ht="12.75" customHeight="1" x14ac:dyDescent="0.2">
      <c r="A641" s="4"/>
      <c r="B641" s="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4"/>
      <c r="S641" s="4"/>
      <c r="T641" s="4"/>
      <c r="U641" s="4"/>
      <c r="V641" s="4"/>
      <c r="W641" s="4"/>
    </row>
    <row r="642" spans="1:23" ht="12.75" customHeight="1" x14ac:dyDescent="0.2">
      <c r="A642" s="4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4"/>
      <c r="S642" s="4"/>
      <c r="T642" s="4"/>
      <c r="U642" s="4"/>
      <c r="V642" s="4"/>
      <c r="W642" s="4"/>
    </row>
    <row r="643" spans="1:23" ht="12.75" customHeight="1" x14ac:dyDescent="0.2">
      <c r="A643" s="4"/>
      <c r="B643" s="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4"/>
      <c r="S643" s="4"/>
      <c r="T643" s="4"/>
      <c r="U643" s="4"/>
      <c r="V643" s="4"/>
      <c r="W643" s="4"/>
    </row>
    <row r="644" spans="1:23" ht="12.75" customHeight="1" x14ac:dyDescent="0.2">
      <c r="A644" s="4"/>
      <c r="B644" s="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4"/>
      <c r="S644" s="4"/>
      <c r="T644" s="4"/>
      <c r="U644" s="4"/>
      <c r="V644" s="4"/>
      <c r="W644" s="4"/>
    </row>
    <row r="645" spans="1:23" ht="12.75" customHeight="1" x14ac:dyDescent="0.2">
      <c r="A645" s="4"/>
      <c r="B645" s="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4"/>
      <c r="S645" s="4"/>
      <c r="T645" s="4"/>
      <c r="U645" s="4"/>
      <c r="V645" s="4"/>
      <c r="W645" s="4"/>
    </row>
    <row r="646" spans="1:23" ht="12.75" customHeight="1" x14ac:dyDescent="0.2">
      <c r="A646" s="4"/>
      <c r="B646" s="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4"/>
      <c r="S646" s="4"/>
      <c r="T646" s="4"/>
      <c r="U646" s="4"/>
      <c r="V646" s="4"/>
      <c r="W646" s="4"/>
    </row>
    <row r="647" spans="1:23" ht="12.75" customHeight="1" x14ac:dyDescent="0.2">
      <c r="A647" s="4"/>
      <c r="B647" s="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4"/>
      <c r="S647" s="4"/>
      <c r="T647" s="4"/>
      <c r="U647" s="4"/>
      <c r="V647" s="4"/>
      <c r="W647" s="4"/>
    </row>
    <row r="648" spans="1:23" ht="12.75" customHeight="1" x14ac:dyDescent="0.2">
      <c r="A648" s="4"/>
      <c r="B648" s="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4"/>
      <c r="S648" s="4"/>
      <c r="T648" s="4"/>
      <c r="U648" s="4"/>
      <c r="V648" s="4"/>
      <c r="W648" s="4"/>
    </row>
    <row r="649" spans="1:23" ht="12.75" customHeight="1" x14ac:dyDescent="0.2">
      <c r="A649" s="4"/>
      <c r="B649" s="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4"/>
      <c r="S649" s="4"/>
      <c r="T649" s="4"/>
      <c r="U649" s="4"/>
      <c r="V649" s="4"/>
      <c r="W649" s="4"/>
    </row>
    <row r="650" spans="1:23" ht="12.75" customHeight="1" x14ac:dyDescent="0.2">
      <c r="A650" s="4"/>
      <c r="B650" s="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4"/>
      <c r="S650" s="4"/>
      <c r="T650" s="4"/>
      <c r="U650" s="4"/>
      <c r="V650" s="4"/>
      <c r="W650" s="4"/>
    </row>
    <row r="651" spans="1:23" ht="12.75" customHeight="1" x14ac:dyDescent="0.2">
      <c r="A651" s="4"/>
      <c r="B651" s="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4"/>
      <c r="S651" s="4"/>
      <c r="T651" s="4"/>
      <c r="U651" s="4"/>
      <c r="V651" s="4"/>
      <c r="W651" s="4"/>
    </row>
    <row r="652" spans="1:23" ht="12.75" customHeight="1" x14ac:dyDescent="0.2">
      <c r="A652" s="4"/>
      <c r="B652" s="4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4"/>
      <c r="S652" s="4"/>
      <c r="T652" s="4"/>
      <c r="U652" s="4"/>
      <c r="V652" s="4"/>
      <c r="W652" s="4"/>
    </row>
    <row r="653" spans="1:23" ht="12.75" customHeight="1" x14ac:dyDescent="0.2">
      <c r="A653" s="4"/>
      <c r="B653" s="4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4"/>
      <c r="S653" s="4"/>
      <c r="T653" s="4"/>
      <c r="U653" s="4"/>
      <c r="V653" s="4"/>
      <c r="W653" s="4"/>
    </row>
    <row r="654" spans="1:23" ht="12.75" customHeight="1" x14ac:dyDescent="0.2">
      <c r="A654" s="4"/>
      <c r="B654" s="4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4"/>
      <c r="S654" s="4"/>
      <c r="T654" s="4"/>
      <c r="U654" s="4"/>
      <c r="V654" s="4"/>
      <c r="W654" s="4"/>
    </row>
    <row r="655" spans="1:23" ht="12.75" customHeight="1" x14ac:dyDescent="0.2">
      <c r="A655" s="4"/>
      <c r="B655" s="4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4"/>
      <c r="S655" s="4"/>
      <c r="T655" s="4"/>
      <c r="U655" s="4"/>
      <c r="V655" s="4"/>
      <c r="W655" s="4"/>
    </row>
    <row r="656" spans="1:23" ht="12.75" customHeight="1" x14ac:dyDescent="0.2">
      <c r="A656" s="4"/>
      <c r="B656" s="4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4"/>
      <c r="S656" s="4"/>
      <c r="T656" s="4"/>
      <c r="U656" s="4"/>
      <c r="V656" s="4"/>
      <c r="W656" s="4"/>
    </row>
    <row r="657" spans="1:23" ht="12.75" customHeight="1" x14ac:dyDescent="0.2">
      <c r="A657" s="4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4"/>
      <c r="S657" s="4"/>
      <c r="T657" s="4"/>
      <c r="U657" s="4"/>
      <c r="V657" s="4"/>
      <c r="W657" s="4"/>
    </row>
    <row r="658" spans="1:23" ht="12.75" customHeight="1" x14ac:dyDescent="0.2">
      <c r="A658" s="4"/>
      <c r="B658" s="4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4"/>
      <c r="S658" s="4"/>
      <c r="T658" s="4"/>
      <c r="U658" s="4"/>
      <c r="V658" s="4"/>
      <c r="W658" s="4"/>
    </row>
    <row r="659" spans="1:23" ht="12.75" customHeight="1" x14ac:dyDescent="0.2">
      <c r="A659" s="4"/>
      <c r="B659" s="4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4"/>
      <c r="S659" s="4"/>
      <c r="T659" s="4"/>
      <c r="U659" s="4"/>
      <c r="V659" s="4"/>
      <c r="W659" s="4"/>
    </row>
    <row r="660" spans="1:23" ht="12.75" customHeight="1" x14ac:dyDescent="0.2">
      <c r="A660" s="4"/>
      <c r="B660" s="4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4"/>
      <c r="S660" s="4"/>
      <c r="T660" s="4"/>
      <c r="U660" s="4"/>
      <c r="V660" s="4"/>
      <c r="W660" s="4"/>
    </row>
    <row r="661" spans="1:23" ht="12.75" customHeight="1" x14ac:dyDescent="0.2">
      <c r="A661" s="4"/>
      <c r="B661" s="4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4"/>
      <c r="S661" s="4"/>
      <c r="T661" s="4"/>
      <c r="U661" s="4"/>
      <c r="V661" s="4"/>
      <c r="W661" s="4"/>
    </row>
    <row r="662" spans="1:23" ht="12.75" customHeight="1" x14ac:dyDescent="0.2">
      <c r="A662" s="4"/>
      <c r="B662" s="4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4"/>
      <c r="S662" s="4"/>
      <c r="T662" s="4"/>
      <c r="U662" s="4"/>
      <c r="V662" s="4"/>
      <c r="W662" s="4"/>
    </row>
    <row r="663" spans="1:23" ht="12.75" customHeight="1" x14ac:dyDescent="0.2">
      <c r="A663" s="4"/>
      <c r="B663" s="4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4"/>
      <c r="S663" s="4"/>
      <c r="T663" s="4"/>
      <c r="U663" s="4"/>
      <c r="V663" s="4"/>
      <c r="W663" s="4"/>
    </row>
    <row r="664" spans="1:23" ht="12.75" customHeight="1" x14ac:dyDescent="0.2">
      <c r="A664" s="4"/>
      <c r="B664" s="4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4"/>
      <c r="S664" s="4"/>
      <c r="T664" s="4"/>
      <c r="U664" s="4"/>
      <c r="V664" s="4"/>
      <c r="W664" s="4"/>
    </row>
    <row r="665" spans="1:23" ht="12.75" customHeight="1" x14ac:dyDescent="0.2">
      <c r="A665" s="4"/>
      <c r="B665" s="4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4"/>
      <c r="S665" s="4"/>
      <c r="T665" s="4"/>
      <c r="U665" s="4"/>
      <c r="V665" s="4"/>
      <c r="W665" s="4"/>
    </row>
    <row r="666" spans="1:23" ht="12.75" customHeight="1" x14ac:dyDescent="0.2">
      <c r="A666" s="4"/>
      <c r="B666" s="4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4"/>
      <c r="S666" s="4"/>
      <c r="T666" s="4"/>
      <c r="U666" s="4"/>
      <c r="V666" s="4"/>
      <c r="W666" s="4"/>
    </row>
    <row r="667" spans="1:23" ht="12.75" customHeight="1" x14ac:dyDescent="0.2">
      <c r="A667" s="4"/>
      <c r="B667" s="4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4"/>
      <c r="S667" s="4"/>
      <c r="T667" s="4"/>
      <c r="U667" s="4"/>
      <c r="V667" s="4"/>
      <c r="W667" s="4"/>
    </row>
    <row r="668" spans="1:23" ht="12.75" customHeight="1" x14ac:dyDescent="0.2">
      <c r="A668" s="4"/>
      <c r="B668" s="4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4"/>
      <c r="S668" s="4"/>
      <c r="T668" s="4"/>
      <c r="U668" s="4"/>
      <c r="V668" s="4"/>
      <c r="W668" s="4"/>
    </row>
    <row r="669" spans="1:23" ht="12.75" customHeight="1" x14ac:dyDescent="0.2">
      <c r="A669" s="4"/>
      <c r="B669" s="4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4"/>
      <c r="S669" s="4"/>
      <c r="T669" s="4"/>
      <c r="U669" s="4"/>
      <c r="V669" s="4"/>
      <c r="W669" s="4"/>
    </row>
    <row r="670" spans="1:23" ht="12.75" customHeight="1" x14ac:dyDescent="0.2">
      <c r="A670" s="4"/>
      <c r="B670" s="4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4"/>
      <c r="S670" s="4"/>
      <c r="T670" s="4"/>
      <c r="U670" s="4"/>
      <c r="V670" s="4"/>
      <c r="W670" s="4"/>
    </row>
    <row r="671" spans="1:23" ht="12.75" customHeight="1" x14ac:dyDescent="0.2">
      <c r="A671" s="4"/>
      <c r="B671" s="4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4"/>
      <c r="S671" s="4"/>
      <c r="T671" s="4"/>
      <c r="U671" s="4"/>
      <c r="V671" s="4"/>
      <c r="W671" s="4"/>
    </row>
    <row r="672" spans="1:23" ht="12.75" customHeight="1" x14ac:dyDescent="0.2">
      <c r="A672" s="4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4"/>
      <c r="S672" s="4"/>
      <c r="T672" s="4"/>
      <c r="U672" s="4"/>
      <c r="V672" s="4"/>
      <c r="W672" s="4"/>
    </row>
    <row r="673" spans="1:23" ht="12.75" customHeight="1" x14ac:dyDescent="0.2">
      <c r="A673" s="4"/>
      <c r="B673" s="4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4"/>
      <c r="S673" s="4"/>
      <c r="T673" s="4"/>
      <c r="U673" s="4"/>
      <c r="V673" s="4"/>
      <c r="W673" s="4"/>
    </row>
    <row r="674" spans="1:23" ht="12.75" customHeight="1" x14ac:dyDescent="0.2">
      <c r="A674" s="4"/>
      <c r="B674" s="4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4"/>
      <c r="S674" s="4"/>
      <c r="T674" s="4"/>
      <c r="U674" s="4"/>
      <c r="V674" s="4"/>
      <c r="W674" s="4"/>
    </row>
    <row r="675" spans="1:23" ht="12.75" customHeight="1" x14ac:dyDescent="0.2">
      <c r="A675" s="4"/>
      <c r="B675" s="4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4"/>
      <c r="S675" s="4"/>
      <c r="T675" s="4"/>
      <c r="U675" s="4"/>
      <c r="V675" s="4"/>
      <c r="W675" s="4"/>
    </row>
    <row r="676" spans="1:23" ht="12.75" customHeight="1" x14ac:dyDescent="0.2">
      <c r="A676" s="4"/>
      <c r="B676" s="4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4"/>
      <c r="S676" s="4"/>
      <c r="T676" s="4"/>
      <c r="U676" s="4"/>
      <c r="V676" s="4"/>
      <c r="W676" s="4"/>
    </row>
    <row r="677" spans="1:23" ht="12.75" customHeight="1" x14ac:dyDescent="0.2">
      <c r="A677" s="4"/>
      <c r="B677" s="4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4"/>
      <c r="S677" s="4"/>
      <c r="T677" s="4"/>
      <c r="U677" s="4"/>
      <c r="V677" s="4"/>
      <c r="W677" s="4"/>
    </row>
    <row r="678" spans="1:23" ht="12.75" customHeight="1" x14ac:dyDescent="0.2">
      <c r="A678" s="4"/>
      <c r="B678" s="4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4"/>
      <c r="S678" s="4"/>
      <c r="T678" s="4"/>
      <c r="U678" s="4"/>
      <c r="V678" s="4"/>
      <c r="W678" s="4"/>
    </row>
    <row r="679" spans="1:23" ht="12.75" customHeight="1" x14ac:dyDescent="0.2">
      <c r="A679" s="4"/>
      <c r="B679" s="4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4"/>
      <c r="S679" s="4"/>
      <c r="T679" s="4"/>
      <c r="U679" s="4"/>
      <c r="V679" s="4"/>
      <c r="W679" s="4"/>
    </row>
    <row r="680" spans="1:23" ht="12.75" customHeight="1" x14ac:dyDescent="0.2">
      <c r="A680" s="4"/>
      <c r="B680" s="4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4"/>
      <c r="S680" s="4"/>
      <c r="T680" s="4"/>
      <c r="U680" s="4"/>
      <c r="V680" s="4"/>
      <c r="W680" s="4"/>
    </row>
    <row r="681" spans="1:23" ht="12.75" customHeight="1" x14ac:dyDescent="0.2">
      <c r="A681" s="4"/>
      <c r="B681" s="4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4"/>
      <c r="S681" s="4"/>
      <c r="T681" s="4"/>
      <c r="U681" s="4"/>
      <c r="V681" s="4"/>
      <c r="W681" s="4"/>
    </row>
    <row r="682" spans="1:23" ht="12.75" customHeight="1" x14ac:dyDescent="0.2">
      <c r="A682" s="4"/>
      <c r="B682" s="4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4"/>
      <c r="S682" s="4"/>
      <c r="T682" s="4"/>
      <c r="U682" s="4"/>
      <c r="V682" s="4"/>
      <c r="W682" s="4"/>
    </row>
    <row r="683" spans="1:23" ht="12.75" customHeight="1" x14ac:dyDescent="0.2">
      <c r="A683" s="4"/>
      <c r="B683" s="4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4"/>
      <c r="S683" s="4"/>
      <c r="T683" s="4"/>
      <c r="U683" s="4"/>
      <c r="V683" s="4"/>
      <c r="W683" s="4"/>
    </row>
    <row r="684" spans="1:23" ht="12.75" customHeight="1" x14ac:dyDescent="0.2">
      <c r="A684" s="4"/>
      <c r="B684" s="4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4"/>
      <c r="S684" s="4"/>
      <c r="T684" s="4"/>
      <c r="U684" s="4"/>
      <c r="V684" s="4"/>
      <c r="W684" s="4"/>
    </row>
    <row r="685" spans="1:23" ht="12.75" customHeight="1" x14ac:dyDescent="0.2">
      <c r="A685" s="4"/>
      <c r="B685" s="4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4"/>
      <c r="S685" s="4"/>
      <c r="T685" s="4"/>
      <c r="U685" s="4"/>
      <c r="V685" s="4"/>
      <c r="W685" s="4"/>
    </row>
    <row r="686" spans="1:23" ht="12.75" customHeight="1" x14ac:dyDescent="0.2">
      <c r="A686" s="4"/>
      <c r="B686" s="4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4"/>
      <c r="S686" s="4"/>
      <c r="T686" s="4"/>
      <c r="U686" s="4"/>
      <c r="V686" s="4"/>
      <c r="W686" s="4"/>
    </row>
    <row r="687" spans="1:23" ht="12.75" customHeight="1" x14ac:dyDescent="0.2">
      <c r="A687" s="4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4"/>
      <c r="S687" s="4"/>
      <c r="T687" s="4"/>
      <c r="U687" s="4"/>
      <c r="V687" s="4"/>
      <c r="W687" s="4"/>
    </row>
    <row r="688" spans="1:23" ht="12.75" customHeight="1" x14ac:dyDescent="0.2">
      <c r="A688" s="4"/>
      <c r="B688" s="4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4"/>
      <c r="S688" s="4"/>
      <c r="T688" s="4"/>
      <c r="U688" s="4"/>
      <c r="V688" s="4"/>
      <c r="W688" s="4"/>
    </row>
    <row r="689" spans="1:23" ht="12.75" customHeight="1" x14ac:dyDescent="0.2">
      <c r="A689" s="4"/>
      <c r="B689" s="4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4"/>
      <c r="S689" s="4"/>
      <c r="T689" s="4"/>
      <c r="U689" s="4"/>
      <c r="V689" s="4"/>
      <c r="W689" s="4"/>
    </row>
    <row r="690" spans="1:23" ht="12.75" customHeight="1" x14ac:dyDescent="0.2">
      <c r="A690" s="4"/>
      <c r="B690" s="4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4"/>
      <c r="S690" s="4"/>
      <c r="T690" s="4"/>
      <c r="U690" s="4"/>
      <c r="V690" s="4"/>
      <c r="W690" s="4"/>
    </row>
    <row r="691" spans="1:23" ht="12.75" customHeight="1" x14ac:dyDescent="0.2">
      <c r="A691" s="4"/>
      <c r="B691" s="4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4"/>
      <c r="S691" s="4"/>
      <c r="T691" s="4"/>
      <c r="U691" s="4"/>
      <c r="V691" s="4"/>
      <c r="W691" s="4"/>
    </row>
    <row r="692" spans="1:23" ht="12.75" customHeight="1" x14ac:dyDescent="0.2">
      <c r="A692" s="4"/>
      <c r="B692" s="4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4"/>
      <c r="S692" s="4"/>
      <c r="T692" s="4"/>
      <c r="U692" s="4"/>
      <c r="V692" s="4"/>
      <c r="W692" s="4"/>
    </row>
    <row r="693" spans="1:23" ht="12.75" customHeight="1" x14ac:dyDescent="0.2">
      <c r="A693" s="4"/>
      <c r="B693" s="4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4"/>
      <c r="S693" s="4"/>
      <c r="T693" s="4"/>
      <c r="U693" s="4"/>
      <c r="V693" s="4"/>
      <c r="W693" s="4"/>
    </row>
    <row r="694" spans="1:23" ht="12.75" customHeight="1" x14ac:dyDescent="0.2">
      <c r="A694" s="4"/>
      <c r="B694" s="4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4"/>
      <c r="S694" s="4"/>
      <c r="T694" s="4"/>
      <c r="U694" s="4"/>
      <c r="V694" s="4"/>
      <c r="W694" s="4"/>
    </row>
    <row r="695" spans="1:23" ht="12.75" customHeight="1" x14ac:dyDescent="0.2">
      <c r="A695" s="4"/>
      <c r="B695" s="4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4"/>
      <c r="S695" s="4"/>
      <c r="T695" s="4"/>
      <c r="U695" s="4"/>
      <c r="V695" s="4"/>
      <c r="W695" s="4"/>
    </row>
    <row r="696" spans="1:23" ht="12.75" customHeight="1" x14ac:dyDescent="0.2">
      <c r="A696" s="4"/>
      <c r="B696" s="4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4"/>
      <c r="S696" s="4"/>
      <c r="T696" s="4"/>
      <c r="U696" s="4"/>
      <c r="V696" s="4"/>
      <c r="W696" s="4"/>
    </row>
    <row r="697" spans="1:23" ht="12.75" customHeight="1" x14ac:dyDescent="0.2">
      <c r="A697" s="4"/>
      <c r="B697" s="4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4"/>
      <c r="S697" s="4"/>
      <c r="T697" s="4"/>
      <c r="U697" s="4"/>
      <c r="V697" s="4"/>
      <c r="W697" s="4"/>
    </row>
    <row r="698" spans="1:23" ht="12.75" customHeight="1" x14ac:dyDescent="0.2">
      <c r="A698" s="4"/>
      <c r="B698" s="4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4"/>
      <c r="S698" s="4"/>
      <c r="T698" s="4"/>
      <c r="U698" s="4"/>
      <c r="V698" s="4"/>
      <c r="W698" s="4"/>
    </row>
    <row r="699" spans="1:23" ht="12.75" customHeight="1" x14ac:dyDescent="0.2">
      <c r="A699" s="4"/>
      <c r="B699" s="4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4"/>
      <c r="S699" s="4"/>
      <c r="T699" s="4"/>
      <c r="U699" s="4"/>
      <c r="V699" s="4"/>
      <c r="W699" s="4"/>
    </row>
    <row r="700" spans="1:23" ht="12.75" customHeight="1" x14ac:dyDescent="0.2">
      <c r="A700" s="4"/>
      <c r="B700" s="4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4"/>
      <c r="S700" s="4"/>
      <c r="T700" s="4"/>
      <c r="U700" s="4"/>
      <c r="V700" s="4"/>
      <c r="W700" s="4"/>
    </row>
    <row r="701" spans="1:23" ht="12.75" customHeight="1" x14ac:dyDescent="0.2">
      <c r="A701" s="4"/>
      <c r="B701" s="4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4"/>
      <c r="S701" s="4"/>
      <c r="T701" s="4"/>
      <c r="U701" s="4"/>
      <c r="V701" s="4"/>
      <c r="W701" s="4"/>
    </row>
    <row r="702" spans="1:23" ht="12.75" customHeight="1" x14ac:dyDescent="0.2">
      <c r="A702" s="4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4"/>
      <c r="S702" s="4"/>
      <c r="T702" s="4"/>
      <c r="U702" s="4"/>
      <c r="V702" s="4"/>
      <c r="W702" s="4"/>
    </row>
    <row r="703" spans="1:23" ht="12.75" customHeight="1" x14ac:dyDescent="0.2">
      <c r="A703" s="4"/>
      <c r="B703" s="4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4"/>
      <c r="S703" s="4"/>
      <c r="T703" s="4"/>
      <c r="U703" s="4"/>
      <c r="V703" s="4"/>
      <c r="W703" s="4"/>
    </row>
    <row r="704" spans="1:23" ht="12.75" customHeight="1" x14ac:dyDescent="0.2">
      <c r="A704" s="4"/>
      <c r="B704" s="4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4"/>
      <c r="S704" s="4"/>
      <c r="T704" s="4"/>
      <c r="U704" s="4"/>
      <c r="V704" s="4"/>
      <c r="W704" s="4"/>
    </row>
    <row r="705" spans="1:23" ht="12.75" customHeight="1" x14ac:dyDescent="0.2">
      <c r="A705" s="4"/>
      <c r="B705" s="4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4"/>
      <c r="S705" s="4"/>
      <c r="T705" s="4"/>
      <c r="U705" s="4"/>
      <c r="V705" s="4"/>
      <c r="W705" s="4"/>
    </row>
    <row r="706" spans="1:23" ht="12.75" customHeight="1" x14ac:dyDescent="0.2">
      <c r="A706" s="4"/>
      <c r="B706" s="4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4"/>
      <c r="S706" s="4"/>
      <c r="T706" s="4"/>
      <c r="U706" s="4"/>
      <c r="V706" s="4"/>
      <c r="W706" s="4"/>
    </row>
    <row r="707" spans="1:23" ht="12.75" customHeight="1" x14ac:dyDescent="0.2">
      <c r="A707" s="4"/>
      <c r="B707" s="4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4"/>
      <c r="S707" s="4"/>
      <c r="T707" s="4"/>
      <c r="U707" s="4"/>
      <c r="V707" s="4"/>
      <c r="W707" s="4"/>
    </row>
    <row r="708" spans="1:23" ht="12.75" customHeight="1" x14ac:dyDescent="0.2">
      <c r="A708" s="4"/>
      <c r="B708" s="4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4"/>
      <c r="S708" s="4"/>
      <c r="T708" s="4"/>
      <c r="U708" s="4"/>
      <c r="V708" s="4"/>
      <c r="W708" s="4"/>
    </row>
    <row r="709" spans="1:23" ht="12.75" customHeight="1" x14ac:dyDescent="0.2">
      <c r="A709" s="4"/>
      <c r="B709" s="4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4"/>
      <c r="S709" s="4"/>
      <c r="T709" s="4"/>
      <c r="U709" s="4"/>
      <c r="V709" s="4"/>
      <c r="W709" s="4"/>
    </row>
    <row r="710" spans="1:23" ht="12.75" customHeight="1" x14ac:dyDescent="0.2">
      <c r="A710" s="4"/>
      <c r="B710" s="4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4"/>
      <c r="S710" s="4"/>
      <c r="T710" s="4"/>
      <c r="U710" s="4"/>
      <c r="V710" s="4"/>
      <c r="W710" s="4"/>
    </row>
    <row r="711" spans="1:23" ht="12.75" customHeight="1" x14ac:dyDescent="0.2">
      <c r="A711" s="4"/>
      <c r="B711" s="4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4"/>
      <c r="S711" s="4"/>
      <c r="T711" s="4"/>
      <c r="U711" s="4"/>
      <c r="V711" s="4"/>
      <c r="W711" s="4"/>
    </row>
    <row r="712" spans="1:23" ht="12.75" customHeight="1" x14ac:dyDescent="0.2">
      <c r="A712" s="4"/>
      <c r="B712" s="4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4"/>
      <c r="S712" s="4"/>
      <c r="T712" s="4"/>
      <c r="U712" s="4"/>
      <c r="V712" s="4"/>
      <c r="W712" s="4"/>
    </row>
    <row r="713" spans="1:23" ht="12.75" customHeight="1" x14ac:dyDescent="0.2">
      <c r="A713" s="4"/>
      <c r="B713" s="4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4"/>
      <c r="S713" s="4"/>
      <c r="T713" s="4"/>
      <c r="U713" s="4"/>
      <c r="V713" s="4"/>
      <c r="W713" s="4"/>
    </row>
    <row r="714" spans="1:23" ht="12.75" customHeight="1" x14ac:dyDescent="0.2">
      <c r="A714" s="4"/>
      <c r="B714" s="4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4"/>
      <c r="S714" s="4"/>
      <c r="T714" s="4"/>
      <c r="U714" s="4"/>
      <c r="V714" s="4"/>
      <c r="W714" s="4"/>
    </row>
    <row r="715" spans="1:23" ht="12.75" customHeight="1" x14ac:dyDescent="0.2">
      <c r="A715" s="4"/>
      <c r="B715" s="4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4"/>
      <c r="S715" s="4"/>
      <c r="T715" s="4"/>
      <c r="U715" s="4"/>
      <c r="V715" s="4"/>
      <c r="W715" s="4"/>
    </row>
    <row r="716" spans="1:23" ht="12.75" customHeight="1" x14ac:dyDescent="0.2">
      <c r="A716" s="4"/>
      <c r="B716" s="4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4"/>
      <c r="S716" s="4"/>
      <c r="T716" s="4"/>
      <c r="U716" s="4"/>
      <c r="V716" s="4"/>
      <c r="W716" s="4"/>
    </row>
    <row r="717" spans="1:23" ht="12.75" customHeight="1" x14ac:dyDescent="0.2">
      <c r="A717" s="4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4"/>
      <c r="S717" s="4"/>
      <c r="T717" s="4"/>
      <c r="U717" s="4"/>
      <c r="V717" s="4"/>
      <c r="W717" s="4"/>
    </row>
    <row r="718" spans="1:23" ht="12.75" customHeight="1" x14ac:dyDescent="0.2">
      <c r="A718" s="4"/>
      <c r="B718" s="4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4"/>
      <c r="S718" s="4"/>
      <c r="T718" s="4"/>
      <c r="U718" s="4"/>
      <c r="V718" s="4"/>
      <c r="W718" s="4"/>
    </row>
    <row r="719" spans="1:23" ht="12.75" customHeight="1" x14ac:dyDescent="0.2">
      <c r="A719" s="4"/>
      <c r="B719" s="4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4"/>
      <c r="S719" s="4"/>
      <c r="T719" s="4"/>
      <c r="U719" s="4"/>
      <c r="V719" s="4"/>
      <c r="W719" s="4"/>
    </row>
    <row r="720" spans="1:23" ht="12.75" customHeight="1" x14ac:dyDescent="0.2">
      <c r="A720" s="4"/>
      <c r="B720" s="4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4"/>
      <c r="S720" s="4"/>
      <c r="T720" s="4"/>
      <c r="U720" s="4"/>
      <c r="V720" s="4"/>
      <c r="W720" s="4"/>
    </row>
    <row r="721" spans="1:23" ht="12.75" customHeight="1" x14ac:dyDescent="0.2">
      <c r="A721" s="4"/>
      <c r="B721" s="4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4"/>
      <c r="S721" s="4"/>
      <c r="T721" s="4"/>
      <c r="U721" s="4"/>
      <c r="V721" s="4"/>
      <c r="W721" s="4"/>
    </row>
    <row r="722" spans="1:23" ht="12.75" customHeight="1" x14ac:dyDescent="0.2">
      <c r="A722" s="4"/>
      <c r="B722" s="4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4"/>
      <c r="S722" s="4"/>
      <c r="T722" s="4"/>
      <c r="U722" s="4"/>
      <c r="V722" s="4"/>
      <c r="W722" s="4"/>
    </row>
    <row r="723" spans="1:23" ht="12.75" customHeight="1" x14ac:dyDescent="0.2">
      <c r="A723" s="4"/>
      <c r="B723" s="4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4"/>
      <c r="S723" s="4"/>
      <c r="T723" s="4"/>
      <c r="U723" s="4"/>
      <c r="V723" s="4"/>
      <c r="W723" s="4"/>
    </row>
    <row r="724" spans="1:23" ht="12.75" customHeight="1" x14ac:dyDescent="0.2">
      <c r="A724" s="4"/>
      <c r="B724" s="4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4"/>
      <c r="S724" s="4"/>
      <c r="T724" s="4"/>
      <c r="U724" s="4"/>
      <c r="V724" s="4"/>
      <c r="W724" s="4"/>
    </row>
    <row r="725" spans="1:23" ht="12.75" customHeight="1" x14ac:dyDescent="0.2">
      <c r="A725" s="4"/>
      <c r="B725" s="4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4"/>
      <c r="S725" s="4"/>
      <c r="T725" s="4"/>
      <c r="U725" s="4"/>
      <c r="V725" s="4"/>
      <c r="W725" s="4"/>
    </row>
    <row r="726" spans="1:23" ht="12.75" customHeight="1" x14ac:dyDescent="0.2">
      <c r="A726" s="4"/>
      <c r="B726" s="4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4"/>
      <c r="S726" s="4"/>
      <c r="T726" s="4"/>
      <c r="U726" s="4"/>
      <c r="V726" s="4"/>
      <c r="W726" s="4"/>
    </row>
    <row r="727" spans="1:23" ht="12.75" customHeight="1" x14ac:dyDescent="0.2">
      <c r="A727" s="4"/>
      <c r="B727" s="4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4"/>
      <c r="S727" s="4"/>
      <c r="T727" s="4"/>
      <c r="U727" s="4"/>
      <c r="V727" s="4"/>
      <c r="W727" s="4"/>
    </row>
    <row r="728" spans="1:23" ht="12.75" customHeight="1" x14ac:dyDescent="0.2">
      <c r="A728" s="4"/>
      <c r="B728" s="4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4"/>
      <c r="S728" s="4"/>
      <c r="T728" s="4"/>
      <c r="U728" s="4"/>
      <c r="V728" s="4"/>
      <c r="W728" s="4"/>
    </row>
    <row r="729" spans="1:23" ht="12.75" customHeight="1" x14ac:dyDescent="0.2">
      <c r="A729" s="4"/>
      <c r="B729" s="4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4"/>
      <c r="S729" s="4"/>
      <c r="T729" s="4"/>
      <c r="U729" s="4"/>
      <c r="V729" s="4"/>
      <c r="W729" s="4"/>
    </row>
    <row r="730" spans="1:23" ht="12.75" customHeight="1" x14ac:dyDescent="0.2">
      <c r="A730" s="4"/>
      <c r="B730" s="4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4"/>
      <c r="S730" s="4"/>
      <c r="T730" s="4"/>
      <c r="U730" s="4"/>
      <c r="V730" s="4"/>
      <c r="W730" s="4"/>
    </row>
    <row r="731" spans="1:23" ht="12.75" customHeight="1" x14ac:dyDescent="0.2">
      <c r="A731" s="4"/>
      <c r="B731" s="4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4"/>
      <c r="S731" s="4"/>
      <c r="T731" s="4"/>
      <c r="U731" s="4"/>
      <c r="V731" s="4"/>
      <c r="W731" s="4"/>
    </row>
    <row r="732" spans="1:23" ht="12.75" customHeight="1" x14ac:dyDescent="0.2">
      <c r="A732" s="4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4"/>
      <c r="S732" s="4"/>
      <c r="T732" s="4"/>
      <c r="U732" s="4"/>
      <c r="V732" s="4"/>
      <c r="W732" s="4"/>
    </row>
    <row r="733" spans="1:23" ht="12.75" customHeight="1" x14ac:dyDescent="0.2">
      <c r="A733" s="4"/>
      <c r="B733" s="4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4"/>
      <c r="S733" s="4"/>
      <c r="T733" s="4"/>
      <c r="U733" s="4"/>
      <c r="V733" s="4"/>
      <c r="W733" s="4"/>
    </row>
    <row r="734" spans="1:23" ht="12.75" customHeight="1" x14ac:dyDescent="0.2">
      <c r="A734" s="4"/>
      <c r="B734" s="4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4"/>
      <c r="S734" s="4"/>
      <c r="T734" s="4"/>
      <c r="U734" s="4"/>
      <c r="V734" s="4"/>
      <c r="W734" s="4"/>
    </row>
    <row r="735" spans="1:23" ht="12.75" customHeight="1" x14ac:dyDescent="0.2">
      <c r="A735" s="4"/>
      <c r="B735" s="4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4"/>
      <c r="S735" s="4"/>
      <c r="T735" s="4"/>
      <c r="U735" s="4"/>
      <c r="V735" s="4"/>
      <c r="W735" s="4"/>
    </row>
    <row r="736" spans="1:23" ht="12.75" customHeight="1" x14ac:dyDescent="0.2">
      <c r="A736" s="4"/>
      <c r="B736" s="4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4"/>
      <c r="S736" s="4"/>
      <c r="T736" s="4"/>
      <c r="U736" s="4"/>
      <c r="V736" s="4"/>
      <c r="W736" s="4"/>
    </row>
    <row r="737" spans="1:23" ht="12.75" customHeight="1" x14ac:dyDescent="0.2">
      <c r="A737" s="4"/>
      <c r="B737" s="4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4"/>
      <c r="S737" s="4"/>
      <c r="T737" s="4"/>
      <c r="U737" s="4"/>
      <c r="V737" s="4"/>
      <c r="W737" s="4"/>
    </row>
    <row r="738" spans="1:23" ht="12.75" customHeight="1" x14ac:dyDescent="0.2">
      <c r="A738" s="4"/>
      <c r="B738" s="4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4"/>
      <c r="S738" s="4"/>
      <c r="T738" s="4"/>
      <c r="U738" s="4"/>
      <c r="V738" s="4"/>
      <c r="W738" s="4"/>
    </row>
    <row r="739" spans="1:23" ht="12.75" customHeight="1" x14ac:dyDescent="0.2">
      <c r="A739" s="4"/>
      <c r="B739" s="4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4"/>
      <c r="S739" s="4"/>
      <c r="T739" s="4"/>
      <c r="U739" s="4"/>
      <c r="V739" s="4"/>
      <c r="W739" s="4"/>
    </row>
    <row r="740" spans="1:23" ht="12.75" customHeight="1" x14ac:dyDescent="0.2">
      <c r="A740" s="4"/>
      <c r="B740" s="4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4"/>
      <c r="S740" s="4"/>
      <c r="T740" s="4"/>
      <c r="U740" s="4"/>
      <c r="V740" s="4"/>
      <c r="W740" s="4"/>
    </row>
    <row r="741" spans="1:23" ht="12.75" customHeight="1" x14ac:dyDescent="0.2">
      <c r="A741" s="4"/>
      <c r="B741" s="4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4"/>
      <c r="S741" s="4"/>
      <c r="T741" s="4"/>
      <c r="U741" s="4"/>
      <c r="V741" s="4"/>
      <c r="W741" s="4"/>
    </row>
    <row r="742" spans="1:23" ht="12.75" customHeight="1" x14ac:dyDescent="0.2">
      <c r="A742" s="4"/>
      <c r="B742" s="4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4"/>
      <c r="S742" s="4"/>
      <c r="T742" s="4"/>
      <c r="U742" s="4"/>
      <c r="V742" s="4"/>
      <c r="W742" s="4"/>
    </row>
    <row r="743" spans="1:23" ht="12.75" customHeight="1" x14ac:dyDescent="0.2">
      <c r="A743" s="4"/>
      <c r="B743" s="4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4"/>
      <c r="S743" s="4"/>
      <c r="T743" s="4"/>
      <c r="U743" s="4"/>
      <c r="V743" s="4"/>
      <c r="W743" s="4"/>
    </row>
    <row r="744" spans="1:23" ht="12.75" customHeight="1" x14ac:dyDescent="0.2">
      <c r="A744" s="4"/>
      <c r="B744" s="4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4"/>
      <c r="S744" s="4"/>
      <c r="T744" s="4"/>
      <c r="U744" s="4"/>
      <c r="V744" s="4"/>
      <c r="W744" s="4"/>
    </row>
    <row r="745" spans="1:23" ht="12.75" customHeight="1" x14ac:dyDescent="0.2">
      <c r="A745" s="4"/>
      <c r="B745" s="4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4"/>
      <c r="S745" s="4"/>
      <c r="T745" s="4"/>
      <c r="U745" s="4"/>
      <c r="V745" s="4"/>
      <c r="W745" s="4"/>
    </row>
    <row r="746" spans="1:23" ht="12.75" customHeight="1" x14ac:dyDescent="0.2">
      <c r="A746" s="4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4"/>
      <c r="S746" s="4"/>
      <c r="T746" s="4"/>
      <c r="U746" s="4"/>
      <c r="V746" s="4"/>
      <c r="W746" s="4"/>
    </row>
    <row r="747" spans="1:23" ht="12.75" customHeight="1" x14ac:dyDescent="0.2">
      <c r="A747" s="4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4"/>
      <c r="S747" s="4"/>
      <c r="T747" s="4"/>
      <c r="U747" s="4"/>
      <c r="V747" s="4"/>
      <c r="W747" s="4"/>
    </row>
    <row r="748" spans="1:23" ht="12.75" customHeight="1" x14ac:dyDescent="0.2">
      <c r="A748" s="4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4"/>
      <c r="S748" s="4"/>
      <c r="T748" s="4"/>
      <c r="U748" s="4"/>
      <c r="V748" s="4"/>
      <c r="W748" s="4"/>
    </row>
    <row r="749" spans="1:23" ht="12.75" customHeight="1" x14ac:dyDescent="0.2">
      <c r="A749" s="4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4"/>
      <c r="S749" s="4"/>
      <c r="T749" s="4"/>
      <c r="U749" s="4"/>
      <c r="V749" s="4"/>
      <c r="W749" s="4"/>
    </row>
    <row r="750" spans="1:23" ht="12.75" customHeight="1" x14ac:dyDescent="0.2">
      <c r="A750" s="4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4"/>
      <c r="S750" s="4"/>
      <c r="T750" s="4"/>
      <c r="U750" s="4"/>
      <c r="V750" s="4"/>
      <c r="W750" s="4"/>
    </row>
    <row r="751" spans="1:23" ht="12.75" customHeight="1" x14ac:dyDescent="0.2">
      <c r="A751" s="4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4"/>
      <c r="S751" s="4"/>
      <c r="T751" s="4"/>
      <c r="U751" s="4"/>
      <c r="V751" s="4"/>
      <c r="W751" s="4"/>
    </row>
    <row r="752" spans="1:23" ht="12.75" customHeight="1" x14ac:dyDescent="0.2">
      <c r="A752" s="4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4"/>
      <c r="S752" s="4"/>
      <c r="T752" s="4"/>
      <c r="U752" s="4"/>
      <c r="V752" s="4"/>
      <c r="W752" s="4"/>
    </row>
    <row r="753" spans="1:23" ht="12.75" customHeight="1" x14ac:dyDescent="0.2">
      <c r="A753" s="4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4"/>
      <c r="S753" s="4"/>
      <c r="T753" s="4"/>
      <c r="U753" s="4"/>
      <c r="V753" s="4"/>
      <c r="W753" s="4"/>
    </row>
    <row r="754" spans="1:23" ht="12.75" customHeight="1" x14ac:dyDescent="0.2">
      <c r="A754" s="4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4"/>
      <c r="S754" s="4"/>
      <c r="T754" s="4"/>
      <c r="U754" s="4"/>
      <c r="V754" s="4"/>
      <c r="W754" s="4"/>
    </row>
    <row r="755" spans="1:23" ht="12.75" customHeight="1" x14ac:dyDescent="0.2">
      <c r="A755" s="4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4"/>
      <c r="S755" s="4"/>
      <c r="T755" s="4"/>
      <c r="U755" s="4"/>
      <c r="V755" s="4"/>
      <c r="W755" s="4"/>
    </row>
    <row r="756" spans="1:23" ht="12.75" customHeight="1" x14ac:dyDescent="0.2">
      <c r="A756" s="4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4"/>
      <c r="S756" s="4"/>
      <c r="T756" s="4"/>
      <c r="U756" s="4"/>
      <c r="V756" s="4"/>
      <c r="W756" s="4"/>
    </row>
    <row r="757" spans="1:23" ht="12.75" customHeight="1" x14ac:dyDescent="0.2">
      <c r="A757" s="4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4"/>
      <c r="S757" s="4"/>
      <c r="T757" s="4"/>
      <c r="U757" s="4"/>
      <c r="V757" s="4"/>
      <c r="W757" s="4"/>
    </row>
    <row r="758" spans="1:23" ht="12.75" customHeight="1" x14ac:dyDescent="0.2">
      <c r="A758" s="4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4"/>
      <c r="S758" s="4"/>
      <c r="T758" s="4"/>
      <c r="U758" s="4"/>
      <c r="V758" s="4"/>
      <c r="W758" s="4"/>
    </row>
    <row r="759" spans="1:23" ht="12.75" customHeight="1" x14ac:dyDescent="0.2">
      <c r="A759" s="4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4"/>
      <c r="S759" s="4"/>
      <c r="T759" s="4"/>
      <c r="U759" s="4"/>
      <c r="V759" s="4"/>
      <c r="W759" s="4"/>
    </row>
    <row r="760" spans="1:23" ht="12.75" customHeight="1" x14ac:dyDescent="0.2">
      <c r="A760" s="4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4"/>
      <c r="S760" s="4"/>
      <c r="T760" s="4"/>
      <c r="U760" s="4"/>
      <c r="V760" s="4"/>
      <c r="W760" s="4"/>
    </row>
    <row r="761" spans="1:23" ht="12.75" customHeight="1" x14ac:dyDescent="0.2">
      <c r="A761" s="4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4"/>
      <c r="S761" s="4"/>
      <c r="T761" s="4"/>
      <c r="U761" s="4"/>
      <c r="V761" s="4"/>
      <c r="W761" s="4"/>
    </row>
    <row r="762" spans="1:23" ht="12.75" customHeight="1" x14ac:dyDescent="0.2">
      <c r="A762" s="4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4"/>
      <c r="S762" s="4"/>
      <c r="T762" s="4"/>
      <c r="U762" s="4"/>
      <c r="V762" s="4"/>
      <c r="W762" s="4"/>
    </row>
    <row r="763" spans="1:23" ht="12.75" customHeight="1" x14ac:dyDescent="0.2">
      <c r="A763" s="4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4"/>
      <c r="S763" s="4"/>
      <c r="T763" s="4"/>
      <c r="U763" s="4"/>
      <c r="V763" s="4"/>
      <c r="W763" s="4"/>
    </row>
    <row r="764" spans="1:23" ht="12.75" customHeight="1" x14ac:dyDescent="0.2">
      <c r="A764" s="4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4"/>
      <c r="S764" s="4"/>
      <c r="T764" s="4"/>
      <c r="U764" s="4"/>
      <c r="V764" s="4"/>
      <c r="W764" s="4"/>
    </row>
    <row r="765" spans="1:23" ht="12.75" customHeight="1" x14ac:dyDescent="0.2">
      <c r="A765" s="4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4"/>
      <c r="S765" s="4"/>
      <c r="T765" s="4"/>
      <c r="U765" s="4"/>
      <c r="V765" s="4"/>
      <c r="W765" s="4"/>
    </row>
    <row r="766" spans="1:23" ht="12.75" customHeight="1" x14ac:dyDescent="0.2">
      <c r="A766" s="4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4"/>
      <c r="S766" s="4"/>
      <c r="T766" s="4"/>
      <c r="U766" s="4"/>
      <c r="V766" s="4"/>
      <c r="W766" s="4"/>
    </row>
    <row r="767" spans="1:23" ht="12.75" customHeight="1" x14ac:dyDescent="0.2">
      <c r="A767" s="4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4"/>
      <c r="S767" s="4"/>
      <c r="T767" s="4"/>
      <c r="U767" s="4"/>
      <c r="V767" s="4"/>
      <c r="W767" s="4"/>
    </row>
    <row r="768" spans="1:23" ht="12.75" customHeight="1" x14ac:dyDescent="0.2">
      <c r="A768" s="4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4"/>
      <c r="S768" s="4"/>
      <c r="T768" s="4"/>
      <c r="U768" s="4"/>
      <c r="V768" s="4"/>
      <c r="W768" s="4"/>
    </row>
    <row r="769" spans="1:23" ht="12.75" customHeight="1" x14ac:dyDescent="0.2">
      <c r="A769" s="4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4"/>
      <c r="S769" s="4"/>
      <c r="T769" s="4"/>
      <c r="U769" s="4"/>
      <c r="V769" s="4"/>
      <c r="W769" s="4"/>
    </row>
    <row r="770" spans="1:23" ht="12.75" customHeight="1" x14ac:dyDescent="0.2">
      <c r="A770" s="4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4"/>
      <c r="S770" s="4"/>
      <c r="T770" s="4"/>
      <c r="U770" s="4"/>
      <c r="V770" s="4"/>
      <c r="W770" s="4"/>
    </row>
    <row r="771" spans="1:23" ht="12.75" customHeight="1" x14ac:dyDescent="0.2">
      <c r="A771" s="4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4"/>
      <c r="S771" s="4"/>
      <c r="T771" s="4"/>
      <c r="U771" s="4"/>
      <c r="V771" s="4"/>
      <c r="W771" s="4"/>
    </row>
    <row r="772" spans="1:23" ht="12.75" customHeight="1" x14ac:dyDescent="0.2">
      <c r="A772" s="4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4"/>
      <c r="S772" s="4"/>
      <c r="T772" s="4"/>
      <c r="U772" s="4"/>
      <c r="V772" s="4"/>
      <c r="W772" s="4"/>
    </row>
    <row r="773" spans="1:23" ht="12.75" customHeight="1" x14ac:dyDescent="0.2">
      <c r="A773" s="4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4"/>
      <c r="S773" s="4"/>
      <c r="T773" s="4"/>
      <c r="U773" s="4"/>
      <c r="V773" s="4"/>
      <c r="W773" s="4"/>
    </row>
    <row r="774" spans="1:23" ht="12.75" customHeight="1" x14ac:dyDescent="0.2">
      <c r="A774" s="4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4"/>
      <c r="S774" s="4"/>
      <c r="T774" s="4"/>
      <c r="U774" s="4"/>
      <c r="V774" s="4"/>
      <c r="W774" s="4"/>
    </row>
    <row r="775" spans="1:23" ht="12.75" customHeight="1" x14ac:dyDescent="0.2">
      <c r="A775" s="4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4"/>
      <c r="S775" s="4"/>
      <c r="T775" s="4"/>
      <c r="U775" s="4"/>
      <c r="V775" s="4"/>
      <c r="W775" s="4"/>
    </row>
    <row r="776" spans="1:23" ht="12.75" customHeight="1" x14ac:dyDescent="0.2">
      <c r="A776" s="4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4"/>
      <c r="S776" s="4"/>
      <c r="T776" s="4"/>
      <c r="U776" s="4"/>
      <c r="V776" s="4"/>
      <c r="W776" s="4"/>
    </row>
    <row r="777" spans="1:23" ht="12.75" customHeight="1" x14ac:dyDescent="0.2">
      <c r="A777" s="4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4"/>
      <c r="S777" s="4"/>
      <c r="T777" s="4"/>
      <c r="U777" s="4"/>
      <c r="V777" s="4"/>
      <c r="W777" s="4"/>
    </row>
    <row r="778" spans="1:23" ht="12.75" customHeight="1" x14ac:dyDescent="0.2">
      <c r="A778" s="4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4"/>
      <c r="S778" s="4"/>
      <c r="T778" s="4"/>
      <c r="U778" s="4"/>
      <c r="V778" s="4"/>
      <c r="W778" s="4"/>
    </row>
    <row r="779" spans="1:23" ht="12.75" customHeight="1" x14ac:dyDescent="0.2">
      <c r="A779" s="4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4"/>
      <c r="S779" s="4"/>
      <c r="T779" s="4"/>
      <c r="U779" s="4"/>
      <c r="V779" s="4"/>
      <c r="W779" s="4"/>
    </row>
    <row r="780" spans="1:23" ht="12.75" customHeight="1" x14ac:dyDescent="0.2">
      <c r="A780" s="4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4"/>
      <c r="S780" s="4"/>
      <c r="T780" s="4"/>
      <c r="U780" s="4"/>
      <c r="V780" s="4"/>
      <c r="W780" s="4"/>
    </row>
    <row r="781" spans="1:23" ht="12.75" customHeight="1" x14ac:dyDescent="0.2">
      <c r="A781" s="4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4"/>
      <c r="S781" s="4"/>
      <c r="T781" s="4"/>
      <c r="U781" s="4"/>
      <c r="V781" s="4"/>
      <c r="W781" s="4"/>
    </row>
    <row r="782" spans="1:23" ht="12.75" customHeight="1" x14ac:dyDescent="0.2">
      <c r="A782" s="4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4"/>
      <c r="S782" s="4"/>
      <c r="T782" s="4"/>
      <c r="U782" s="4"/>
      <c r="V782" s="4"/>
      <c r="W782" s="4"/>
    </row>
    <row r="783" spans="1:23" ht="12.75" customHeight="1" x14ac:dyDescent="0.2">
      <c r="A783" s="4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4"/>
      <c r="S783" s="4"/>
      <c r="T783" s="4"/>
      <c r="U783" s="4"/>
      <c r="V783" s="4"/>
      <c r="W783" s="4"/>
    </row>
    <row r="784" spans="1:23" ht="12.75" customHeight="1" x14ac:dyDescent="0.2">
      <c r="A784" s="4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4"/>
      <c r="S784" s="4"/>
      <c r="T784" s="4"/>
      <c r="U784" s="4"/>
      <c r="V784" s="4"/>
      <c r="W784" s="4"/>
    </row>
    <row r="785" spans="1:23" ht="12.75" customHeight="1" x14ac:dyDescent="0.2">
      <c r="A785" s="4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4"/>
      <c r="S785" s="4"/>
      <c r="T785" s="4"/>
      <c r="U785" s="4"/>
      <c r="V785" s="4"/>
      <c r="W785" s="4"/>
    </row>
    <row r="786" spans="1:23" ht="12.75" customHeight="1" x14ac:dyDescent="0.2">
      <c r="A786" s="4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4"/>
      <c r="S786" s="4"/>
      <c r="T786" s="4"/>
      <c r="U786" s="4"/>
      <c r="V786" s="4"/>
      <c r="W786" s="4"/>
    </row>
    <row r="787" spans="1:23" ht="12.75" customHeight="1" x14ac:dyDescent="0.2">
      <c r="A787" s="4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4"/>
      <c r="S787" s="4"/>
      <c r="T787" s="4"/>
      <c r="U787" s="4"/>
      <c r="V787" s="4"/>
      <c r="W787" s="4"/>
    </row>
    <row r="788" spans="1:23" ht="12.75" customHeight="1" x14ac:dyDescent="0.2">
      <c r="A788" s="4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4"/>
      <c r="S788" s="4"/>
      <c r="T788" s="4"/>
      <c r="U788" s="4"/>
      <c r="V788" s="4"/>
      <c r="W788" s="4"/>
    </row>
    <row r="789" spans="1:23" ht="12.75" customHeight="1" x14ac:dyDescent="0.2">
      <c r="A789" s="4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4"/>
      <c r="S789" s="4"/>
      <c r="T789" s="4"/>
      <c r="U789" s="4"/>
      <c r="V789" s="4"/>
      <c r="W789" s="4"/>
    </row>
    <row r="790" spans="1:23" ht="12.75" customHeight="1" x14ac:dyDescent="0.2">
      <c r="A790" s="4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4"/>
      <c r="S790" s="4"/>
      <c r="T790" s="4"/>
      <c r="U790" s="4"/>
      <c r="V790" s="4"/>
      <c r="W790" s="4"/>
    </row>
    <row r="791" spans="1:23" ht="12.75" customHeight="1" x14ac:dyDescent="0.2">
      <c r="A791" s="4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4"/>
      <c r="S791" s="4"/>
      <c r="T791" s="4"/>
      <c r="U791" s="4"/>
      <c r="V791" s="4"/>
      <c r="W791" s="4"/>
    </row>
    <row r="792" spans="1:23" ht="12.75" customHeight="1" x14ac:dyDescent="0.2">
      <c r="A792" s="4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4"/>
      <c r="S792" s="4"/>
      <c r="T792" s="4"/>
      <c r="U792" s="4"/>
      <c r="V792" s="4"/>
      <c r="W792" s="4"/>
    </row>
    <row r="793" spans="1:23" ht="12.75" customHeight="1" x14ac:dyDescent="0.2">
      <c r="A793" s="4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4"/>
      <c r="S793" s="4"/>
      <c r="T793" s="4"/>
      <c r="U793" s="4"/>
      <c r="V793" s="4"/>
      <c r="W793" s="4"/>
    </row>
    <row r="794" spans="1:23" ht="12.75" customHeight="1" x14ac:dyDescent="0.2">
      <c r="A794" s="4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4"/>
      <c r="S794" s="4"/>
      <c r="T794" s="4"/>
      <c r="U794" s="4"/>
      <c r="V794" s="4"/>
      <c r="W794" s="4"/>
    </row>
    <row r="795" spans="1:23" ht="12.75" customHeight="1" x14ac:dyDescent="0.2">
      <c r="A795" s="4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4"/>
      <c r="S795" s="4"/>
      <c r="T795" s="4"/>
      <c r="U795" s="4"/>
      <c r="V795" s="4"/>
      <c r="W795" s="4"/>
    </row>
    <row r="796" spans="1:23" ht="12.75" customHeight="1" x14ac:dyDescent="0.2">
      <c r="A796" s="4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4"/>
      <c r="S796" s="4"/>
      <c r="T796" s="4"/>
      <c r="U796" s="4"/>
      <c r="V796" s="4"/>
      <c r="W796" s="4"/>
    </row>
    <row r="797" spans="1:23" ht="12.75" customHeight="1" x14ac:dyDescent="0.2">
      <c r="A797" s="4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4"/>
      <c r="S797" s="4"/>
      <c r="T797" s="4"/>
      <c r="U797" s="4"/>
      <c r="V797" s="4"/>
      <c r="W797" s="4"/>
    </row>
    <row r="798" spans="1:23" ht="12.75" customHeight="1" x14ac:dyDescent="0.2">
      <c r="A798" s="4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4"/>
      <c r="S798" s="4"/>
      <c r="T798" s="4"/>
      <c r="U798" s="4"/>
      <c r="V798" s="4"/>
      <c r="W798" s="4"/>
    </row>
    <row r="799" spans="1:23" ht="12.75" customHeight="1" x14ac:dyDescent="0.2">
      <c r="A799" s="4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4"/>
      <c r="S799" s="4"/>
      <c r="T799" s="4"/>
      <c r="U799" s="4"/>
      <c r="V799" s="4"/>
      <c r="W799" s="4"/>
    </row>
    <row r="800" spans="1:23" ht="12.75" customHeight="1" x14ac:dyDescent="0.2">
      <c r="A800" s="4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4"/>
      <c r="S800" s="4"/>
      <c r="T800" s="4"/>
      <c r="U800" s="4"/>
      <c r="V800" s="4"/>
      <c r="W800" s="4"/>
    </row>
    <row r="801" spans="1:23" ht="12.75" customHeight="1" x14ac:dyDescent="0.2">
      <c r="A801" s="4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4"/>
      <c r="S801" s="4"/>
      <c r="T801" s="4"/>
      <c r="U801" s="4"/>
      <c r="V801" s="4"/>
      <c r="W801" s="4"/>
    </row>
    <row r="802" spans="1:23" ht="12.75" customHeight="1" x14ac:dyDescent="0.2">
      <c r="A802" s="4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4"/>
      <c r="S802" s="4"/>
      <c r="T802" s="4"/>
      <c r="U802" s="4"/>
      <c r="V802" s="4"/>
      <c r="W802" s="4"/>
    </row>
    <row r="803" spans="1:23" ht="12.75" customHeight="1" x14ac:dyDescent="0.2">
      <c r="A803" s="4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4"/>
      <c r="S803" s="4"/>
      <c r="T803" s="4"/>
      <c r="U803" s="4"/>
      <c r="V803" s="4"/>
      <c r="W803" s="4"/>
    </row>
    <row r="804" spans="1:23" ht="12.75" customHeight="1" x14ac:dyDescent="0.2">
      <c r="A804" s="4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4"/>
      <c r="S804" s="4"/>
      <c r="T804" s="4"/>
      <c r="U804" s="4"/>
      <c r="V804" s="4"/>
      <c r="W804" s="4"/>
    </row>
    <row r="805" spans="1:23" ht="12.75" customHeight="1" x14ac:dyDescent="0.2">
      <c r="A805" s="4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4"/>
      <c r="S805" s="4"/>
      <c r="T805" s="4"/>
      <c r="U805" s="4"/>
      <c r="V805" s="4"/>
      <c r="W805" s="4"/>
    </row>
    <row r="806" spans="1:23" ht="12.75" customHeight="1" x14ac:dyDescent="0.2">
      <c r="A806" s="4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4"/>
      <c r="S806" s="4"/>
      <c r="T806" s="4"/>
      <c r="U806" s="4"/>
      <c r="V806" s="4"/>
      <c r="W806" s="4"/>
    </row>
    <row r="807" spans="1:23" ht="12.75" customHeight="1" x14ac:dyDescent="0.2">
      <c r="A807" s="4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4"/>
      <c r="S807" s="4"/>
      <c r="T807" s="4"/>
      <c r="U807" s="4"/>
      <c r="V807" s="4"/>
      <c r="W807" s="4"/>
    </row>
    <row r="808" spans="1:23" ht="12.75" customHeight="1" x14ac:dyDescent="0.2">
      <c r="A808" s="4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4"/>
      <c r="S808" s="4"/>
      <c r="T808" s="4"/>
      <c r="U808" s="4"/>
      <c r="V808" s="4"/>
      <c r="W808" s="4"/>
    </row>
    <row r="809" spans="1:23" ht="12.75" customHeight="1" x14ac:dyDescent="0.2">
      <c r="A809" s="4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4"/>
      <c r="S809" s="4"/>
      <c r="T809" s="4"/>
      <c r="U809" s="4"/>
      <c r="V809" s="4"/>
      <c r="W809" s="4"/>
    </row>
    <row r="810" spans="1:23" ht="12.75" customHeight="1" x14ac:dyDescent="0.2">
      <c r="A810" s="4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4"/>
      <c r="S810" s="4"/>
      <c r="T810" s="4"/>
      <c r="U810" s="4"/>
      <c r="V810" s="4"/>
      <c r="W810" s="4"/>
    </row>
    <row r="811" spans="1:23" ht="12.75" customHeight="1" x14ac:dyDescent="0.2">
      <c r="A811" s="4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4"/>
      <c r="S811" s="4"/>
      <c r="T811" s="4"/>
      <c r="U811" s="4"/>
      <c r="V811" s="4"/>
      <c r="W811" s="4"/>
    </row>
    <row r="812" spans="1:23" ht="12.75" customHeight="1" x14ac:dyDescent="0.2">
      <c r="A812" s="4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4"/>
      <c r="S812" s="4"/>
      <c r="T812" s="4"/>
      <c r="U812" s="4"/>
      <c r="V812" s="4"/>
      <c r="W812" s="4"/>
    </row>
    <row r="813" spans="1:23" ht="12.75" customHeight="1" x14ac:dyDescent="0.2">
      <c r="A813" s="4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4"/>
      <c r="S813" s="4"/>
      <c r="T813" s="4"/>
      <c r="U813" s="4"/>
      <c r="V813" s="4"/>
      <c r="W813" s="4"/>
    </row>
    <row r="814" spans="1:23" ht="12.75" customHeight="1" x14ac:dyDescent="0.2">
      <c r="A814" s="4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4"/>
      <c r="S814" s="4"/>
      <c r="T814" s="4"/>
      <c r="U814" s="4"/>
      <c r="V814" s="4"/>
      <c r="W814" s="4"/>
    </row>
    <row r="815" spans="1:23" ht="12.75" customHeight="1" x14ac:dyDescent="0.2">
      <c r="A815" s="4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4"/>
      <c r="S815" s="4"/>
      <c r="T815" s="4"/>
      <c r="U815" s="4"/>
      <c r="V815" s="4"/>
      <c r="W815" s="4"/>
    </row>
    <row r="816" spans="1:23" ht="12.75" customHeight="1" x14ac:dyDescent="0.2">
      <c r="A816" s="4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4"/>
      <c r="S816" s="4"/>
      <c r="T816" s="4"/>
      <c r="U816" s="4"/>
      <c r="V816" s="4"/>
      <c r="W816" s="4"/>
    </row>
    <row r="817" spans="1:23" ht="12.75" customHeight="1" x14ac:dyDescent="0.2">
      <c r="A817" s="4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4"/>
      <c r="S817" s="4"/>
      <c r="T817" s="4"/>
      <c r="U817" s="4"/>
      <c r="V817" s="4"/>
      <c r="W817" s="4"/>
    </row>
    <row r="818" spans="1:23" ht="12.75" customHeight="1" x14ac:dyDescent="0.2">
      <c r="A818" s="4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4"/>
      <c r="S818" s="4"/>
      <c r="T818" s="4"/>
      <c r="U818" s="4"/>
      <c r="V818" s="4"/>
      <c r="W818" s="4"/>
    </row>
    <row r="819" spans="1:23" ht="12.75" customHeight="1" x14ac:dyDescent="0.2">
      <c r="A819" s="4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4"/>
      <c r="S819" s="4"/>
      <c r="T819" s="4"/>
      <c r="U819" s="4"/>
      <c r="V819" s="4"/>
      <c r="W819" s="4"/>
    </row>
    <row r="820" spans="1:23" ht="12.75" customHeight="1" x14ac:dyDescent="0.2">
      <c r="A820" s="4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4"/>
      <c r="S820" s="4"/>
      <c r="T820" s="4"/>
      <c r="U820" s="4"/>
      <c r="V820" s="4"/>
      <c r="W820" s="4"/>
    </row>
    <row r="821" spans="1:23" ht="12.75" customHeight="1" x14ac:dyDescent="0.2">
      <c r="A821" s="4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4"/>
      <c r="S821" s="4"/>
      <c r="T821" s="4"/>
      <c r="U821" s="4"/>
      <c r="V821" s="4"/>
      <c r="W821" s="4"/>
    </row>
    <row r="822" spans="1:23" ht="12.75" customHeight="1" x14ac:dyDescent="0.2">
      <c r="A822" s="4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4"/>
      <c r="S822" s="4"/>
      <c r="T822" s="4"/>
      <c r="U822" s="4"/>
      <c r="V822" s="4"/>
      <c r="W822" s="4"/>
    </row>
    <row r="823" spans="1:23" ht="12.75" customHeight="1" x14ac:dyDescent="0.2">
      <c r="A823" s="4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4"/>
      <c r="S823" s="4"/>
      <c r="T823" s="4"/>
      <c r="U823" s="4"/>
      <c r="V823" s="4"/>
      <c r="W823" s="4"/>
    </row>
    <row r="824" spans="1:23" ht="12.75" customHeight="1" x14ac:dyDescent="0.2">
      <c r="A824" s="4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4"/>
      <c r="S824" s="4"/>
      <c r="T824" s="4"/>
      <c r="U824" s="4"/>
      <c r="V824" s="4"/>
      <c r="W824" s="4"/>
    </row>
    <row r="825" spans="1:23" ht="12.75" customHeight="1" x14ac:dyDescent="0.2">
      <c r="A825" s="4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4"/>
      <c r="S825" s="4"/>
      <c r="T825" s="4"/>
      <c r="U825" s="4"/>
      <c r="V825" s="4"/>
      <c r="W825" s="4"/>
    </row>
    <row r="826" spans="1:23" ht="12.75" customHeight="1" x14ac:dyDescent="0.2">
      <c r="A826" s="4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4"/>
      <c r="S826" s="4"/>
      <c r="T826" s="4"/>
      <c r="U826" s="4"/>
      <c r="V826" s="4"/>
      <c r="W826" s="4"/>
    </row>
    <row r="827" spans="1:23" ht="12.75" customHeight="1" x14ac:dyDescent="0.2">
      <c r="A827" s="4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4"/>
      <c r="S827" s="4"/>
      <c r="T827" s="4"/>
      <c r="U827" s="4"/>
      <c r="V827" s="4"/>
      <c r="W827" s="4"/>
    </row>
    <row r="828" spans="1:23" ht="12.75" customHeight="1" x14ac:dyDescent="0.2">
      <c r="A828" s="4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4"/>
      <c r="S828" s="4"/>
      <c r="T828" s="4"/>
      <c r="U828" s="4"/>
      <c r="V828" s="4"/>
      <c r="W828" s="4"/>
    </row>
    <row r="829" spans="1:23" ht="12.75" customHeight="1" x14ac:dyDescent="0.2">
      <c r="A829" s="4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4"/>
      <c r="S829" s="4"/>
      <c r="T829" s="4"/>
      <c r="U829" s="4"/>
      <c r="V829" s="4"/>
      <c r="W829" s="4"/>
    </row>
    <row r="830" spans="1:23" ht="12.75" customHeight="1" x14ac:dyDescent="0.2">
      <c r="A830" s="4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4"/>
      <c r="S830" s="4"/>
      <c r="T830" s="4"/>
      <c r="U830" s="4"/>
      <c r="V830" s="4"/>
      <c r="W830" s="4"/>
    </row>
    <row r="831" spans="1:23" ht="12.75" customHeight="1" x14ac:dyDescent="0.2">
      <c r="A831" s="4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4"/>
      <c r="S831" s="4"/>
      <c r="T831" s="4"/>
      <c r="U831" s="4"/>
      <c r="V831" s="4"/>
      <c r="W831" s="4"/>
    </row>
    <row r="832" spans="1:23" ht="12.75" customHeight="1" x14ac:dyDescent="0.2">
      <c r="A832" s="4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4"/>
      <c r="S832" s="4"/>
      <c r="T832" s="4"/>
      <c r="U832" s="4"/>
      <c r="V832" s="4"/>
      <c r="W832" s="4"/>
    </row>
    <row r="833" spans="1:23" ht="12.75" customHeight="1" x14ac:dyDescent="0.2">
      <c r="A833" s="4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4"/>
      <c r="S833" s="4"/>
      <c r="T833" s="4"/>
      <c r="U833" s="4"/>
      <c r="V833" s="4"/>
      <c r="W833" s="4"/>
    </row>
    <row r="834" spans="1:23" ht="12.75" customHeight="1" x14ac:dyDescent="0.2">
      <c r="A834" s="4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4"/>
      <c r="S834" s="4"/>
      <c r="T834" s="4"/>
      <c r="U834" s="4"/>
      <c r="V834" s="4"/>
      <c r="W834" s="4"/>
    </row>
    <row r="835" spans="1:23" ht="12.75" customHeight="1" x14ac:dyDescent="0.2">
      <c r="A835" s="4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4"/>
      <c r="S835" s="4"/>
      <c r="T835" s="4"/>
      <c r="U835" s="4"/>
      <c r="V835" s="4"/>
      <c r="W835" s="4"/>
    </row>
    <row r="836" spans="1:23" ht="12.75" customHeight="1" x14ac:dyDescent="0.2">
      <c r="A836" s="4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4"/>
      <c r="S836" s="4"/>
      <c r="T836" s="4"/>
      <c r="U836" s="4"/>
      <c r="V836" s="4"/>
      <c r="W836" s="4"/>
    </row>
    <row r="837" spans="1:23" ht="12.75" customHeight="1" x14ac:dyDescent="0.2">
      <c r="A837" s="4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4"/>
      <c r="S837" s="4"/>
      <c r="T837" s="4"/>
      <c r="U837" s="4"/>
      <c r="V837" s="4"/>
      <c r="W837" s="4"/>
    </row>
    <row r="838" spans="1:23" ht="12.75" customHeight="1" x14ac:dyDescent="0.2">
      <c r="A838" s="4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4"/>
      <c r="S838" s="4"/>
      <c r="T838" s="4"/>
      <c r="U838" s="4"/>
      <c r="V838" s="4"/>
      <c r="W838" s="4"/>
    </row>
    <row r="839" spans="1:23" ht="12.75" customHeight="1" x14ac:dyDescent="0.2">
      <c r="A839" s="4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4"/>
      <c r="S839" s="4"/>
      <c r="T839" s="4"/>
      <c r="U839" s="4"/>
      <c r="V839" s="4"/>
      <c r="W839" s="4"/>
    </row>
    <row r="840" spans="1:23" ht="12.75" customHeight="1" x14ac:dyDescent="0.2">
      <c r="A840" s="4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4"/>
      <c r="S840" s="4"/>
      <c r="T840" s="4"/>
      <c r="U840" s="4"/>
      <c r="V840" s="4"/>
      <c r="W840" s="4"/>
    </row>
    <row r="841" spans="1:23" ht="12.75" customHeight="1" x14ac:dyDescent="0.2">
      <c r="A841" s="4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4"/>
      <c r="S841" s="4"/>
      <c r="T841" s="4"/>
      <c r="U841" s="4"/>
      <c r="V841" s="4"/>
      <c r="W841" s="4"/>
    </row>
    <row r="842" spans="1:23" ht="12.75" customHeight="1" x14ac:dyDescent="0.2">
      <c r="A842" s="4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4"/>
      <c r="S842" s="4"/>
      <c r="T842" s="4"/>
      <c r="U842" s="4"/>
      <c r="V842" s="4"/>
      <c r="W842" s="4"/>
    </row>
    <row r="843" spans="1:23" ht="12.75" customHeight="1" x14ac:dyDescent="0.2">
      <c r="A843" s="4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4"/>
      <c r="S843" s="4"/>
      <c r="T843" s="4"/>
      <c r="U843" s="4"/>
      <c r="V843" s="4"/>
      <c r="W843" s="4"/>
    </row>
    <row r="844" spans="1:23" ht="12.75" customHeight="1" x14ac:dyDescent="0.2">
      <c r="A844" s="4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4"/>
      <c r="S844" s="4"/>
      <c r="T844" s="4"/>
      <c r="U844" s="4"/>
      <c r="V844" s="4"/>
      <c r="W844" s="4"/>
    </row>
    <row r="845" spans="1:23" ht="12.75" customHeight="1" x14ac:dyDescent="0.2">
      <c r="A845" s="4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4"/>
      <c r="S845" s="4"/>
      <c r="T845" s="4"/>
      <c r="U845" s="4"/>
      <c r="V845" s="4"/>
      <c r="W845" s="4"/>
    </row>
    <row r="846" spans="1:23" ht="12.75" customHeight="1" x14ac:dyDescent="0.2">
      <c r="A846" s="4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4"/>
      <c r="S846" s="4"/>
      <c r="T846" s="4"/>
      <c r="U846" s="4"/>
      <c r="V846" s="4"/>
      <c r="W846" s="4"/>
    </row>
    <row r="847" spans="1:23" ht="12.75" customHeight="1" x14ac:dyDescent="0.2">
      <c r="A847" s="4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4"/>
      <c r="S847" s="4"/>
      <c r="T847" s="4"/>
      <c r="U847" s="4"/>
      <c r="V847" s="4"/>
      <c r="W847" s="4"/>
    </row>
    <row r="848" spans="1:23" ht="12.75" customHeight="1" x14ac:dyDescent="0.2">
      <c r="A848" s="4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4"/>
      <c r="S848" s="4"/>
      <c r="T848" s="4"/>
      <c r="U848" s="4"/>
      <c r="V848" s="4"/>
      <c r="W848" s="4"/>
    </row>
    <row r="849" spans="1:23" ht="12.75" customHeight="1" x14ac:dyDescent="0.2">
      <c r="A849" s="4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4"/>
      <c r="S849" s="4"/>
      <c r="T849" s="4"/>
      <c r="U849" s="4"/>
      <c r="V849" s="4"/>
      <c r="W849" s="4"/>
    </row>
    <row r="850" spans="1:23" ht="12.75" customHeight="1" x14ac:dyDescent="0.2">
      <c r="A850" s="4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4"/>
      <c r="S850" s="4"/>
      <c r="T850" s="4"/>
      <c r="U850" s="4"/>
      <c r="V850" s="4"/>
      <c r="W850" s="4"/>
    </row>
    <row r="851" spans="1:23" ht="12.75" customHeight="1" x14ac:dyDescent="0.2">
      <c r="A851" s="4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4"/>
      <c r="S851" s="4"/>
      <c r="T851" s="4"/>
      <c r="U851" s="4"/>
      <c r="V851" s="4"/>
      <c r="W851" s="4"/>
    </row>
    <row r="852" spans="1:23" ht="12.75" customHeight="1" x14ac:dyDescent="0.2">
      <c r="A852" s="4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4"/>
      <c r="S852" s="4"/>
      <c r="T852" s="4"/>
      <c r="U852" s="4"/>
      <c r="V852" s="4"/>
      <c r="W852" s="4"/>
    </row>
    <row r="853" spans="1:23" ht="12.75" customHeight="1" x14ac:dyDescent="0.2">
      <c r="A853" s="4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4"/>
      <c r="S853" s="4"/>
      <c r="T853" s="4"/>
      <c r="U853" s="4"/>
      <c r="V853" s="4"/>
      <c r="W853" s="4"/>
    </row>
    <row r="854" spans="1:23" ht="12.75" customHeight="1" x14ac:dyDescent="0.2">
      <c r="A854" s="4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4"/>
      <c r="S854" s="4"/>
      <c r="T854" s="4"/>
      <c r="U854" s="4"/>
      <c r="V854" s="4"/>
      <c r="W854" s="4"/>
    </row>
    <row r="855" spans="1:23" ht="12.75" customHeight="1" x14ac:dyDescent="0.2">
      <c r="A855" s="4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4"/>
      <c r="S855" s="4"/>
      <c r="T855" s="4"/>
      <c r="U855" s="4"/>
      <c r="V855" s="4"/>
      <c r="W855" s="4"/>
    </row>
    <row r="856" spans="1:23" ht="12.75" customHeight="1" x14ac:dyDescent="0.2">
      <c r="A856" s="4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4"/>
      <c r="S856" s="4"/>
      <c r="T856" s="4"/>
      <c r="U856" s="4"/>
      <c r="V856" s="4"/>
      <c r="W856" s="4"/>
    </row>
    <row r="857" spans="1:23" ht="12.75" customHeight="1" x14ac:dyDescent="0.2">
      <c r="A857" s="4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4"/>
      <c r="S857" s="4"/>
      <c r="T857" s="4"/>
      <c r="U857" s="4"/>
      <c r="V857" s="4"/>
      <c r="W857" s="4"/>
    </row>
    <row r="858" spans="1:23" ht="12.75" customHeight="1" x14ac:dyDescent="0.2">
      <c r="A858" s="4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4"/>
      <c r="S858" s="4"/>
      <c r="T858" s="4"/>
      <c r="U858" s="4"/>
      <c r="V858" s="4"/>
      <c r="W858" s="4"/>
    </row>
    <row r="859" spans="1:23" ht="12.75" customHeight="1" x14ac:dyDescent="0.2">
      <c r="A859" s="4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4"/>
      <c r="S859" s="4"/>
      <c r="T859" s="4"/>
      <c r="U859" s="4"/>
      <c r="V859" s="4"/>
      <c r="W859" s="4"/>
    </row>
    <row r="860" spans="1:23" ht="12.75" customHeight="1" x14ac:dyDescent="0.2">
      <c r="A860" s="4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4"/>
      <c r="S860" s="4"/>
      <c r="T860" s="4"/>
      <c r="U860" s="4"/>
      <c r="V860" s="4"/>
      <c r="W860" s="4"/>
    </row>
    <row r="861" spans="1:23" ht="12.75" customHeight="1" x14ac:dyDescent="0.2">
      <c r="A861" s="4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4"/>
      <c r="S861" s="4"/>
      <c r="T861" s="4"/>
      <c r="U861" s="4"/>
      <c r="V861" s="4"/>
      <c r="W861" s="4"/>
    </row>
    <row r="862" spans="1:23" ht="12.75" customHeight="1" x14ac:dyDescent="0.2">
      <c r="A862" s="4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4"/>
      <c r="S862" s="4"/>
      <c r="T862" s="4"/>
      <c r="U862" s="4"/>
      <c r="V862" s="4"/>
      <c r="W862" s="4"/>
    </row>
    <row r="863" spans="1:23" ht="12.75" customHeight="1" x14ac:dyDescent="0.2">
      <c r="A863" s="4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4"/>
      <c r="S863" s="4"/>
      <c r="T863" s="4"/>
      <c r="U863" s="4"/>
      <c r="V863" s="4"/>
      <c r="W863" s="4"/>
    </row>
    <row r="864" spans="1:23" ht="12.75" customHeight="1" x14ac:dyDescent="0.2">
      <c r="A864" s="4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4"/>
      <c r="S864" s="4"/>
      <c r="T864" s="4"/>
      <c r="U864" s="4"/>
      <c r="V864" s="4"/>
      <c r="W864" s="4"/>
    </row>
    <row r="865" spans="1:23" ht="12.75" customHeight="1" x14ac:dyDescent="0.2">
      <c r="A865" s="4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4"/>
      <c r="S865" s="4"/>
      <c r="T865" s="4"/>
      <c r="U865" s="4"/>
      <c r="V865" s="4"/>
      <c r="W865" s="4"/>
    </row>
    <row r="866" spans="1:23" ht="12.75" customHeight="1" x14ac:dyDescent="0.2">
      <c r="A866" s="4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4"/>
      <c r="S866" s="4"/>
      <c r="T866" s="4"/>
      <c r="U866" s="4"/>
      <c r="V866" s="4"/>
      <c r="W866" s="4"/>
    </row>
    <row r="867" spans="1:23" ht="12.75" customHeight="1" x14ac:dyDescent="0.2">
      <c r="A867" s="4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4"/>
      <c r="S867" s="4"/>
      <c r="T867" s="4"/>
      <c r="U867" s="4"/>
      <c r="V867" s="4"/>
      <c r="W867" s="4"/>
    </row>
    <row r="868" spans="1:23" ht="12.75" customHeight="1" x14ac:dyDescent="0.2">
      <c r="A868" s="4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4"/>
      <c r="S868" s="4"/>
      <c r="T868" s="4"/>
      <c r="U868" s="4"/>
      <c r="V868" s="4"/>
      <c r="W868" s="4"/>
    </row>
    <row r="869" spans="1:23" ht="12.75" customHeight="1" x14ac:dyDescent="0.2">
      <c r="A869" s="4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4"/>
      <c r="S869" s="4"/>
      <c r="T869" s="4"/>
      <c r="U869" s="4"/>
      <c r="V869" s="4"/>
      <c r="W869" s="4"/>
    </row>
    <row r="870" spans="1:23" ht="12.75" customHeight="1" x14ac:dyDescent="0.2">
      <c r="A870" s="4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4"/>
      <c r="S870" s="4"/>
      <c r="T870" s="4"/>
      <c r="U870" s="4"/>
      <c r="V870" s="4"/>
      <c r="W870" s="4"/>
    </row>
    <row r="871" spans="1:23" ht="12.75" customHeight="1" x14ac:dyDescent="0.2">
      <c r="A871" s="4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4"/>
      <c r="S871" s="4"/>
      <c r="T871" s="4"/>
      <c r="U871" s="4"/>
      <c r="V871" s="4"/>
      <c r="W871" s="4"/>
    </row>
    <row r="872" spans="1:23" ht="12.75" customHeight="1" x14ac:dyDescent="0.2">
      <c r="A872" s="4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4"/>
      <c r="S872" s="4"/>
      <c r="T872" s="4"/>
      <c r="U872" s="4"/>
      <c r="V872" s="4"/>
      <c r="W872" s="4"/>
    </row>
    <row r="873" spans="1:23" ht="12.75" customHeight="1" x14ac:dyDescent="0.2">
      <c r="A873" s="4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4"/>
      <c r="S873" s="4"/>
      <c r="T873" s="4"/>
      <c r="U873" s="4"/>
      <c r="V873" s="4"/>
      <c r="W873" s="4"/>
    </row>
    <row r="874" spans="1:23" ht="12.75" customHeight="1" x14ac:dyDescent="0.2">
      <c r="A874" s="4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4"/>
      <c r="S874" s="4"/>
      <c r="T874" s="4"/>
      <c r="U874" s="4"/>
      <c r="V874" s="4"/>
      <c r="W874" s="4"/>
    </row>
    <row r="875" spans="1:23" ht="12.75" customHeight="1" x14ac:dyDescent="0.2">
      <c r="A875" s="4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4"/>
      <c r="S875" s="4"/>
      <c r="T875" s="4"/>
      <c r="U875" s="4"/>
      <c r="V875" s="4"/>
      <c r="W875" s="4"/>
    </row>
    <row r="876" spans="1:23" ht="12.75" customHeight="1" x14ac:dyDescent="0.2">
      <c r="A876" s="4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4"/>
      <c r="S876" s="4"/>
      <c r="T876" s="4"/>
      <c r="U876" s="4"/>
      <c r="V876" s="4"/>
      <c r="W876" s="4"/>
    </row>
    <row r="877" spans="1:23" ht="12.75" customHeight="1" x14ac:dyDescent="0.2">
      <c r="A877" s="4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4"/>
      <c r="S877" s="4"/>
      <c r="T877" s="4"/>
      <c r="U877" s="4"/>
      <c r="V877" s="4"/>
      <c r="W877" s="4"/>
    </row>
    <row r="878" spans="1:23" ht="12.75" customHeight="1" x14ac:dyDescent="0.2">
      <c r="A878" s="4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4"/>
      <c r="S878" s="4"/>
      <c r="T878" s="4"/>
      <c r="U878" s="4"/>
      <c r="V878" s="4"/>
      <c r="W878" s="4"/>
    </row>
    <row r="879" spans="1:23" ht="12.75" customHeight="1" x14ac:dyDescent="0.2">
      <c r="A879" s="4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4"/>
      <c r="S879" s="4"/>
      <c r="T879" s="4"/>
      <c r="U879" s="4"/>
      <c r="V879" s="4"/>
      <c r="W879" s="4"/>
    </row>
    <row r="880" spans="1:23" ht="12.75" customHeight="1" x14ac:dyDescent="0.2">
      <c r="A880" s="4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4"/>
      <c r="S880" s="4"/>
      <c r="T880" s="4"/>
      <c r="U880" s="4"/>
      <c r="V880" s="4"/>
      <c r="W880" s="4"/>
    </row>
    <row r="881" spans="1:23" ht="12.75" customHeight="1" x14ac:dyDescent="0.2">
      <c r="A881" s="4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4"/>
      <c r="S881" s="4"/>
      <c r="T881" s="4"/>
      <c r="U881" s="4"/>
      <c r="V881" s="4"/>
      <c r="W881" s="4"/>
    </row>
    <row r="882" spans="1:23" ht="12.75" customHeight="1" x14ac:dyDescent="0.2">
      <c r="A882" s="4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4"/>
      <c r="S882" s="4"/>
      <c r="T882" s="4"/>
      <c r="U882" s="4"/>
      <c r="V882" s="4"/>
      <c r="W882" s="4"/>
    </row>
    <row r="883" spans="1:23" ht="12.75" customHeight="1" x14ac:dyDescent="0.2">
      <c r="A883" s="4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4"/>
      <c r="S883" s="4"/>
      <c r="T883" s="4"/>
      <c r="U883" s="4"/>
      <c r="V883" s="4"/>
      <c r="W883" s="4"/>
    </row>
    <row r="884" spans="1:23" ht="12.75" customHeight="1" x14ac:dyDescent="0.2">
      <c r="A884" s="4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4"/>
      <c r="S884" s="4"/>
      <c r="T884" s="4"/>
      <c r="U884" s="4"/>
      <c r="V884" s="4"/>
      <c r="W884" s="4"/>
    </row>
    <row r="885" spans="1:23" ht="12.75" customHeight="1" x14ac:dyDescent="0.2">
      <c r="A885" s="4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4"/>
      <c r="S885" s="4"/>
      <c r="T885" s="4"/>
      <c r="U885" s="4"/>
      <c r="V885" s="4"/>
      <c r="W885" s="4"/>
    </row>
    <row r="886" spans="1:23" ht="12.75" customHeight="1" x14ac:dyDescent="0.2">
      <c r="A886" s="4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4"/>
      <c r="S886" s="4"/>
      <c r="T886" s="4"/>
      <c r="U886" s="4"/>
      <c r="V886" s="4"/>
      <c r="W886" s="4"/>
    </row>
    <row r="887" spans="1:23" ht="12.75" customHeight="1" x14ac:dyDescent="0.2">
      <c r="A887" s="4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4"/>
      <c r="S887" s="4"/>
      <c r="T887" s="4"/>
      <c r="U887" s="4"/>
      <c r="V887" s="4"/>
      <c r="W887" s="4"/>
    </row>
    <row r="888" spans="1:23" ht="12.75" customHeight="1" x14ac:dyDescent="0.2">
      <c r="A888" s="4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4"/>
      <c r="S888" s="4"/>
      <c r="T888" s="4"/>
      <c r="U888" s="4"/>
      <c r="V888" s="4"/>
      <c r="W888" s="4"/>
    </row>
    <row r="889" spans="1:23" ht="12.75" customHeight="1" x14ac:dyDescent="0.2">
      <c r="A889" s="4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4"/>
      <c r="S889" s="4"/>
      <c r="T889" s="4"/>
      <c r="U889" s="4"/>
      <c r="V889" s="4"/>
      <c r="W889" s="4"/>
    </row>
    <row r="890" spans="1:23" ht="12.75" customHeight="1" x14ac:dyDescent="0.2">
      <c r="A890" s="4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4"/>
      <c r="S890" s="4"/>
      <c r="T890" s="4"/>
      <c r="U890" s="4"/>
      <c r="V890" s="4"/>
      <c r="W890" s="4"/>
    </row>
    <row r="891" spans="1:23" ht="12.75" customHeight="1" x14ac:dyDescent="0.2">
      <c r="A891" s="4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4"/>
      <c r="S891" s="4"/>
      <c r="T891" s="4"/>
      <c r="U891" s="4"/>
      <c r="V891" s="4"/>
      <c r="W891" s="4"/>
    </row>
    <row r="892" spans="1:23" ht="12.75" customHeight="1" x14ac:dyDescent="0.2">
      <c r="A892" s="4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4"/>
      <c r="S892" s="4"/>
      <c r="T892" s="4"/>
      <c r="U892" s="4"/>
      <c r="V892" s="4"/>
      <c r="W892" s="4"/>
    </row>
    <row r="893" spans="1:23" ht="12.75" customHeight="1" x14ac:dyDescent="0.2">
      <c r="A893" s="4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4"/>
      <c r="S893" s="4"/>
      <c r="T893" s="4"/>
      <c r="U893" s="4"/>
      <c r="V893" s="4"/>
      <c r="W893" s="4"/>
    </row>
    <row r="894" spans="1:23" ht="12.75" customHeight="1" x14ac:dyDescent="0.2">
      <c r="A894" s="4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4"/>
      <c r="S894" s="4"/>
      <c r="T894" s="4"/>
      <c r="U894" s="4"/>
      <c r="V894" s="4"/>
      <c r="W894" s="4"/>
    </row>
    <row r="895" spans="1:23" ht="12.75" customHeight="1" x14ac:dyDescent="0.2">
      <c r="A895" s="4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4"/>
      <c r="S895" s="4"/>
      <c r="T895" s="4"/>
      <c r="U895" s="4"/>
      <c r="V895" s="4"/>
      <c r="W895" s="4"/>
    </row>
    <row r="896" spans="1:23" ht="12.75" customHeight="1" x14ac:dyDescent="0.2">
      <c r="A896" s="4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4"/>
      <c r="S896" s="4"/>
      <c r="T896" s="4"/>
      <c r="U896" s="4"/>
      <c r="V896" s="4"/>
      <c r="W896" s="4"/>
    </row>
    <row r="897" spans="1:23" ht="12.75" customHeight="1" x14ac:dyDescent="0.2">
      <c r="A897" s="4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4"/>
      <c r="S897" s="4"/>
      <c r="T897" s="4"/>
      <c r="U897" s="4"/>
      <c r="V897" s="4"/>
      <c r="W897" s="4"/>
    </row>
    <row r="898" spans="1:23" ht="12.75" customHeight="1" x14ac:dyDescent="0.2">
      <c r="A898" s="4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4"/>
      <c r="S898" s="4"/>
      <c r="T898" s="4"/>
      <c r="U898" s="4"/>
      <c r="V898" s="4"/>
      <c r="W898" s="4"/>
    </row>
    <row r="899" spans="1:23" ht="12.75" customHeight="1" x14ac:dyDescent="0.2">
      <c r="A899" s="4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4"/>
      <c r="S899" s="4"/>
      <c r="T899" s="4"/>
      <c r="U899" s="4"/>
      <c r="V899" s="4"/>
      <c r="W899" s="4"/>
    </row>
    <row r="900" spans="1:23" ht="12.75" customHeight="1" x14ac:dyDescent="0.2">
      <c r="A900" s="4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4"/>
      <c r="S900" s="4"/>
      <c r="T900" s="4"/>
      <c r="U900" s="4"/>
      <c r="V900" s="4"/>
      <c r="W900" s="4"/>
    </row>
    <row r="901" spans="1:23" ht="12.75" customHeight="1" x14ac:dyDescent="0.2">
      <c r="A901" s="4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4"/>
      <c r="S901" s="4"/>
      <c r="T901" s="4"/>
      <c r="U901" s="4"/>
      <c r="V901" s="4"/>
      <c r="W901" s="4"/>
    </row>
    <row r="902" spans="1:23" ht="12.75" customHeight="1" x14ac:dyDescent="0.2">
      <c r="A902" s="4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4"/>
      <c r="S902" s="4"/>
      <c r="T902" s="4"/>
      <c r="U902" s="4"/>
      <c r="V902" s="4"/>
      <c r="W902" s="4"/>
    </row>
    <row r="903" spans="1:23" ht="12.75" customHeight="1" x14ac:dyDescent="0.2">
      <c r="A903" s="4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4"/>
      <c r="S903" s="4"/>
      <c r="T903" s="4"/>
      <c r="U903" s="4"/>
      <c r="V903" s="4"/>
      <c r="W903" s="4"/>
    </row>
    <row r="904" spans="1:23" ht="12.75" customHeight="1" x14ac:dyDescent="0.2">
      <c r="A904" s="4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4"/>
      <c r="S904" s="4"/>
      <c r="T904" s="4"/>
      <c r="U904" s="4"/>
      <c r="V904" s="4"/>
      <c r="W904" s="4"/>
    </row>
    <row r="905" spans="1:23" ht="12.75" customHeight="1" x14ac:dyDescent="0.2">
      <c r="A905" s="4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4"/>
      <c r="S905" s="4"/>
      <c r="T905" s="4"/>
      <c r="U905" s="4"/>
      <c r="V905" s="4"/>
      <c r="W905" s="4"/>
    </row>
    <row r="906" spans="1:23" ht="12.75" customHeight="1" x14ac:dyDescent="0.2">
      <c r="A906" s="4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4"/>
      <c r="S906" s="4"/>
      <c r="T906" s="4"/>
      <c r="U906" s="4"/>
      <c r="V906" s="4"/>
      <c r="W906" s="4"/>
    </row>
    <row r="907" spans="1:23" ht="12.75" customHeight="1" x14ac:dyDescent="0.2">
      <c r="A907" s="4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4"/>
      <c r="S907" s="4"/>
      <c r="T907" s="4"/>
      <c r="U907" s="4"/>
      <c r="V907" s="4"/>
      <c r="W907" s="4"/>
    </row>
    <row r="908" spans="1:23" ht="12.75" customHeight="1" x14ac:dyDescent="0.2">
      <c r="A908" s="4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4"/>
      <c r="S908" s="4"/>
      <c r="T908" s="4"/>
      <c r="U908" s="4"/>
      <c r="V908" s="4"/>
      <c r="W908" s="4"/>
    </row>
    <row r="909" spans="1:23" ht="12.75" customHeight="1" x14ac:dyDescent="0.2">
      <c r="A909" s="4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4"/>
      <c r="S909" s="4"/>
      <c r="T909" s="4"/>
      <c r="U909" s="4"/>
      <c r="V909" s="4"/>
      <c r="W909" s="4"/>
    </row>
    <row r="910" spans="1:23" ht="12.75" customHeight="1" x14ac:dyDescent="0.2">
      <c r="A910" s="4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4"/>
      <c r="S910" s="4"/>
      <c r="T910" s="4"/>
      <c r="U910" s="4"/>
      <c r="V910" s="4"/>
      <c r="W910" s="4"/>
    </row>
    <row r="911" spans="1:23" ht="12.75" customHeight="1" x14ac:dyDescent="0.2">
      <c r="A911" s="4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4"/>
      <c r="S911" s="4"/>
      <c r="T911" s="4"/>
      <c r="U911" s="4"/>
      <c r="V911" s="4"/>
      <c r="W911" s="4"/>
    </row>
    <row r="912" spans="1:23" ht="12.75" customHeight="1" x14ac:dyDescent="0.2">
      <c r="A912" s="4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4"/>
      <c r="S912" s="4"/>
      <c r="T912" s="4"/>
      <c r="U912" s="4"/>
      <c r="V912" s="4"/>
      <c r="W912" s="4"/>
    </row>
    <row r="913" spans="1:23" ht="12.75" customHeight="1" x14ac:dyDescent="0.2">
      <c r="A913" s="4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4"/>
      <c r="S913" s="4"/>
      <c r="T913" s="4"/>
      <c r="U913" s="4"/>
      <c r="V913" s="4"/>
      <c r="W913" s="4"/>
    </row>
    <row r="914" spans="1:23" ht="12.75" customHeight="1" x14ac:dyDescent="0.2">
      <c r="A914" s="4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4"/>
      <c r="S914" s="4"/>
      <c r="T914" s="4"/>
      <c r="U914" s="4"/>
      <c r="V914" s="4"/>
      <c r="W914" s="4"/>
    </row>
    <row r="915" spans="1:23" ht="12.75" customHeight="1" x14ac:dyDescent="0.2">
      <c r="A915" s="4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4"/>
      <c r="S915" s="4"/>
      <c r="T915" s="4"/>
      <c r="U915" s="4"/>
      <c r="V915" s="4"/>
      <c r="W915" s="4"/>
    </row>
    <row r="916" spans="1:23" ht="12.75" customHeight="1" x14ac:dyDescent="0.2">
      <c r="A916" s="4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4"/>
      <c r="S916" s="4"/>
      <c r="T916" s="4"/>
      <c r="U916" s="4"/>
      <c r="V916" s="4"/>
      <c r="W916" s="4"/>
    </row>
    <row r="917" spans="1:23" ht="12.75" customHeight="1" x14ac:dyDescent="0.2">
      <c r="A917" s="4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4"/>
      <c r="S917" s="4"/>
      <c r="T917" s="4"/>
      <c r="U917" s="4"/>
      <c r="V917" s="4"/>
      <c r="W917" s="4"/>
    </row>
    <row r="918" spans="1:23" ht="12.75" customHeight="1" x14ac:dyDescent="0.2">
      <c r="A918" s="4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4"/>
      <c r="S918" s="4"/>
      <c r="T918" s="4"/>
      <c r="U918" s="4"/>
      <c r="V918" s="4"/>
      <c r="W918" s="4"/>
    </row>
    <row r="919" spans="1:23" ht="12.75" customHeight="1" x14ac:dyDescent="0.2">
      <c r="A919" s="4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4"/>
      <c r="S919" s="4"/>
      <c r="T919" s="4"/>
      <c r="U919" s="4"/>
      <c r="V919" s="4"/>
      <c r="W919" s="4"/>
    </row>
    <row r="920" spans="1:23" ht="12.75" customHeight="1" x14ac:dyDescent="0.2">
      <c r="A920" s="4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4"/>
      <c r="S920" s="4"/>
      <c r="T920" s="4"/>
      <c r="U920" s="4"/>
      <c r="V920" s="4"/>
      <c r="W920" s="4"/>
    </row>
    <row r="921" spans="1:23" ht="12.75" customHeight="1" x14ac:dyDescent="0.2">
      <c r="A921" s="4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4"/>
      <c r="S921" s="4"/>
      <c r="T921" s="4"/>
      <c r="U921" s="4"/>
      <c r="V921" s="4"/>
      <c r="W921" s="4"/>
    </row>
    <row r="922" spans="1:23" ht="12.75" customHeight="1" x14ac:dyDescent="0.2">
      <c r="A922" s="4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4"/>
      <c r="S922" s="4"/>
      <c r="T922" s="4"/>
      <c r="U922" s="4"/>
      <c r="V922" s="4"/>
      <c r="W922" s="4"/>
    </row>
    <row r="923" spans="1:23" ht="12.75" customHeight="1" x14ac:dyDescent="0.2">
      <c r="A923" s="4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4"/>
      <c r="S923" s="4"/>
      <c r="T923" s="4"/>
      <c r="U923" s="4"/>
      <c r="V923" s="4"/>
      <c r="W923" s="4"/>
    </row>
    <row r="924" spans="1:23" ht="12.75" customHeight="1" x14ac:dyDescent="0.2">
      <c r="A924" s="4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4"/>
      <c r="S924" s="4"/>
      <c r="T924" s="4"/>
      <c r="U924" s="4"/>
      <c r="V924" s="4"/>
      <c r="W924" s="4"/>
    </row>
    <row r="925" spans="1:23" ht="12.75" customHeight="1" x14ac:dyDescent="0.2">
      <c r="A925" s="4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4"/>
      <c r="S925" s="4"/>
      <c r="T925" s="4"/>
      <c r="U925" s="4"/>
      <c r="V925" s="4"/>
      <c r="W925" s="4"/>
    </row>
    <row r="926" spans="1:23" ht="12.75" customHeight="1" x14ac:dyDescent="0.2">
      <c r="A926" s="4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4"/>
      <c r="S926" s="4"/>
      <c r="T926" s="4"/>
      <c r="U926" s="4"/>
      <c r="V926" s="4"/>
      <c r="W926" s="4"/>
    </row>
    <row r="927" spans="1:23" ht="12.75" customHeight="1" x14ac:dyDescent="0.2">
      <c r="A927" s="4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4"/>
      <c r="S927" s="4"/>
      <c r="T927" s="4"/>
      <c r="U927" s="4"/>
      <c r="V927" s="4"/>
      <c r="W927" s="4"/>
    </row>
    <row r="928" spans="1:23" ht="12.75" customHeight="1" x14ac:dyDescent="0.2">
      <c r="A928" s="4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4"/>
      <c r="S928" s="4"/>
      <c r="T928" s="4"/>
      <c r="U928" s="4"/>
      <c r="V928" s="4"/>
      <c r="W928" s="4"/>
    </row>
    <row r="929" spans="1:23" ht="12.75" customHeight="1" x14ac:dyDescent="0.2">
      <c r="A929" s="4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4"/>
      <c r="S929" s="4"/>
      <c r="T929" s="4"/>
      <c r="U929" s="4"/>
      <c r="V929" s="4"/>
      <c r="W929" s="4"/>
    </row>
    <row r="930" spans="1:23" ht="12.75" customHeight="1" x14ac:dyDescent="0.2">
      <c r="A930" s="4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4"/>
      <c r="S930" s="4"/>
      <c r="T930" s="4"/>
      <c r="U930" s="4"/>
      <c r="V930" s="4"/>
      <c r="W930" s="4"/>
    </row>
    <row r="931" spans="1:23" ht="12.75" customHeight="1" x14ac:dyDescent="0.2">
      <c r="A931" s="4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4"/>
      <c r="S931" s="4"/>
      <c r="T931" s="4"/>
      <c r="U931" s="4"/>
      <c r="V931" s="4"/>
      <c r="W931" s="4"/>
    </row>
    <row r="932" spans="1:23" ht="12.75" customHeight="1" x14ac:dyDescent="0.2">
      <c r="A932" s="4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4"/>
      <c r="S932" s="4"/>
      <c r="T932" s="4"/>
      <c r="U932" s="4"/>
      <c r="V932" s="4"/>
      <c r="W932" s="4"/>
    </row>
    <row r="933" spans="1:23" ht="12.75" customHeight="1" x14ac:dyDescent="0.2">
      <c r="A933" s="4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4"/>
      <c r="S933" s="4"/>
      <c r="T933" s="4"/>
      <c r="U933" s="4"/>
      <c r="V933" s="4"/>
      <c r="W933" s="4"/>
    </row>
    <row r="934" spans="1:23" ht="12.75" customHeight="1" x14ac:dyDescent="0.2">
      <c r="A934" s="4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4"/>
      <c r="S934" s="4"/>
      <c r="T934" s="4"/>
      <c r="U934" s="4"/>
      <c r="V934" s="4"/>
      <c r="W934" s="4"/>
    </row>
    <row r="935" spans="1:23" ht="12.75" customHeight="1" x14ac:dyDescent="0.2">
      <c r="A935" s="4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4"/>
      <c r="S935" s="4"/>
      <c r="T935" s="4"/>
      <c r="U935" s="4"/>
      <c r="V935" s="4"/>
      <c r="W935" s="4"/>
    </row>
    <row r="936" spans="1:23" ht="12.75" customHeight="1" x14ac:dyDescent="0.2">
      <c r="A936" s="4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4"/>
      <c r="S936" s="4"/>
      <c r="T936" s="4"/>
      <c r="U936" s="4"/>
      <c r="V936" s="4"/>
      <c r="W936" s="4"/>
    </row>
    <row r="937" spans="1:23" ht="12.75" customHeight="1" x14ac:dyDescent="0.2">
      <c r="A937" s="4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4"/>
      <c r="S937" s="4"/>
      <c r="T937" s="4"/>
      <c r="U937" s="4"/>
      <c r="V937" s="4"/>
      <c r="W937" s="4"/>
    </row>
    <row r="938" spans="1:23" ht="12.75" customHeight="1" x14ac:dyDescent="0.2">
      <c r="A938" s="4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4"/>
      <c r="S938" s="4"/>
      <c r="T938" s="4"/>
      <c r="U938" s="4"/>
      <c r="V938" s="4"/>
      <c r="W938" s="4"/>
    </row>
    <row r="939" spans="1:23" ht="12.75" customHeight="1" x14ac:dyDescent="0.2">
      <c r="A939" s="4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4"/>
      <c r="S939" s="4"/>
      <c r="T939" s="4"/>
      <c r="U939" s="4"/>
      <c r="V939" s="4"/>
      <c r="W939" s="4"/>
    </row>
    <row r="940" spans="1:23" ht="12.75" customHeight="1" x14ac:dyDescent="0.2">
      <c r="A940" s="4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4"/>
      <c r="S940" s="4"/>
      <c r="T940" s="4"/>
      <c r="U940" s="4"/>
      <c r="V940" s="4"/>
      <c r="W940" s="4"/>
    </row>
    <row r="941" spans="1:23" ht="12.75" customHeight="1" x14ac:dyDescent="0.2">
      <c r="A941" s="4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4"/>
      <c r="S941" s="4"/>
      <c r="T941" s="4"/>
      <c r="U941" s="4"/>
      <c r="V941" s="4"/>
      <c r="W941" s="4"/>
    </row>
    <row r="942" spans="1:23" ht="12.75" customHeight="1" x14ac:dyDescent="0.2">
      <c r="A942" s="4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4"/>
      <c r="S942" s="4"/>
      <c r="T942" s="4"/>
      <c r="U942" s="4"/>
      <c r="V942" s="4"/>
      <c r="W942" s="4"/>
    </row>
    <row r="943" spans="1:23" ht="12.75" customHeight="1" x14ac:dyDescent="0.2">
      <c r="A943" s="4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4"/>
      <c r="S943" s="4"/>
      <c r="T943" s="4"/>
      <c r="U943" s="4"/>
      <c r="V943" s="4"/>
      <c r="W943" s="4"/>
    </row>
    <row r="944" spans="1:23" ht="12.75" customHeight="1" x14ac:dyDescent="0.2">
      <c r="A944" s="4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4"/>
      <c r="S944" s="4"/>
      <c r="T944" s="4"/>
      <c r="U944" s="4"/>
      <c r="V944" s="4"/>
      <c r="W944" s="4"/>
    </row>
    <row r="945" spans="1:23" ht="12.75" customHeight="1" x14ac:dyDescent="0.2">
      <c r="A945" s="4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4"/>
      <c r="S945" s="4"/>
      <c r="T945" s="4"/>
      <c r="U945" s="4"/>
      <c r="V945" s="4"/>
      <c r="W945" s="4"/>
    </row>
    <row r="946" spans="1:23" ht="12.75" customHeight="1" x14ac:dyDescent="0.2">
      <c r="A946" s="4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4"/>
      <c r="S946" s="4"/>
      <c r="T946" s="4"/>
      <c r="U946" s="4"/>
      <c r="V946" s="4"/>
      <c r="W946" s="4"/>
    </row>
    <row r="947" spans="1:23" ht="12.75" customHeight="1" x14ac:dyDescent="0.2">
      <c r="A947" s="4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4"/>
      <c r="S947" s="4"/>
      <c r="T947" s="4"/>
      <c r="U947" s="4"/>
      <c r="V947" s="4"/>
      <c r="W947" s="4"/>
    </row>
    <row r="948" spans="1:23" ht="12.75" customHeight="1" x14ac:dyDescent="0.2">
      <c r="A948" s="4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4"/>
      <c r="S948" s="4"/>
      <c r="T948" s="4"/>
      <c r="U948" s="4"/>
      <c r="V948" s="4"/>
      <c r="W948" s="4"/>
    </row>
    <row r="949" spans="1:23" ht="12.75" customHeight="1" x14ac:dyDescent="0.2">
      <c r="A949" s="4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4"/>
      <c r="S949" s="4"/>
      <c r="T949" s="4"/>
      <c r="U949" s="4"/>
      <c r="V949" s="4"/>
      <c r="W949" s="4"/>
    </row>
    <row r="950" spans="1:23" ht="12.75" customHeight="1" x14ac:dyDescent="0.2">
      <c r="A950" s="4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4"/>
      <c r="S950" s="4"/>
      <c r="T950" s="4"/>
      <c r="U950" s="4"/>
      <c r="V950" s="4"/>
      <c r="W950" s="4"/>
    </row>
    <row r="951" spans="1:23" ht="12.75" customHeight="1" x14ac:dyDescent="0.2">
      <c r="A951" s="4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4"/>
      <c r="S951" s="4"/>
      <c r="T951" s="4"/>
      <c r="U951" s="4"/>
      <c r="V951" s="4"/>
      <c r="W951" s="4"/>
    </row>
    <row r="952" spans="1:23" ht="12.75" customHeight="1" x14ac:dyDescent="0.2">
      <c r="A952" s="4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4"/>
      <c r="S952" s="4"/>
      <c r="T952" s="4"/>
      <c r="U952" s="4"/>
      <c r="V952" s="4"/>
      <c r="W952" s="4"/>
    </row>
    <row r="953" spans="1:23" ht="12.75" customHeight="1" x14ac:dyDescent="0.2">
      <c r="A953" s="4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4"/>
      <c r="S953" s="4"/>
      <c r="T953" s="4"/>
      <c r="U953" s="4"/>
      <c r="V953" s="4"/>
      <c r="W953" s="4"/>
    </row>
    <row r="954" spans="1:23" ht="12.75" customHeight="1" x14ac:dyDescent="0.2">
      <c r="A954" s="4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4"/>
      <c r="S954" s="4"/>
      <c r="T954" s="4"/>
      <c r="U954" s="4"/>
      <c r="V954" s="4"/>
      <c r="W954" s="4"/>
    </row>
    <row r="955" spans="1:23" ht="12.75" customHeight="1" x14ac:dyDescent="0.2">
      <c r="A955" s="4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4"/>
      <c r="S955" s="4"/>
      <c r="T955" s="4"/>
      <c r="U955" s="4"/>
      <c r="V955" s="4"/>
      <c r="W955" s="4"/>
    </row>
    <row r="956" spans="1:23" ht="12.75" customHeight="1" x14ac:dyDescent="0.2">
      <c r="A956" s="4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4"/>
      <c r="S956" s="4"/>
      <c r="T956" s="4"/>
      <c r="U956" s="4"/>
      <c r="V956" s="4"/>
      <c r="W956" s="4"/>
    </row>
    <row r="957" spans="1:23" ht="12.75" customHeight="1" x14ac:dyDescent="0.2">
      <c r="A957" s="4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4"/>
      <c r="S957" s="4"/>
      <c r="T957" s="4"/>
      <c r="U957" s="4"/>
      <c r="V957" s="4"/>
      <c r="W957" s="4"/>
    </row>
    <row r="958" spans="1:23" ht="12.75" customHeight="1" x14ac:dyDescent="0.2">
      <c r="A958" s="4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4"/>
      <c r="S958" s="4"/>
      <c r="T958" s="4"/>
      <c r="U958" s="4"/>
      <c r="V958" s="4"/>
      <c r="W958" s="4"/>
    </row>
    <row r="959" spans="1:23" ht="12.75" customHeight="1" x14ac:dyDescent="0.2">
      <c r="A959" s="4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4"/>
      <c r="S959" s="4"/>
      <c r="T959" s="4"/>
      <c r="U959" s="4"/>
      <c r="V959" s="4"/>
      <c r="W959" s="4"/>
    </row>
    <row r="960" spans="1:23" ht="12.75" customHeight="1" x14ac:dyDescent="0.2">
      <c r="A960" s="4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4"/>
      <c r="S960" s="4"/>
      <c r="T960" s="4"/>
      <c r="U960" s="4"/>
      <c r="V960" s="4"/>
      <c r="W960" s="4"/>
    </row>
    <row r="961" spans="1:23" ht="12.75" customHeight="1" x14ac:dyDescent="0.2">
      <c r="A961" s="4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4"/>
      <c r="S961" s="4"/>
      <c r="T961" s="4"/>
      <c r="U961" s="4"/>
      <c r="V961" s="4"/>
      <c r="W961" s="4"/>
    </row>
    <row r="962" spans="1:23" ht="12.75" customHeight="1" x14ac:dyDescent="0.2">
      <c r="A962" s="4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4"/>
      <c r="S962" s="4"/>
      <c r="T962" s="4"/>
      <c r="U962" s="4"/>
      <c r="V962" s="4"/>
      <c r="W962" s="4"/>
    </row>
    <row r="963" spans="1:23" ht="12.75" customHeight="1" x14ac:dyDescent="0.2">
      <c r="A963" s="4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4"/>
      <c r="S963" s="4"/>
      <c r="T963" s="4"/>
      <c r="U963" s="4"/>
      <c r="V963" s="4"/>
      <c r="W963" s="4"/>
    </row>
    <row r="964" spans="1:23" ht="12.75" customHeight="1" x14ac:dyDescent="0.2">
      <c r="A964" s="4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4"/>
      <c r="S964" s="4"/>
      <c r="T964" s="4"/>
      <c r="U964" s="4"/>
      <c r="V964" s="4"/>
      <c r="W964" s="4"/>
    </row>
    <row r="965" spans="1:23" ht="12.75" customHeight="1" x14ac:dyDescent="0.2">
      <c r="A965" s="4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4"/>
      <c r="S965" s="4"/>
      <c r="T965" s="4"/>
      <c r="U965" s="4"/>
      <c r="V965" s="4"/>
      <c r="W965" s="4"/>
    </row>
    <row r="966" spans="1:23" ht="12.75" customHeight="1" x14ac:dyDescent="0.2">
      <c r="A966" s="4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4"/>
      <c r="S966" s="4"/>
      <c r="T966" s="4"/>
      <c r="U966" s="4"/>
      <c r="V966" s="4"/>
      <c r="W966" s="4"/>
    </row>
    <row r="967" spans="1:23" ht="12.75" customHeight="1" x14ac:dyDescent="0.2">
      <c r="A967" s="4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4"/>
      <c r="S967" s="4"/>
      <c r="T967" s="4"/>
      <c r="U967" s="4"/>
      <c r="V967" s="4"/>
      <c r="W967" s="4"/>
    </row>
    <row r="968" spans="1:23" ht="12.75" customHeight="1" x14ac:dyDescent="0.2">
      <c r="A968" s="4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4"/>
      <c r="S968" s="4"/>
      <c r="T968" s="4"/>
      <c r="U968" s="4"/>
      <c r="V968" s="4"/>
      <c r="W968" s="4"/>
    </row>
    <row r="969" spans="1:23" ht="12.75" customHeight="1" x14ac:dyDescent="0.2">
      <c r="A969" s="4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4"/>
      <c r="S969" s="4"/>
      <c r="T969" s="4"/>
      <c r="U969" s="4"/>
      <c r="V969" s="4"/>
      <c r="W969" s="4"/>
    </row>
    <row r="970" spans="1:23" ht="12.75" customHeight="1" x14ac:dyDescent="0.2">
      <c r="A970" s="4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4"/>
      <c r="S970" s="4"/>
      <c r="T970" s="4"/>
      <c r="U970" s="4"/>
      <c r="V970" s="4"/>
      <c r="W970" s="4"/>
    </row>
    <row r="971" spans="1:23" ht="12.75" customHeight="1" x14ac:dyDescent="0.2">
      <c r="A971" s="4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4"/>
      <c r="S971" s="4"/>
      <c r="T971" s="4"/>
      <c r="U971" s="4"/>
      <c r="V971" s="4"/>
      <c r="W971" s="4"/>
    </row>
    <row r="972" spans="1:23" ht="12.75" customHeight="1" x14ac:dyDescent="0.2">
      <c r="A972" s="4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4"/>
      <c r="S972" s="4"/>
      <c r="T972" s="4"/>
      <c r="U972" s="4"/>
      <c r="V972" s="4"/>
      <c r="W972" s="4"/>
    </row>
    <row r="973" spans="1:23" ht="12.75" customHeight="1" x14ac:dyDescent="0.2">
      <c r="A973" s="4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4"/>
      <c r="S973" s="4"/>
      <c r="T973" s="4"/>
      <c r="U973" s="4"/>
      <c r="V973" s="4"/>
      <c r="W973" s="4"/>
    </row>
    <row r="974" spans="1:23" ht="12.75" customHeight="1" x14ac:dyDescent="0.2">
      <c r="A974" s="4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4"/>
      <c r="S974" s="4"/>
      <c r="T974" s="4"/>
      <c r="U974" s="4"/>
      <c r="V974" s="4"/>
      <c r="W974" s="4"/>
    </row>
    <row r="975" spans="1:23" ht="12.75" customHeight="1" x14ac:dyDescent="0.2">
      <c r="A975" s="4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4"/>
      <c r="S975" s="4"/>
      <c r="T975" s="4"/>
      <c r="U975" s="4"/>
      <c r="V975" s="4"/>
      <c r="W975" s="4"/>
    </row>
    <row r="976" spans="1:23" ht="12.75" customHeight="1" x14ac:dyDescent="0.2">
      <c r="A976" s="4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4"/>
      <c r="S976" s="4"/>
      <c r="T976" s="4"/>
      <c r="U976" s="4"/>
      <c r="V976" s="4"/>
      <c r="W976" s="4"/>
    </row>
    <row r="977" spans="1:23" ht="12.75" customHeight="1" x14ac:dyDescent="0.2">
      <c r="A977" s="4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4"/>
      <c r="S977" s="4"/>
      <c r="T977" s="4"/>
      <c r="U977" s="4"/>
      <c r="V977" s="4"/>
      <c r="W977" s="4"/>
    </row>
    <row r="978" spans="1:23" ht="12.75" customHeight="1" x14ac:dyDescent="0.2">
      <c r="A978" s="4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4"/>
      <c r="S978" s="4"/>
      <c r="T978" s="4"/>
      <c r="U978" s="4"/>
      <c r="V978" s="4"/>
      <c r="W978" s="4"/>
    </row>
    <row r="979" spans="1:23" ht="12.75" customHeight="1" x14ac:dyDescent="0.2">
      <c r="A979" s="4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4"/>
      <c r="S979" s="4"/>
      <c r="T979" s="4"/>
      <c r="U979" s="4"/>
      <c r="V979" s="4"/>
      <c r="W979" s="4"/>
    </row>
    <row r="980" spans="1:23" ht="12.75" customHeight="1" x14ac:dyDescent="0.2">
      <c r="A980" s="4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4"/>
      <c r="S980" s="4"/>
      <c r="T980" s="4"/>
      <c r="U980" s="4"/>
      <c r="V980" s="4"/>
      <c r="W980" s="4"/>
    </row>
    <row r="981" spans="1:23" ht="12.75" customHeight="1" x14ac:dyDescent="0.2">
      <c r="A981" s="4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4"/>
      <c r="S981" s="4"/>
      <c r="T981" s="4"/>
      <c r="U981" s="4"/>
      <c r="V981" s="4"/>
      <c r="W981" s="4"/>
    </row>
    <row r="982" spans="1:23" ht="12.75" customHeight="1" x14ac:dyDescent="0.2">
      <c r="A982" s="4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4"/>
      <c r="S982" s="4"/>
      <c r="T982" s="4"/>
      <c r="U982" s="4"/>
      <c r="V982" s="4"/>
      <c r="W982" s="4"/>
    </row>
    <row r="983" spans="1:23" ht="12.75" customHeight="1" x14ac:dyDescent="0.2">
      <c r="A983" s="4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4"/>
      <c r="S983" s="4"/>
      <c r="T983" s="4"/>
      <c r="U983" s="4"/>
      <c r="V983" s="4"/>
      <c r="W983" s="4"/>
    </row>
    <row r="984" spans="1:23" ht="12.75" customHeight="1" x14ac:dyDescent="0.2">
      <c r="A984" s="4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4"/>
      <c r="S984" s="4"/>
      <c r="T984" s="4"/>
      <c r="U984" s="4"/>
      <c r="V984" s="4"/>
      <c r="W984" s="4"/>
    </row>
    <row r="985" spans="1:23" ht="12.75" customHeight="1" x14ac:dyDescent="0.2">
      <c r="A985" s="4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4"/>
      <c r="S985" s="4"/>
      <c r="T985" s="4"/>
      <c r="U985" s="4"/>
      <c r="V985" s="4"/>
      <c r="W985" s="4"/>
    </row>
    <row r="986" spans="1:23" ht="12.75" customHeight="1" x14ac:dyDescent="0.2">
      <c r="A986" s="4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4"/>
      <c r="S986" s="4"/>
      <c r="T986" s="4"/>
      <c r="U986" s="4"/>
      <c r="V986" s="4"/>
      <c r="W986" s="4"/>
    </row>
    <row r="987" spans="1:23" ht="12.75" customHeight="1" x14ac:dyDescent="0.2">
      <c r="A987" s="4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4"/>
      <c r="S987" s="4"/>
      <c r="T987" s="4"/>
      <c r="U987" s="4"/>
      <c r="V987" s="4"/>
      <c r="W987" s="4"/>
    </row>
    <row r="988" spans="1:23" ht="12.75" customHeight="1" x14ac:dyDescent="0.2">
      <c r="A988" s="4"/>
      <c r="B988" s="4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4"/>
      <c r="S988" s="4"/>
      <c r="T988" s="4"/>
      <c r="U988" s="4"/>
      <c r="V988" s="4"/>
      <c r="W988" s="4"/>
    </row>
    <row r="989" spans="1:23" ht="12.75" customHeight="1" x14ac:dyDescent="0.2">
      <c r="A989" s="4"/>
      <c r="B989" s="4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4"/>
      <c r="S989" s="4"/>
      <c r="T989" s="4"/>
      <c r="U989" s="4"/>
      <c r="V989" s="4"/>
      <c r="W989" s="4"/>
    </row>
    <row r="990" spans="1:23" ht="12.75" customHeight="1" x14ac:dyDescent="0.2">
      <c r="A990" s="4"/>
      <c r="B990" s="4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4"/>
      <c r="S990" s="4"/>
      <c r="T990" s="4"/>
      <c r="U990" s="4"/>
      <c r="V990" s="4"/>
      <c r="W990" s="4"/>
    </row>
    <row r="991" spans="1:23" ht="12.75" customHeight="1" x14ac:dyDescent="0.2">
      <c r="A991" s="4"/>
      <c r="B991" s="4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4"/>
      <c r="S991" s="4"/>
      <c r="T991" s="4"/>
      <c r="U991" s="4"/>
      <c r="V991" s="4"/>
      <c r="W991" s="4"/>
    </row>
    <row r="992" spans="1:23" ht="12.75" customHeight="1" x14ac:dyDescent="0.2">
      <c r="A992" s="4"/>
      <c r="B992" s="4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4"/>
      <c r="S992" s="4"/>
      <c r="T992" s="4"/>
      <c r="U992" s="4"/>
      <c r="V992" s="4"/>
      <c r="W992" s="4"/>
    </row>
    <row r="993" spans="1:23" ht="12.75" customHeight="1" x14ac:dyDescent="0.2">
      <c r="A993" s="4"/>
      <c r="B993" s="4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4"/>
      <c r="S993" s="4"/>
      <c r="T993" s="4"/>
      <c r="U993" s="4"/>
      <c r="V993" s="4"/>
      <c r="W993" s="4"/>
    </row>
    <row r="994" spans="1:23" ht="12.75" customHeight="1" x14ac:dyDescent="0.2">
      <c r="A994" s="4"/>
      <c r="B994" s="4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4"/>
      <c r="S994" s="4"/>
      <c r="T994" s="4"/>
      <c r="U994" s="4"/>
      <c r="V994" s="4"/>
      <c r="W994" s="4"/>
    </row>
    <row r="995" spans="1:23" ht="12.75" customHeight="1" x14ac:dyDescent="0.2">
      <c r="A995" s="4"/>
      <c r="B995" s="4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4"/>
      <c r="S995" s="4"/>
      <c r="T995" s="4"/>
      <c r="U995" s="4"/>
      <c r="V995" s="4"/>
      <c r="W995" s="4"/>
    </row>
    <row r="996" spans="1:23" ht="12.75" customHeight="1" x14ac:dyDescent="0.2">
      <c r="A996" s="4"/>
      <c r="B996" s="4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4"/>
      <c r="S996" s="4"/>
      <c r="T996" s="4"/>
      <c r="U996" s="4"/>
      <c r="V996" s="4"/>
      <c r="W996" s="4"/>
    </row>
    <row r="997" spans="1:23" ht="12.75" customHeight="1" x14ac:dyDescent="0.2">
      <c r="A997" s="4"/>
      <c r="B997" s="4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4"/>
      <c r="S997" s="4"/>
      <c r="T997" s="4"/>
      <c r="U997" s="4"/>
      <c r="V997" s="4"/>
      <c r="W997" s="4"/>
    </row>
    <row r="998" spans="1:23" ht="12.75" customHeight="1" x14ac:dyDescent="0.2">
      <c r="A998" s="4"/>
      <c r="B998" s="4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4"/>
      <c r="S998" s="4"/>
      <c r="T998" s="4"/>
      <c r="U998" s="4"/>
      <c r="V998" s="4"/>
      <c r="W998" s="4"/>
    </row>
    <row r="999" spans="1:23" ht="12.75" customHeight="1" x14ac:dyDescent="0.2">
      <c r="A999" s="4"/>
      <c r="B999" s="4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4"/>
      <c r="S999" s="4"/>
      <c r="T999" s="4"/>
      <c r="U999" s="4"/>
      <c r="V999" s="4"/>
      <c r="W999" s="4"/>
    </row>
    <row r="1000" spans="1:23" ht="12.75" customHeight="1" x14ac:dyDescent="0.2">
      <c r="A1000" s="4"/>
      <c r="B1000" s="4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4"/>
      <c r="S1000" s="4"/>
      <c r="T1000" s="4"/>
      <c r="U1000" s="4"/>
      <c r="V1000" s="4"/>
      <c r="W1000" s="4"/>
    </row>
  </sheetData>
  <conditionalFormatting sqref="AF1:AF1048576">
    <cfRule type="cellIs" dxfId="2" priority="2" operator="equal">
      <formula>0</formula>
    </cfRule>
    <cfRule type="cellIs" dxfId="1" priority="1" operator="greaterThan">
      <formula>0</formula>
    </cfRule>
  </conditionalFormatting>
  <pageMargins left="0.7" right="0.7" top="0.75" bottom="0.75" header="0" footer="0"/>
  <pageSetup paperSize="9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2025-01-17T11:18:23Z</dcterms:created>
  <dcterms:modified xsi:type="dcterms:W3CDTF">2025-01-17T12:25:35Z</dcterms:modified>
</cp:coreProperties>
</file>