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ka\Desktop\EPE\"/>
    </mc:Choice>
  </mc:AlternateContent>
  <xr:revisionPtr revIDLastSave="0" documentId="13_ncr:1_{DE64C0C3-0D96-483E-AA7D-1BD112CCDD20}" xr6:coauthVersionLast="45" xr6:coauthVersionMax="45" xr10:uidLastSave="{00000000-0000-0000-0000-000000000000}"/>
  <bookViews>
    <workbookView xWindow="-108" yWindow="-108" windowWidth="23256" windowHeight="12576" activeTab="2" xr2:uid="{9BBC511C-1E91-4A1E-A0B8-0A0B77AD949E}"/>
  </bookViews>
  <sheets>
    <sheet name="PH" sheetId="1" r:id="rId1"/>
    <sheet name="PKS" sheetId="2" r:id="rId2"/>
    <sheet name="Proračun elemen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" i="2"/>
  <c r="Q2" i="2" s="1"/>
  <c r="B30" i="3"/>
  <c r="D8" i="2"/>
  <c r="E8" i="2" s="1"/>
  <c r="I8" i="2"/>
  <c r="D6" i="1"/>
  <c r="E6" i="1" s="1"/>
  <c r="Q6" i="1" s="1"/>
  <c r="I6" i="1"/>
  <c r="R6" i="1" s="1"/>
  <c r="S6" i="1" s="1"/>
  <c r="I26" i="1" l="1"/>
  <c r="R26" i="1" s="1"/>
  <c r="D26" i="1"/>
  <c r="E26" i="1" s="1"/>
  <c r="Q26" i="1" s="1"/>
  <c r="I25" i="1"/>
  <c r="R25" i="1" s="1"/>
  <c r="D25" i="1"/>
  <c r="E25" i="1" s="1"/>
  <c r="Q25" i="1" s="1"/>
  <c r="I24" i="1"/>
  <c r="R24" i="1" s="1"/>
  <c r="D24" i="1"/>
  <c r="E24" i="1" s="1"/>
  <c r="Q24" i="1" s="1"/>
  <c r="I23" i="1"/>
  <c r="R23" i="1" s="1"/>
  <c r="D23" i="1"/>
  <c r="E23" i="1" s="1"/>
  <c r="Q23" i="1" s="1"/>
  <c r="I22" i="1"/>
  <c r="R22" i="1" s="1"/>
  <c r="D22" i="1"/>
  <c r="E22" i="1" s="1"/>
  <c r="Q22" i="1" s="1"/>
  <c r="I21" i="1"/>
  <c r="R21" i="1" s="1"/>
  <c r="D21" i="1"/>
  <c r="E21" i="1" s="1"/>
  <c r="Q21" i="1" s="1"/>
  <c r="I20" i="1"/>
  <c r="R20" i="1" s="1"/>
  <c r="D20" i="1"/>
  <c r="E20" i="1" s="1"/>
  <c r="Q20" i="1" s="1"/>
  <c r="I19" i="1"/>
  <c r="R19" i="1" s="1"/>
  <c r="D19" i="1"/>
  <c r="E19" i="1" s="1"/>
  <c r="Q19" i="1" s="1"/>
  <c r="I18" i="1"/>
  <c r="R18" i="1" s="1"/>
  <c r="D18" i="1"/>
  <c r="E18" i="1" s="1"/>
  <c r="Q18" i="1" s="1"/>
  <c r="I17" i="1"/>
  <c r="R17" i="1" s="1"/>
  <c r="D17" i="1"/>
  <c r="E17" i="1" s="1"/>
  <c r="Q17" i="1" s="1"/>
  <c r="I16" i="1"/>
  <c r="R16" i="1" s="1"/>
  <c r="D16" i="1"/>
  <c r="E16" i="1" s="1"/>
  <c r="Q16" i="1" s="1"/>
  <c r="I15" i="1"/>
  <c r="R15" i="1" s="1"/>
  <c r="D15" i="1"/>
  <c r="E15" i="1" s="1"/>
  <c r="Q15" i="1" s="1"/>
  <c r="I14" i="1"/>
  <c r="R14" i="1" s="1"/>
  <c r="D14" i="1"/>
  <c r="E14" i="1" s="1"/>
  <c r="Q14" i="1" s="1"/>
  <c r="I13" i="1"/>
  <c r="R13" i="1" s="1"/>
  <c r="D13" i="1"/>
  <c r="E13" i="1" s="1"/>
  <c r="Q13" i="1" s="1"/>
  <c r="I12" i="1"/>
  <c r="R12" i="1" s="1"/>
  <c r="D12" i="1"/>
  <c r="E12" i="1" s="1"/>
  <c r="Q12" i="1" s="1"/>
  <c r="I11" i="1"/>
  <c r="R11" i="1" s="1"/>
  <c r="D11" i="1"/>
  <c r="E11" i="1" s="1"/>
  <c r="Q11" i="1" s="1"/>
  <c r="I10" i="1"/>
  <c r="R10" i="1" s="1"/>
  <c r="D10" i="1"/>
  <c r="E10" i="1" s="1"/>
  <c r="Q10" i="1" s="1"/>
  <c r="I9" i="1"/>
  <c r="R9" i="1" s="1"/>
  <c r="D9" i="1"/>
  <c r="E9" i="1" s="1"/>
  <c r="Q9" i="1" s="1"/>
  <c r="I8" i="1"/>
  <c r="R8" i="1" s="1"/>
  <c r="D8" i="1"/>
  <c r="E8" i="1" s="1"/>
  <c r="Q8" i="1" s="1"/>
  <c r="I7" i="1"/>
  <c r="R7" i="1" s="1"/>
  <c r="D7" i="1"/>
  <c r="E7" i="1" s="1"/>
  <c r="Q7" i="1" s="1"/>
  <c r="I5" i="1"/>
  <c r="R5" i="1" s="1"/>
  <c r="D5" i="1"/>
  <c r="E5" i="1" s="1"/>
  <c r="Q5" i="1" s="1"/>
  <c r="I4" i="1"/>
  <c r="R4" i="1" s="1"/>
  <c r="D4" i="1"/>
  <c r="E4" i="1" s="1"/>
  <c r="Q4" i="1" s="1"/>
  <c r="I3" i="1"/>
  <c r="R3" i="1" s="1"/>
  <c r="D3" i="1"/>
  <c r="E3" i="1" s="1"/>
  <c r="Q3" i="1" s="1"/>
  <c r="I2" i="1"/>
  <c r="R2" i="1" s="1"/>
  <c r="D2" i="1"/>
  <c r="E2" i="1" s="1"/>
  <c r="Q2" i="1" s="1"/>
  <c r="B25" i="3" l="1"/>
  <c r="K23" i="3" s="1"/>
  <c r="B48" i="3"/>
  <c r="B42" i="3"/>
  <c r="B40" i="3"/>
  <c r="B38" i="3"/>
  <c r="B37" i="3"/>
  <c r="E38" i="3" s="1"/>
  <c r="M25" i="3"/>
  <c r="B22" i="3"/>
  <c r="B28" i="3" s="1"/>
  <c r="B10" i="3"/>
  <c r="B11" i="3" s="1"/>
  <c r="B39" i="3" s="1"/>
  <c r="I4" i="2"/>
  <c r="D4" i="2"/>
  <c r="E4" i="2" s="1"/>
  <c r="I2" i="2"/>
  <c r="I3" i="2"/>
  <c r="D2" i="2"/>
  <c r="E2" i="2" s="1"/>
  <c r="D3" i="2"/>
  <c r="E3" i="2" s="1"/>
  <c r="I26" i="2"/>
  <c r="D26" i="2"/>
  <c r="E26" i="2" s="1"/>
  <c r="I25" i="2"/>
  <c r="D25" i="2"/>
  <c r="E25" i="2" s="1"/>
  <c r="I5" i="2"/>
  <c r="I6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D5" i="2"/>
  <c r="E5" i="2" s="1"/>
  <c r="D6" i="2"/>
  <c r="E6" i="2" s="1"/>
  <c r="D7" i="2"/>
  <c r="E7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K22" i="3" l="1"/>
  <c r="M23" i="3"/>
  <c r="M24" i="3"/>
  <c r="B23" i="3"/>
  <c r="B24" i="3"/>
  <c r="B32" i="3" s="1"/>
  <c r="B34" i="3" s="1"/>
  <c r="E39" i="3"/>
  <c r="B43" i="3"/>
  <c r="B44" i="3"/>
  <c r="B29" i="3" l="1"/>
  <c r="B31" i="3" s="1"/>
  <c r="B33" i="3"/>
  <c r="B41" i="3" s="1"/>
  <c r="B45" i="3" s="1"/>
  <c r="E41" i="3" l="1"/>
  <c r="B46" i="3"/>
  <c r="E48" i="3"/>
  <c r="E44" i="3" s="1"/>
  <c r="S12" i="1"/>
  <c r="S21" i="1"/>
  <c r="S19" i="1"/>
  <c r="S9" i="1"/>
  <c r="S7" i="1"/>
  <c r="S17" i="1"/>
  <c r="S20" i="1"/>
  <c r="S5" i="1"/>
  <c r="S26" i="1"/>
  <c r="S15" i="1"/>
  <c r="S4" i="1"/>
  <c r="S14" i="1"/>
  <c r="S10" i="1"/>
  <c r="S8" i="1"/>
  <c r="S22" i="1"/>
  <c r="S3" i="1"/>
  <c r="S18" i="1"/>
  <c r="S24" i="1"/>
  <c r="S13" i="1"/>
  <c r="S2" i="1"/>
  <c r="S16" i="1"/>
  <c r="S25" i="1"/>
  <c r="S23" i="1"/>
  <c r="S11" i="1"/>
</calcChain>
</file>

<file path=xl/sharedStrings.xml><?xml version="1.0" encoding="utf-8"?>
<sst xmlns="http://schemas.openxmlformats.org/spreadsheetml/2006/main" count="105" uniqueCount="88">
  <si>
    <t>U1, V</t>
  </si>
  <si>
    <t>U2, V</t>
  </si>
  <si>
    <t>U3, V</t>
  </si>
  <si>
    <t>Usr, V</t>
  </si>
  <si>
    <t>I1, A</t>
  </si>
  <si>
    <t>I2, A</t>
  </si>
  <si>
    <t>I3, A</t>
  </si>
  <si>
    <t>Isr, A</t>
  </si>
  <si>
    <t>S, VA</t>
  </si>
  <si>
    <t>Q, var</t>
  </si>
  <si>
    <t>P, W</t>
  </si>
  <si>
    <t>cos_fi</t>
  </si>
  <si>
    <t>Moment</t>
  </si>
  <si>
    <t>Temp</t>
  </si>
  <si>
    <r>
      <t>Usr</t>
    </r>
    <r>
      <rPr>
        <vertAlign val="superscript"/>
        <sz val="11"/>
        <color theme="1"/>
        <rFont val="Calibri"/>
        <family val="2"/>
        <scheme val="minor"/>
      </rPr>
      <t>2</t>
    </r>
  </si>
  <si>
    <t>Pcu</t>
  </si>
  <si>
    <t>Po'</t>
  </si>
  <si>
    <t>Mk,rač</t>
  </si>
  <si>
    <t>Temp (V)</t>
  </si>
  <si>
    <t>Temp (°C)</t>
  </si>
  <si>
    <t>Temp(V)</t>
  </si>
  <si>
    <t>Ut</t>
  </si>
  <si>
    <t>40-50 V</t>
  </si>
  <si>
    <r>
      <t>Dati aproksimacijski izraz za uže gubitke u ovisnosti o naponu oblika 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'=a+bU</t>
    </r>
    <r>
      <rPr>
        <vertAlign val="superscript"/>
        <sz val="11"/>
        <color theme="1"/>
        <rFont val="Calibri"/>
        <family val="2"/>
        <scheme val="minor"/>
      </rPr>
      <t>2</t>
    </r>
  </si>
  <si>
    <t>a (W)</t>
  </si>
  <si>
    <t>očitati iz grafa na Sheet-u Tablica i grafovi AM</t>
  </si>
  <si>
    <r>
      <t>b (W/V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</si>
  <si>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(V)</t>
    </r>
  </si>
  <si>
    <r>
      <t>I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(A)</t>
    </r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</si>
  <si>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(W)</t>
    </r>
  </si>
  <si>
    <r>
      <t>cosɸ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(-)</t>
    </r>
  </si>
  <si>
    <r>
      <t>P</t>
    </r>
    <r>
      <rPr>
        <vertAlign val="subscript"/>
        <sz val="11"/>
        <color theme="1"/>
        <rFont val="Calibri"/>
        <family val="2"/>
        <scheme val="minor"/>
      </rPr>
      <t>tr,v</t>
    </r>
    <r>
      <rPr>
        <sz val="11"/>
        <color theme="1"/>
        <rFont val="Calibri"/>
        <family val="2"/>
        <scheme val="minor"/>
      </rPr>
      <t xml:space="preserve"> (W)</t>
    </r>
  </si>
  <si>
    <r>
      <t>P</t>
    </r>
    <r>
      <rPr>
        <vertAlign val="subscript"/>
        <sz val="11"/>
        <color theme="1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 xml:space="preserve"> (W)</t>
    </r>
  </si>
  <si>
    <t>Izmjereni podaci u pokusu kratkog spoja asinkronog motora za maksimalni izmjereni napon:</t>
  </si>
  <si>
    <r>
      <t>U</t>
    </r>
    <r>
      <rPr>
        <vertAlign val="subscript"/>
        <sz val="11"/>
        <color theme="1"/>
        <rFont val="Calibri"/>
        <family val="2"/>
        <scheme val="minor"/>
      </rPr>
      <t xml:space="preserve">k,mj </t>
    </r>
    <r>
      <rPr>
        <sz val="11"/>
        <color theme="1"/>
        <rFont val="Calibri"/>
        <family val="2"/>
        <scheme val="minor"/>
      </rPr>
      <t>(V)</t>
    </r>
  </si>
  <si>
    <r>
      <t>I</t>
    </r>
    <r>
      <rPr>
        <vertAlign val="subscript"/>
        <sz val="11"/>
        <color theme="1"/>
        <rFont val="Calibri"/>
        <family val="2"/>
        <scheme val="minor"/>
      </rPr>
      <t>k,mj</t>
    </r>
    <r>
      <rPr>
        <sz val="11"/>
        <color theme="1"/>
        <rFont val="Calibri"/>
        <family val="2"/>
        <scheme val="minor"/>
      </rPr>
      <t xml:space="preserve"> (A)</t>
    </r>
  </si>
  <si>
    <r>
      <t>P</t>
    </r>
    <r>
      <rPr>
        <vertAlign val="subscript"/>
        <sz val="11"/>
        <color theme="1"/>
        <rFont val="Calibri"/>
        <family val="2"/>
        <scheme val="minor"/>
      </rPr>
      <t>k,mj</t>
    </r>
    <r>
      <rPr>
        <sz val="11"/>
        <color theme="1"/>
        <rFont val="Calibri"/>
        <family val="2"/>
        <scheme val="minor"/>
      </rPr>
      <t xml:space="preserve"> (W)</t>
    </r>
  </si>
  <si>
    <r>
      <t>cosɸ</t>
    </r>
    <r>
      <rPr>
        <vertAlign val="subscript"/>
        <sz val="11"/>
        <color theme="1"/>
        <rFont val="Calibri"/>
        <family val="2"/>
        <scheme val="minor"/>
      </rPr>
      <t xml:space="preserve">k </t>
    </r>
    <r>
      <rPr>
        <sz val="11"/>
        <color theme="1"/>
        <rFont val="Calibri"/>
        <family val="2"/>
        <scheme val="minor"/>
      </rPr>
      <t>(-)</t>
    </r>
  </si>
  <si>
    <r>
      <t>M</t>
    </r>
    <r>
      <rPr>
        <vertAlign val="subscript"/>
        <sz val="11"/>
        <color theme="1"/>
        <rFont val="Calibri"/>
        <family val="2"/>
        <scheme val="minor"/>
      </rPr>
      <t>k,mj</t>
    </r>
    <r>
      <rPr>
        <sz val="11"/>
        <color theme="1"/>
        <rFont val="Calibri"/>
        <family val="2"/>
        <scheme val="minor"/>
      </rPr>
      <t xml:space="preserve"> (Nm)</t>
    </r>
  </si>
  <si>
    <r>
      <t>M</t>
    </r>
    <r>
      <rPr>
        <vertAlign val="subscript"/>
        <sz val="11"/>
        <color theme="1"/>
        <rFont val="Calibri"/>
        <family val="2"/>
        <scheme val="minor"/>
      </rPr>
      <t>k,rač</t>
    </r>
    <r>
      <rPr>
        <sz val="11"/>
        <color theme="1"/>
        <rFont val="Calibri"/>
        <family val="2"/>
        <scheme val="minor"/>
      </rPr>
      <t xml:space="preserve"> (Nm)</t>
    </r>
  </si>
  <si>
    <t>Preračunati podaci iz pokusa kratkog spoja asinkronog motora za nazivni napon:</t>
  </si>
  <si>
    <r>
      <t>U</t>
    </r>
    <r>
      <rPr>
        <vertAlign val="subscript"/>
        <sz val="11"/>
        <color theme="1"/>
        <rFont val="Calibri"/>
        <family val="2"/>
        <scheme val="minor"/>
      </rPr>
      <t>k,n</t>
    </r>
    <r>
      <rPr>
        <sz val="11"/>
        <color theme="1"/>
        <rFont val="Calibri"/>
        <family val="2"/>
        <scheme val="minor"/>
      </rPr>
      <t xml:space="preserve"> (V)</t>
    </r>
  </si>
  <si>
    <r>
      <t>U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(V)</t>
    </r>
  </si>
  <si>
    <r>
      <t>I</t>
    </r>
    <r>
      <rPr>
        <vertAlign val="subscript"/>
        <sz val="11"/>
        <color theme="1"/>
        <rFont val="Calibri"/>
        <family val="2"/>
        <scheme val="minor"/>
      </rPr>
      <t>k,n</t>
    </r>
    <r>
      <rPr>
        <sz val="11"/>
        <color theme="1"/>
        <rFont val="Calibri"/>
        <family val="2"/>
        <scheme val="minor"/>
      </rPr>
      <t xml:space="preserve"> (A)</t>
    </r>
  </si>
  <si>
    <r>
      <t>P</t>
    </r>
    <r>
      <rPr>
        <vertAlign val="subscript"/>
        <sz val="11"/>
        <color theme="1"/>
        <rFont val="Calibri"/>
        <family val="2"/>
        <scheme val="minor"/>
      </rPr>
      <t>k,n</t>
    </r>
    <r>
      <rPr>
        <sz val="11"/>
        <color theme="1"/>
        <rFont val="Calibri"/>
        <family val="2"/>
        <scheme val="minor"/>
      </rPr>
      <t xml:space="preserve"> (W)</t>
    </r>
  </si>
  <si>
    <r>
      <t>cosɸ</t>
    </r>
    <r>
      <rPr>
        <vertAlign val="subscript"/>
        <sz val="11"/>
        <color theme="1"/>
        <rFont val="Calibri"/>
        <family val="2"/>
        <scheme val="minor"/>
      </rPr>
      <t>k,n</t>
    </r>
    <r>
      <rPr>
        <sz val="11"/>
        <color theme="1"/>
        <rFont val="Calibri"/>
        <family val="2"/>
        <scheme val="minor"/>
      </rPr>
      <t xml:space="preserve"> (-)</t>
    </r>
  </si>
  <si>
    <r>
      <t>M</t>
    </r>
    <r>
      <rPr>
        <vertAlign val="subscript"/>
        <sz val="11"/>
        <color theme="1"/>
        <rFont val="Calibri"/>
        <family val="2"/>
        <scheme val="minor"/>
      </rPr>
      <t>k,n</t>
    </r>
    <r>
      <rPr>
        <sz val="11"/>
        <color theme="1"/>
        <rFont val="Calibri"/>
        <family val="2"/>
        <scheme val="minor"/>
      </rPr>
      <t xml:space="preserve"> (Nm)</t>
    </r>
  </si>
  <si>
    <t>Proračun elemenata uzdužne grane (iz pokusa kratkog spoja) pri nazivnom naponu</t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</si>
  <si>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k </t>
    </r>
    <r>
      <rPr>
        <sz val="11"/>
        <color theme="1"/>
        <rFont val="Calibri"/>
        <family val="2"/>
        <scheme val="minor"/>
      </rPr>
      <t>(Ω)</t>
    </r>
  </si>
  <si>
    <r>
      <t>R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(Ω)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</si>
  <si>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(Ω)</t>
    </r>
  </si>
  <si>
    <r>
      <t>R'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(Ω)</t>
    </r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</si>
  <si>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(Ω)</t>
    </r>
  </si>
  <si>
    <r>
      <t>X</t>
    </r>
    <r>
      <rPr>
        <vertAlign val="subscript"/>
        <sz val="11"/>
        <color theme="1"/>
        <rFont val="Calibri"/>
        <family val="2"/>
        <scheme val="minor"/>
      </rPr>
      <t>σs</t>
    </r>
    <r>
      <rPr>
        <sz val="11"/>
        <color theme="1"/>
        <rFont val="Calibri"/>
        <family val="2"/>
        <scheme val="minor"/>
      </rPr>
      <t xml:space="preserve"> (Ω)</t>
    </r>
  </si>
  <si>
    <r>
      <t>X'</t>
    </r>
    <r>
      <rPr>
        <vertAlign val="subscript"/>
        <sz val="11"/>
        <color theme="1"/>
        <rFont val="Calibri"/>
        <family val="2"/>
        <scheme val="minor"/>
      </rPr>
      <t>σr</t>
    </r>
    <r>
      <rPr>
        <sz val="11"/>
        <color theme="1"/>
        <rFont val="Calibri"/>
        <family val="2"/>
        <scheme val="minor"/>
      </rPr>
      <t xml:space="preserve"> (Ω)</t>
    </r>
  </si>
  <si>
    <t>Proračun elemenata poprečne grane (iz pokusa praznog hoda)</t>
  </si>
  <si>
    <r>
      <t>P'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(W)</t>
    </r>
  </si>
  <si>
    <r>
      <t>sinɸ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(-)</t>
    </r>
  </si>
  <si>
    <r>
      <t>U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(V)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</si>
  <si>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(V)</t>
    </r>
  </si>
  <si>
    <r>
      <t>I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(A)</t>
    </r>
  </si>
  <si>
    <r>
      <t>I</t>
    </r>
    <r>
      <rPr>
        <vertAlign val="subscript"/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 xml:space="preserve"> (A)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</si>
  <si>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(W)</t>
    </r>
  </si>
  <si>
    <r>
      <t>X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(W)</t>
    </r>
  </si>
  <si>
    <r>
      <t>Z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(Ω)</t>
    </r>
  </si>
  <si>
    <r>
      <t>ɸ</t>
    </r>
    <r>
      <rPr>
        <vertAlign val="subscript"/>
        <sz val="11"/>
        <color theme="1"/>
        <rFont val="Calibri"/>
        <family val="2"/>
        <scheme val="minor"/>
      </rPr>
      <t>0,kor</t>
    </r>
  </si>
  <si>
    <t>Ok je sve između 40 i 50V za ovaj slučaj</t>
  </si>
  <si>
    <t>Ikn/In</t>
  </si>
  <si>
    <t>Un</t>
  </si>
  <si>
    <t>In</t>
  </si>
  <si>
    <t>Pn</t>
  </si>
  <si>
    <t>cosfi</t>
  </si>
  <si>
    <t>f</t>
  </si>
  <si>
    <t>n</t>
  </si>
  <si>
    <t>eta</t>
  </si>
  <si>
    <t>Mkn/Mn</t>
  </si>
  <si>
    <t>KATALOG</t>
  </si>
  <si>
    <t>NATPISNA PLOČICA</t>
  </si>
  <si>
    <t>Mn</t>
  </si>
  <si>
    <t>Ik,n/In</t>
  </si>
  <si>
    <t>Mk,n/Mn</t>
  </si>
  <si>
    <t>Za preračun je uzet Mk,rač</t>
  </si>
  <si>
    <t>J (kgm2)</t>
  </si>
  <si>
    <r>
      <t>R</t>
    </r>
    <r>
      <rPr>
        <vertAlign val="subscript"/>
        <sz val="11"/>
        <color theme="1"/>
        <rFont val="Calibri"/>
        <family val="2"/>
        <scheme val="minor"/>
      </rPr>
      <t>st,20</t>
    </r>
    <r>
      <rPr>
        <sz val="11"/>
        <color theme="1"/>
        <rFont val="Calibri"/>
        <family val="2"/>
        <scheme val="minor"/>
      </rPr>
      <t xml:space="preserve"> (Ω)</t>
    </r>
  </si>
  <si>
    <t>Izmjereni podaci u pokusu praznog hoda asinkronog motora za ''nazivni'' napon:</t>
  </si>
  <si>
    <t>RstPKS</t>
  </si>
  <si>
    <t>ϑPKS = 50°C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</si>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</sst>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/>
    <xf numFmtId="0" fontId="3" fillId="4" borderId="0" xfId="0" applyFont="1" applyFill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PH!$J$1</c:f>
              <c:strCache>
                <c:ptCount val="1"/>
                <c:pt idx="0">
                  <c:v>P,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PH!$E$2:$E$26</c:f>
              <c:numCache>
                <c:formatCode>General</c:formatCode>
                <c:ptCount val="25"/>
                <c:pt idx="0">
                  <c:v>450.79509018325973</c:v>
                </c:pt>
                <c:pt idx="1">
                  <c:v>439.42128988022415</c:v>
                </c:pt>
                <c:pt idx="2">
                  <c:v>417.94385986637002</c:v>
                </c:pt>
                <c:pt idx="3">
                  <c:v>392.42497796818867</c:v>
                </c:pt>
                <c:pt idx="4">
                  <c:v>381.57079290742359</c:v>
                </c:pt>
                <c:pt idx="5">
                  <c:v>360.72844818967815</c:v>
                </c:pt>
                <c:pt idx="6">
                  <c:v>340.34798368728434</c:v>
                </c:pt>
                <c:pt idx="7">
                  <c:v>318.87055367343027</c:v>
                </c:pt>
                <c:pt idx="8">
                  <c:v>297.68179879417102</c:v>
                </c:pt>
                <c:pt idx="9">
                  <c:v>285.61517816810783</c:v>
                </c:pt>
                <c:pt idx="10">
                  <c:v>272.7402671651792</c:v>
                </c:pt>
                <c:pt idx="11">
                  <c:v>261.4242018890626</c:v>
                </c:pt>
                <c:pt idx="12">
                  <c:v>247.33685532083564</c:v>
                </c:pt>
                <c:pt idx="13">
                  <c:v>236.94455047542237</c:v>
                </c:pt>
                <c:pt idx="14">
                  <c:v>226.09036541465744</c:v>
                </c:pt>
                <c:pt idx="15">
                  <c:v>212.75357419637709</c:v>
                </c:pt>
                <c:pt idx="16">
                  <c:v>203.74690999701892</c:v>
                </c:pt>
                <c:pt idx="17">
                  <c:v>181.51892463321832</c:v>
                </c:pt>
                <c:pt idx="18">
                  <c:v>167.72025319958627</c:v>
                </c:pt>
                <c:pt idx="19">
                  <c:v>149.82239485470788</c:v>
                </c:pt>
                <c:pt idx="20">
                  <c:v>138.56406460551017</c:v>
                </c:pt>
                <c:pt idx="21">
                  <c:v>129.21099024463823</c:v>
                </c:pt>
                <c:pt idx="22">
                  <c:v>120.08885599144214</c:v>
                </c:pt>
                <c:pt idx="23">
                  <c:v>109.23467093067718</c:v>
                </c:pt>
                <c:pt idx="24">
                  <c:v>100.63215191975175</c:v>
                </c:pt>
              </c:numCache>
            </c:numRef>
          </c:xVal>
          <c:yVal>
            <c:numRef>
              <c:f>PH!$J$2:$J$26</c:f>
              <c:numCache>
                <c:formatCode>General</c:formatCode>
                <c:ptCount val="25"/>
                <c:pt idx="0">
                  <c:v>227.6</c:v>
                </c:pt>
                <c:pt idx="1">
                  <c:v>211.3</c:v>
                </c:pt>
                <c:pt idx="2">
                  <c:v>186.1</c:v>
                </c:pt>
                <c:pt idx="3">
                  <c:v>165.5</c:v>
                </c:pt>
                <c:pt idx="4">
                  <c:v>157</c:v>
                </c:pt>
                <c:pt idx="5">
                  <c:v>144.19999999999999</c:v>
                </c:pt>
                <c:pt idx="6">
                  <c:v>129.19999999999999</c:v>
                </c:pt>
                <c:pt idx="7">
                  <c:v>116</c:v>
                </c:pt>
                <c:pt idx="8">
                  <c:v>106.1</c:v>
                </c:pt>
                <c:pt idx="9">
                  <c:v>100.3</c:v>
                </c:pt>
                <c:pt idx="10">
                  <c:v>94.1</c:v>
                </c:pt>
                <c:pt idx="11">
                  <c:v>90</c:v>
                </c:pt>
                <c:pt idx="12">
                  <c:v>85.3</c:v>
                </c:pt>
                <c:pt idx="13">
                  <c:v>80.400000000000006</c:v>
                </c:pt>
                <c:pt idx="14">
                  <c:v>76.900000000000006</c:v>
                </c:pt>
                <c:pt idx="15">
                  <c:v>72</c:v>
                </c:pt>
                <c:pt idx="16">
                  <c:v>69.5</c:v>
                </c:pt>
                <c:pt idx="17">
                  <c:v>62.6</c:v>
                </c:pt>
                <c:pt idx="18">
                  <c:v>59.9</c:v>
                </c:pt>
                <c:pt idx="19">
                  <c:v>55.9</c:v>
                </c:pt>
                <c:pt idx="20">
                  <c:v>53.1</c:v>
                </c:pt>
                <c:pt idx="21">
                  <c:v>51.7</c:v>
                </c:pt>
                <c:pt idx="22">
                  <c:v>49.6</c:v>
                </c:pt>
                <c:pt idx="23">
                  <c:v>47.9</c:v>
                </c:pt>
                <c:pt idx="24">
                  <c:v>46.9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4-47EB-8C2B-89F1370DB8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PH!$E$2:$E$26</c:f>
              <c:numCache>
                <c:formatCode>General</c:formatCode>
                <c:ptCount val="25"/>
                <c:pt idx="0">
                  <c:v>450.79509018325973</c:v>
                </c:pt>
                <c:pt idx="1">
                  <c:v>439.42128988022415</c:v>
                </c:pt>
                <c:pt idx="2">
                  <c:v>417.94385986637002</c:v>
                </c:pt>
                <c:pt idx="3">
                  <c:v>392.42497796818867</c:v>
                </c:pt>
                <c:pt idx="4">
                  <c:v>381.57079290742359</c:v>
                </c:pt>
                <c:pt idx="5">
                  <c:v>360.72844818967815</c:v>
                </c:pt>
                <c:pt idx="6">
                  <c:v>340.34798368728434</c:v>
                </c:pt>
                <c:pt idx="7">
                  <c:v>318.87055367343027</c:v>
                </c:pt>
                <c:pt idx="8">
                  <c:v>297.68179879417102</c:v>
                </c:pt>
                <c:pt idx="9">
                  <c:v>285.61517816810783</c:v>
                </c:pt>
                <c:pt idx="10">
                  <c:v>272.7402671651792</c:v>
                </c:pt>
                <c:pt idx="11">
                  <c:v>261.4242018890626</c:v>
                </c:pt>
                <c:pt idx="12">
                  <c:v>247.33685532083564</c:v>
                </c:pt>
                <c:pt idx="13">
                  <c:v>236.94455047542237</c:v>
                </c:pt>
                <c:pt idx="14">
                  <c:v>226.09036541465744</c:v>
                </c:pt>
                <c:pt idx="15">
                  <c:v>212.75357419637709</c:v>
                </c:pt>
                <c:pt idx="16">
                  <c:v>203.74690999701892</c:v>
                </c:pt>
                <c:pt idx="17">
                  <c:v>181.51892463321832</c:v>
                </c:pt>
                <c:pt idx="18">
                  <c:v>167.72025319958627</c:v>
                </c:pt>
                <c:pt idx="19">
                  <c:v>149.82239485470788</c:v>
                </c:pt>
                <c:pt idx="20">
                  <c:v>138.56406460551017</c:v>
                </c:pt>
                <c:pt idx="21">
                  <c:v>129.21099024463823</c:v>
                </c:pt>
                <c:pt idx="22">
                  <c:v>120.08885599144214</c:v>
                </c:pt>
                <c:pt idx="23">
                  <c:v>109.23467093067718</c:v>
                </c:pt>
                <c:pt idx="24">
                  <c:v>100.63215191975175</c:v>
                </c:pt>
              </c:numCache>
            </c:numRef>
          </c:xVal>
          <c:yVal>
            <c:numRef>
              <c:f>PH!$S$2:$S$26</c:f>
              <c:numCache>
                <c:formatCode>General</c:formatCode>
                <c:ptCount val="25"/>
                <c:pt idx="0">
                  <c:v>184.32373083333334</c:v>
                </c:pt>
                <c:pt idx="1">
                  <c:v>172.28993083333336</c:v>
                </c:pt>
                <c:pt idx="2">
                  <c:v>153.75888123333331</c:v>
                </c:pt>
                <c:pt idx="3">
                  <c:v>138.91233333333332</c:v>
                </c:pt>
                <c:pt idx="4">
                  <c:v>132.61194123333334</c:v>
                </c:pt>
                <c:pt idx="5">
                  <c:v>123.21617239999999</c:v>
                </c:pt>
                <c:pt idx="6">
                  <c:v>111.57473973333332</c:v>
                </c:pt>
                <c:pt idx="7">
                  <c:v>101.07015643333332</c:v>
                </c:pt>
                <c:pt idx="8">
                  <c:v>93.394224433333335</c:v>
                </c:pt>
                <c:pt idx="9">
                  <c:v>88.741043733333328</c:v>
                </c:pt>
                <c:pt idx="10">
                  <c:v>83.773073599999989</c:v>
                </c:pt>
                <c:pt idx="11">
                  <c:v>80.304537600000003</c:v>
                </c:pt>
                <c:pt idx="12">
                  <c:v>76.622513233333336</c:v>
                </c:pt>
                <c:pt idx="13">
                  <c:v>72.628499733333342</c:v>
                </c:pt>
                <c:pt idx="14">
                  <c:v>69.905590000000004</c:v>
                </c:pt>
                <c:pt idx="15">
                  <c:v>65.766697233333332</c:v>
                </c:pt>
                <c:pt idx="16">
                  <c:v>63.65094573333333</c:v>
                </c:pt>
                <c:pt idx="17">
                  <c:v>57.793956933333334</c:v>
                </c:pt>
                <c:pt idx="18">
                  <c:v>55.528531099999995</c:v>
                </c:pt>
                <c:pt idx="19">
                  <c:v>52.14501083333333</c:v>
                </c:pt>
                <c:pt idx="20">
                  <c:v>49.554726933333335</c:v>
                </c:pt>
                <c:pt idx="21">
                  <c:v>48.346243900000005</c:v>
                </c:pt>
                <c:pt idx="22">
                  <c:v>46.318951900000002</c:v>
                </c:pt>
                <c:pt idx="23">
                  <c:v>44.630992433333333</c:v>
                </c:pt>
                <c:pt idx="24">
                  <c:v>43.515713733333335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0-4DD7-84DD-D86FD3862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16080"/>
        <c:axId val="518016408"/>
      </c:scatterChart>
      <c:valAx>
        <c:axId val="5180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8016408"/>
        <c:crosses val="autoZero"/>
        <c:crossBetween val="midCat"/>
      </c:valAx>
      <c:valAx>
        <c:axId val="5180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801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580314960629922"/>
          <c:y val="6.0185185185185182E-2"/>
          <c:w val="0.84586351706036744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PH!$S$1</c:f>
              <c:strCache>
                <c:ptCount val="1"/>
                <c:pt idx="0">
                  <c:v>Po'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PH!$E$2:$E$24</c:f>
              <c:numCache>
                <c:formatCode>General</c:formatCode>
                <c:ptCount val="23"/>
                <c:pt idx="0">
                  <c:v>450.79509018325973</c:v>
                </c:pt>
                <c:pt idx="1">
                  <c:v>439.42128988022415</c:v>
                </c:pt>
                <c:pt idx="2">
                  <c:v>417.94385986637002</c:v>
                </c:pt>
                <c:pt idx="3">
                  <c:v>392.42497796818867</c:v>
                </c:pt>
                <c:pt idx="4">
                  <c:v>381.57079290742359</c:v>
                </c:pt>
                <c:pt idx="5">
                  <c:v>360.72844818967815</c:v>
                </c:pt>
                <c:pt idx="6">
                  <c:v>340.34798368728434</c:v>
                </c:pt>
                <c:pt idx="7">
                  <c:v>318.87055367343027</c:v>
                </c:pt>
                <c:pt idx="8">
                  <c:v>297.68179879417102</c:v>
                </c:pt>
                <c:pt idx="9">
                  <c:v>285.61517816810783</c:v>
                </c:pt>
                <c:pt idx="10">
                  <c:v>272.7402671651792</c:v>
                </c:pt>
                <c:pt idx="11">
                  <c:v>261.4242018890626</c:v>
                </c:pt>
                <c:pt idx="12">
                  <c:v>247.33685532083564</c:v>
                </c:pt>
                <c:pt idx="13">
                  <c:v>236.94455047542237</c:v>
                </c:pt>
                <c:pt idx="14">
                  <c:v>226.09036541465744</c:v>
                </c:pt>
                <c:pt idx="15">
                  <c:v>212.75357419637709</c:v>
                </c:pt>
                <c:pt idx="16">
                  <c:v>203.74690999701892</c:v>
                </c:pt>
                <c:pt idx="17">
                  <c:v>181.51892463321832</c:v>
                </c:pt>
                <c:pt idx="18">
                  <c:v>167.72025319958627</c:v>
                </c:pt>
                <c:pt idx="19">
                  <c:v>149.82239485470788</c:v>
                </c:pt>
                <c:pt idx="20">
                  <c:v>138.56406460551017</c:v>
                </c:pt>
                <c:pt idx="21">
                  <c:v>129.21099024463823</c:v>
                </c:pt>
                <c:pt idx="22">
                  <c:v>120.08885599144214</c:v>
                </c:pt>
              </c:numCache>
            </c:numRef>
          </c:xVal>
          <c:yVal>
            <c:numRef>
              <c:f>PH!$S$2:$S$24</c:f>
              <c:numCache>
                <c:formatCode>General</c:formatCode>
                <c:ptCount val="23"/>
                <c:pt idx="0">
                  <c:v>184.32373083333334</c:v>
                </c:pt>
                <c:pt idx="1">
                  <c:v>172.28993083333336</c:v>
                </c:pt>
                <c:pt idx="2">
                  <c:v>153.75888123333331</c:v>
                </c:pt>
                <c:pt idx="3">
                  <c:v>138.91233333333332</c:v>
                </c:pt>
                <c:pt idx="4">
                  <c:v>132.61194123333334</c:v>
                </c:pt>
                <c:pt idx="5">
                  <c:v>123.21617239999999</c:v>
                </c:pt>
                <c:pt idx="6">
                  <c:v>111.57473973333332</c:v>
                </c:pt>
                <c:pt idx="7">
                  <c:v>101.07015643333332</c:v>
                </c:pt>
                <c:pt idx="8">
                  <c:v>93.394224433333335</c:v>
                </c:pt>
                <c:pt idx="9">
                  <c:v>88.741043733333328</c:v>
                </c:pt>
                <c:pt idx="10">
                  <c:v>83.773073599999989</c:v>
                </c:pt>
                <c:pt idx="11">
                  <c:v>80.304537600000003</c:v>
                </c:pt>
                <c:pt idx="12">
                  <c:v>76.622513233333336</c:v>
                </c:pt>
                <c:pt idx="13">
                  <c:v>72.628499733333342</c:v>
                </c:pt>
                <c:pt idx="14">
                  <c:v>69.905590000000004</c:v>
                </c:pt>
                <c:pt idx="15">
                  <c:v>65.766697233333332</c:v>
                </c:pt>
                <c:pt idx="16">
                  <c:v>63.65094573333333</c:v>
                </c:pt>
                <c:pt idx="17">
                  <c:v>57.793956933333334</c:v>
                </c:pt>
                <c:pt idx="18">
                  <c:v>55.528531099999995</c:v>
                </c:pt>
                <c:pt idx="19">
                  <c:v>52.14501083333333</c:v>
                </c:pt>
                <c:pt idx="20">
                  <c:v>49.554726933333335</c:v>
                </c:pt>
                <c:pt idx="21">
                  <c:v>48.346243900000005</c:v>
                </c:pt>
                <c:pt idx="22">
                  <c:v>46.318951900000002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55-414B-B42D-F0601AD3F7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0"/>
            <c:backward val="50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PH!$Q$10:$Q$23</c:f>
              <c:numCache>
                <c:formatCode>General</c:formatCode>
                <c:ptCount val="14"/>
                <c:pt idx="0">
                  <c:v>88614.453333333309</c:v>
                </c:pt>
                <c:pt idx="1">
                  <c:v>81576.029999999984</c:v>
                </c:pt>
                <c:pt idx="2">
                  <c:v>74387.253333333327</c:v>
                </c:pt>
                <c:pt idx="3">
                  <c:v>68342.613333333356</c:v>
                </c:pt>
                <c:pt idx="4">
                  <c:v>61175.519999999982</c:v>
                </c:pt>
                <c:pt idx="5">
                  <c:v>56142.719999999979</c:v>
                </c:pt>
                <c:pt idx="6">
                  <c:v>51116.853333333333</c:v>
                </c:pt>
                <c:pt idx="7">
                  <c:v>45264.083333333328</c:v>
                </c:pt>
                <c:pt idx="8">
                  <c:v>41512.80333333333</c:v>
                </c:pt>
                <c:pt idx="9">
                  <c:v>32949.119999999995</c:v>
                </c:pt>
                <c:pt idx="10">
                  <c:v>28130.083333333328</c:v>
                </c:pt>
                <c:pt idx="11">
                  <c:v>22446.75</c:v>
                </c:pt>
                <c:pt idx="12">
                  <c:v>19199.999999999996</c:v>
                </c:pt>
                <c:pt idx="13">
                  <c:v>16695.479999999996</c:v>
                </c:pt>
              </c:numCache>
            </c:numRef>
          </c:xVal>
          <c:yVal>
            <c:numRef>
              <c:f>PH!$J$10:$J$23</c:f>
              <c:numCache>
                <c:formatCode>General</c:formatCode>
                <c:ptCount val="14"/>
                <c:pt idx="0">
                  <c:v>106.1</c:v>
                </c:pt>
                <c:pt idx="1">
                  <c:v>100.3</c:v>
                </c:pt>
                <c:pt idx="2">
                  <c:v>94.1</c:v>
                </c:pt>
                <c:pt idx="3">
                  <c:v>90</c:v>
                </c:pt>
                <c:pt idx="4">
                  <c:v>85.3</c:v>
                </c:pt>
                <c:pt idx="5">
                  <c:v>80.400000000000006</c:v>
                </c:pt>
                <c:pt idx="6">
                  <c:v>76.900000000000006</c:v>
                </c:pt>
                <c:pt idx="7">
                  <c:v>72</c:v>
                </c:pt>
                <c:pt idx="8">
                  <c:v>69.5</c:v>
                </c:pt>
                <c:pt idx="9">
                  <c:v>62.6</c:v>
                </c:pt>
                <c:pt idx="10">
                  <c:v>59.9</c:v>
                </c:pt>
                <c:pt idx="11">
                  <c:v>55.9</c:v>
                </c:pt>
                <c:pt idx="12">
                  <c:v>53.1</c:v>
                </c:pt>
                <c:pt idx="13">
                  <c:v>51.7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5-414B-B42D-F0601AD3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16080"/>
        <c:axId val="518016408"/>
      </c:scatterChart>
      <c:valAx>
        <c:axId val="5180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8016408"/>
        <c:crosses val="autoZero"/>
        <c:crossBetween val="midCat"/>
      </c:valAx>
      <c:valAx>
        <c:axId val="5180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801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PKS!$I$1</c:f>
              <c:strCache>
                <c:ptCount val="1"/>
                <c:pt idx="0">
                  <c:v>Isr,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PKS!$E$2:$E$26</c:f>
              <c:numCache>
                <c:formatCode>General</c:formatCode>
                <c:ptCount val="25"/>
                <c:pt idx="0">
                  <c:v>223.14587904179035</c:v>
                </c:pt>
                <c:pt idx="1">
                  <c:v>217.25690629605617</c:v>
                </c:pt>
                <c:pt idx="2">
                  <c:v>206.86460145064291</c:v>
                </c:pt>
                <c:pt idx="3">
                  <c:v>185.84905165214053</c:v>
                </c:pt>
                <c:pt idx="4">
                  <c:v>176.09183210283587</c:v>
                </c:pt>
                <c:pt idx="5">
                  <c:v>167.83572325342419</c:v>
                </c:pt>
                <c:pt idx="6">
                  <c:v>164.48709169212435</c:v>
                </c:pt>
                <c:pt idx="7">
                  <c:v>159.69508445785047</c:v>
                </c:pt>
                <c:pt idx="8">
                  <c:v>154.72987214281969</c:v>
                </c:pt>
                <c:pt idx="9">
                  <c:v>144.3953023243254</c:v>
                </c:pt>
                <c:pt idx="10">
                  <c:v>138.27538947091534</c:v>
                </c:pt>
                <c:pt idx="11">
                  <c:v>131.63586137523467</c:v>
                </c:pt>
                <c:pt idx="12">
                  <c:v>124.59218809112124</c:v>
                </c:pt>
                <c:pt idx="13">
                  <c:v>116.91342951089921</c:v>
                </c:pt>
                <c:pt idx="14">
                  <c:v>109.81202119986681</c:v>
                </c:pt>
                <c:pt idx="15">
                  <c:v>95.435999497045131</c:v>
                </c:pt>
                <c:pt idx="16">
                  <c:v>89.200616589797178</c:v>
                </c:pt>
                <c:pt idx="17">
                  <c:v>82.330148386440641</c:v>
                </c:pt>
                <c:pt idx="18">
                  <c:v>74.247244617785867</c:v>
                </c:pt>
                <c:pt idx="19">
                  <c:v>69.224297275836122</c:v>
                </c:pt>
                <c:pt idx="20">
                  <c:v>64.02814485312949</c:v>
                </c:pt>
                <c:pt idx="21">
                  <c:v>54.501865411500674</c:v>
                </c:pt>
                <c:pt idx="22">
                  <c:v>47.111781965873462</c:v>
                </c:pt>
                <c:pt idx="23">
                  <c:v>42.031099597004754</c:v>
                </c:pt>
                <c:pt idx="24">
                  <c:v>34.410076043701693</c:v>
                </c:pt>
              </c:numCache>
            </c:numRef>
          </c:xVal>
          <c:yVal>
            <c:numRef>
              <c:f>PKS!$I$2:$I$26</c:f>
              <c:numCache>
                <c:formatCode>General</c:formatCode>
                <c:ptCount val="25"/>
                <c:pt idx="0">
                  <c:v>6.1209999999999996</c:v>
                </c:pt>
                <c:pt idx="1">
                  <c:v>5.8826666666666663</c:v>
                </c:pt>
                <c:pt idx="2">
                  <c:v>5.5376666666666665</c:v>
                </c:pt>
                <c:pt idx="3">
                  <c:v>5.0116666666666667</c:v>
                </c:pt>
                <c:pt idx="4">
                  <c:v>4.6790000000000012</c:v>
                </c:pt>
                <c:pt idx="5">
                  <c:v>4.4513333333333334</c:v>
                </c:pt>
                <c:pt idx="6">
                  <c:v>4.3050000000000006</c:v>
                </c:pt>
                <c:pt idx="7">
                  <c:v>4.1546666666666665</c:v>
                </c:pt>
                <c:pt idx="8">
                  <c:v>3.9969999999999999</c:v>
                </c:pt>
                <c:pt idx="9">
                  <c:v>3.6890000000000001</c:v>
                </c:pt>
                <c:pt idx="10">
                  <c:v>3.4996666666666663</c:v>
                </c:pt>
                <c:pt idx="11">
                  <c:v>3.2913333333333337</c:v>
                </c:pt>
                <c:pt idx="12">
                  <c:v>3.0746666666666669</c:v>
                </c:pt>
                <c:pt idx="13">
                  <c:v>2.8460000000000001</c:v>
                </c:pt>
                <c:pt idx="14">
                  <c:v>2.673</c:v>
                </c:pt>
                <c:pt idx="15">
                  <c:v>2.170666666666667</c:v>
                </c:pt>
                <c:pt idx="16">
                  <c:v>2.0376666666666665</c:v>
                </c:pt>
                <c:pt idx="17">
                  <c:v>1.837</c:v>
                </c:pt>
                <c:pt idx="18">
                  <c:v>1.5956666666666666</c:v>
                </c:pt>
                <c:pt idx="19">
                  <c:v>1.4486666666666668</c:v>
                </c:pt>
                <c:pt idx="20">
                  <c:v>1.3003333333333333</c:v>
                </c:pt>
                <c:pt idx="21">
                  <c:v>1.0456666666666665</c:v>
                </c:pt>
                <c:pt idx="22">
                  <c:v>0.82033333333333325</c:v>
                </c:pt>
                <c:pt idx="23">
                  <c:v>0.63733333333333331</c:v>
                </c:pt>
                <c:pt idx="24">
                  <c:v>0.49333333333333335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6-47DA-8A1C-45DE5F69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09952"/>
        <c:axId val="522710280"/>
      </c:scatterChart>
      <c:valAx>
        <c:axId val="5227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2710280"/>
        <c:crosses val="autoZero"/>
        <c:crossBetween val="midCat"/>
        <c:majorUnit val="10"/>
      </c:valAx>
      <c:valAx>
        <c:axId val="5227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27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70"/>
            <c:dispRSqr val="0"/>
            <c:dispEq val="0"/>
          </c:trendline>
          <c:xVal>
            <c:numRef>
              <c:f>PKS!$E$3:$E$4</c:f>
              <c:numCache>
                <c:formatCode>General</c:formatCode>
                <c:ptCount val="2"/>
                <c:pt idx="0">
                  <c:v>217.25690629605617</c:v>
                </c:pt>
                <c:pt idx="1">
                  <c:v>206.86460145064291</c:v>
                </c:pt>
              </c:numCache>
            </c:numRef>
          </c:xVal>
          <c:yVal>
            <c:numRef>
              <c:f>PKS!$I$3:$I$4</c:f>
              <c:numCache>
                <c:formatCode>General</c:formatCode>
                <c:ptCount val="2"/>
                <c:pt idx="0">
                  <c:v>5.8826666666666663</c:v>
                </c:pt>
                <c:pt idx="1">
                  <c:v>5.5376666666666665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7-4D69-B077-D44C1810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84040"/>
        <c:axId val="522690272"/>
      </c:scatterChart>
      <c:valAx>
        <c:axId val="522684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2690272"/>
        <c:crosses val="autoZero"/>
        <c:crossBetween val="midCat"/>
      </c:valAx>
      <c:valAx>
        <c:axId val="52269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268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301625</xdr:colOff>
      <xdr:row>0</xdr:row>
      <xdr:rowOff>117475</xdr:rowOff>
    </xdr:from>
    <xdr:to>
      <xdr:col>26</xdr:col>
      <xdr:colOff>606425</xdr:colOff>
      <xdr:row>13</xdr:row>
      <xdr:rowOff>71210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13952-1AF9-4495-82D5-4366D7FB8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292100</xdr:colOff>
      <xdr:row>13</xdr:row>
      <xdr:rowOff>68035</xdr:rowOff>
    </xdr:from>
    <xdr:to>
      <xdr:col>26</xdr:col>
      <xdr:colOff>596900</xdr:colOff>
      <xdr:row>27</xdr:row>
      <xdr:rowOff>48986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AFC1F-E604-4AA7-B846-F3D45209E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99785</xdr:colOff>
      <xdr:row>0</xdr:row>
      <xdr:rowOff>58386</xdr:rowOff>
    </xdr:from>
    <xdr:to>
      <xdr:col>25</xdr:col>
      <xdr:colOff>222250</xdr:colOff>
      <xdr:row>20</xdr:row>
      <xdr:rowOff>14843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4E622-F5B3-42F5-8CA0-20DB6FD66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89765</xdr:colOff>
      <xdr:row>20</xdr:row>
      <xdr:rowOff>4329</xdr:rowOff>
    </xdr:from>
    <xdr:to>
      <xdr:col>24</xdr:col>
      <xdr:colOff>396874</xdr:colOff>
      <xdr:row>33</xdr:row>
      <xdr:rowOff>170006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2CACC-3610-424B-83AB-91CC7930C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0.20105</cdr:x>
      <cdr:y>0.21969</cdr:y>
    </cdr:from>
    <cdr:to>
      <cdr:x>0.90029</cdr:x>
      <cdr:y>0.96367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022AA5C-6A4C-4FFF-B935-246CCD18667D}"/>
            </a:ext>
          </a:extLst>
        </cdr:cNvPr>
        <cdr:cNvCxnSpPr/>
      </cdr:nvCxnSpPr>
      <cdr:spPr>
        <a:xfrm xmlns:a="http://schemas.openxmlformats.org/drawingml/2006/main" flipH="1">
          <a:off x="1005102" y="827439"/>
          <a:ext cx="3495688" cy="28021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39</xdr:row>
      <xdr:rowOff>25400</xdr:rowOff>
    </xdr:from>
    <xdr:to>
      <xdr:col>4</xdr:col>
      <xdr:colOff>355600</xdr:colOff>
      <xdr:row>39</xdr:row>
      <xdr:rowOff>190500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D6BFD0B7-090B-467F-B9DD-1A1AAAA3FAC7}"/>
            </a:ext>
          </a:extLst>
        </xdr:cNvPr>
        <xdr:cNvSpPr/>
      </xdr:nvSpPr>
      <xdr:spPr>
        <a:xfrm>
          <a:off x="4165600" y="8521700"/>
          <a:ext cx="76200" cy="165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48</xdr:row>
      <xdr:rowOff>104775</xdr:rowOff>
    </xdr:from>
    <xdr:to>
      <xdr:col>8</xdr:col>
      <xdr:colOff>94448</xdr:colOff>
      <xdr:row>52</xdr:row>
      <xdr:rowOff>85699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4BBD904-D847-4179-8A6B-73F8754B12EB}"/>
            </a:ext>
          </a:extLst>
        </xdr:cNvPr>
        <xdr:cNvGrpSpPr/>
      </xdr:nvGrpSpPr>
      <xdr:grpSpPr>
        <a:xfrm>
          <a:off x="0" y="9454515"/>
          <a:ext cx="6495248" cy="712444"/>
          <a:chOff x="1790700" y="11696700"/>
          <a:chExt cx="6419048" cy="74292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F69522C-D77A-4B6E-A298-640C16EB25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90700" y="12230100"/>
            <a:ext cx="6419048" cy="209524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538DBA0-EAF6-41FD-91DE-C930FF2BEF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09750" y="11696700"/>
            <a:ext cx="6333333" cy="58095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CB64-33EB-4E51-915C-A118847048CF}">
  <dimension ref="A1:S26"/>
  <sheetViews>
    <sheetView topLeftCell="I1" zoomScale="85" zoomScaleNormal="85" workbookViewId="0">
      <selection activeCell="G8" sqref="G8"/>
    </sheetView>
  </sheetViews>
  <sheetFormatPr defaultRowHeight="14.4" x14ac:dyDescent="0.3"/>
  <sheetData>
    <row r="1" spans="1:19" ht="16.2" x14ac:dyDescent="0.3">
      <c r="A1" s="7" t="s">
        <v>0</v>
      </c>
      <c r="B1" s="7" t="s">
        <v>1</v>
      </c>
      <c r="C1" s="7" t="s">
        <v>2</v>
      </c>
      <c r="D1" s="8" t="s">
        <v>3</v>
      </c>
      <c r="E1" s="8"/>
      <c r="F1" s="7" t="s">
        <v>4</v>
      </c>
      <c r="G1" s="7" t="s">
        <v>5</v>
      </c>
      <c r="H1" s="7" t="s">
        <v>6</v>
      </c>
      <c r="I1" s="8" t="s">
        <v>7</v>
      </c>
      <c r="J1" s="7" t="s">
        <v>10</v>
      </c>
      <c r="K1" s="7" t="s">
        <v>8</v>
      </c>
      <c r="L1" s="7" t="s">
        <v>9</v>
      </c>
      <c r="M1" s="7" t="s">
        <v>11</v>
      </c>
      <c r="N1" s="7" t="s">
        <v>12</v>
      </c>
      <c r="O1" s="7" t="s">
        <v>18</v>
      </c>
      <c r="P1" s="8" t="s">
        <v>19</v>
      </c>
      <c r="Q1" s="8" t="s">
        <v>14</v>
      </c>
      <c r="R1" s="8" t="s">
        <v>15</v>
      </c>
      <c r="S1" s="8" t="s">
        <v>16</v>
      </c>
    </row>
    <row r="2" spans="1:19" x14ac:dyDescent="0.3">
      <c r="A2" s="10">
        <v>262.39999999999998</v>
      </c>
      <c r="B2" s="10">
        <v>259.39999999999998</v>
      </c>
      <c r="C2" s="10">
        <v>259</v>
      </c>
      <c r="D2" s="10">
        <f t="shared" ref="D2:D4" si="0">SUM(A2:C2)/3</f>
        <v>260.26666666666665</v>
      </c>
      <c r="E2" s="10">
        <f t="shared" ref="E2:E4" si="1">D2*SQRT(3)</f>
        <v>450.79509018325973</v>
      </c>
      <c r="F2" s="10">
        <v>1.375</v>
      </c>
      <c r="G2" s="10">
        <v>1.329</v>
      </c>
      <c r="H2" s="10">
        <v>1.2509999999999999</v>
      </c>
      <c r="I2" s="10">
        <f t="shared" ref="I2:I4" si="2">SUM(F2:H2)/3</f>
        <v>1.3183333333333331</v>
      </c>
      <c r="J2" s="10">
        <v>227.6</v>
      </c>
      <c r="K2" s="10">
        <v>1028.3</v>
      </c>
      <c r="L2" s="10">
        <v>43.8</v>
      </c>
      <c r="M2" s="10">
        <v>0.22</v>
      </c>
      <c r="N2" s="10">
        <v>1002.8</v>
      </c>
      <c r="O2" s="10"/>
      <c r="P2" s="10"/>
      <c r="Q2" s="10">
        <f t="shared" ref="Q2:Q26" si="3">E2^2</f>
        <v>203216.21333333326</v>
      </c>
      <c r="R2" s="10">
        <f>1.5*'Proračun elemenata'!$E$6*I2^2</f>
        <v>43.276269166666658</v>
      </c>
      <c r="S2" s="10">
        <f t="shared" ref="S2:S4" si="4">J2-R2</f>
        <v>184.32373083333334</v>
      </c>
    </row>
    <row r="3" spans="1:19" x14ac:dyDescent="0.3">
      <c r="A3" s="10">
        <v>256</v>
      </c>
      <c r="B3" s="10">
        <v>252.8</v>
      </c>
      <c r="C3" s="10">
        <v>252.3</v>
      </c>
      <c r="D3" s="10">
        <f t="shared" si="0"/>
        <v>253.70000000000002</v>
      </c>
      <c r="E3" s="10">
        <f t="shared" si="1"/>
        <v>439.42128988022415</v>
      </c>
      <c r="F3" s="10">
        <v>1.3120000000000001</v>
      </c>
      <c r="G3" s="10">
        <v>1.256</v>
      </c>
      <c r="H3" s="10">
        <v>1.1870000000000001</v>
      </c>
      <c r="I3" s="10">
        <f t="shared" si="2"/>
        <v>1.2516666666666667</v>
      </c>
      <c r="J3" s="10">
        <v>211.3</v>
      </c>
      <c r="K3" s="10">
        <v>952.5</v>
      </c>
      <c r="L3" s="10">
        <v>49</v>
      </c>
      <c r="M3" s="10">
        <v>0.22</v>
      </c>
      <c r="N3" s="10">
        <v>926.8</v>
      </c>
      <c r="O3" s="10"/>
      <c r="P3" s="10"/>
      <c r="Q3" s="10">
        <f t="shared" si="3"/>
        <v>193091.06999999998</v>
      </c>
      <c r="R3" s="10">
        <f>1.5*'Proračun elemenata'!$E$6*I3^2</f>
        <v>39.010069166666668</v>
      </c>
      <c r="S3" s="10">
        <f t="shared" si="4"/>
        <v>172.28993083333336</v>
      </c>
    </row>
    <row r="4" spans="1:19" x14ac:dyDescent="0.3">
      <c r="A4" s="10">
        <v>243.2</v>
      </c>
      <c r="B4" s="10">
        <v>240.5</v>
      </c>
      <c r="C4" s="10">
        <v>240.2</v>
      </c>
      <c r="D4" s="10">
        <f t="shared" si="0"/>
        <v>241.29999999999998</v>
      </c>
      <c r="E4" s="10">
        <f t="shared" si="1"/>
        <v>417.94385986637002</v>
      </c>
      <c r="F4" s="10">
        <v>1.181</v>
      </c>
      <c r="G4" s="10">
        <v>1.147</v>
      </c>
      <c r="H4" s="10">
        <v>1.091</v>
      </c>
      <c r="I4" s="10">
        <f t="shared" si="2"/>
        <v>1.1396666666666668</v>
      </c>
      <c r="J4" s="10">
        <v>186.1</v>
      </c>
      <c r="K4" s="10">
        <v>824.6</v>
      </c>
      <c r="L4" s="10">
        <v>56.6</v>
      </c>
      <c r="M4" s="10">
        <v>0.23</v>
      </c>
      <c r="N4" s="10">
        <v>803.4</v>
      </c>
      <c r="O4" s="10"/>
      <c r="P4" s="10"/>
      <c r="Q4" s="10">
        <f t="shared" si="3"/>
        <v>174677.06999999995</v>
      </c>
      <c r="R4" s="10">
        <f>1.5*'Proračun elemenata'!$E$6*I4^2</f>
        <v>32.341118766666675</v>
      </c>
      <c r="S4" s="10">
        <f t="shared" si="4"/>
        <v>153.75888123333331</v>
      </c>
    </row>
    <row r="5" spans="1:19" x14ac:dyDescent="0.3">
      <c r="A5" s="10">
        <v>228.4</v>
      </c>
      <c r="B5" s="10">
        <v>225.8</v>
      </c>
      <c r="C5" s="10">
        <v>225.5</v>
      </c>
      <c r="D5" s="10">
        <f>SUM(A5:C5)/3</f>
        <v>226.56666666666669</v>
      </c>
      <c r="E5" s="10">
        <f>D5*SQRT(3)</f>
        <v>392.42497796818867</v>
      </c>
      <c r="F5" s="10">
        <v>1.0660000000000001</v>
      </c>
      <c r="G5" s="10">
        <v>1.042</v>
      </c>
      <c r="H5" s="10">
        <v>0.99199999999999999</v>
      </c>
      <c r="I5" s="10">
        <f>SUM(F5:H5)/3</f>
        <v>1.0333333333333334</v>
      </c>
      <c r="J5" s="10">
        <v>165.5</v>
      </c>
      <c r="K5" s="10">
        <v>701.8</v>
      </c>
      <c r="L5" s="10">
        <v>63.4</v>
      </c>
      <c r="M5" s="10">
        <v>0.24</v>
      </c>
      <c r="N5" s="10">
        <v>682</v>
      </c>
      <c r="O5" s="10"/>
      <c r="P5" s="10"/>
      <c r="Q5" s="10">
        <f t="shared" si="3"/>
        <v>153997.36333333337</v>
      </c>
      <c r="R5" s="10">
        <f>1.5*'Proračun elemenata'!$E$6*I5^2</f>
        <v>26.587666666666674</v>
      </c>
      <c r="S5" s="10">
        <f>J5-R5</f>
        <v>138.91233333333332</v>
      </c>
    </row>
    <row r="6" spans="1:19" x14ac:dyDescent="0.3">
      <c r="A6" s="10">
        <v>222</v>
      </c>
      <c r="B6" s="10">
        <v>219.5</v>
      </c>
      <c r="C6" s="10">
        <v>219.4</v>
      </c>
      <c r="D6" s="10">
        <f t="shared" ref="D6:D11" si="5">SUM(A6:C6)/3</f>
        <v>220.29999999999998</v>
      </c>
      <c r="E6" s="10">
        <f t="shared" ref="E6:E11" si="6">D6*SQRT(3)</f>
        <v>381.57079290742359</v>
      </c>
      <c r="F6" s="10">
        <v>1.0189999999999999</v>
      </c>
      <c r="G6" s="10">
        <v>0.998</v>
      </c>
      <c r="H6" s="10">
        <v>0.95199999999999996</v>
      </c>
      <c r="I6" s="10">
        <f t="shared" ref="I6:I11" si="7">SUM(F6:H6)/3</f>
        <v>0.98966666666666658</v>
      </c>
      <c r="J6" s="10">
        <v>157</v>
      </c>
      <c r="K6" s="10">
        <v>654.6</v>
      </c>
      <c r="L6" s="10">
        <v>72.599999999999994</v>
      </c>
      <c r="M6" s="10">
        <v>0.24</v>
      </c>
      <c r="N6" s="10">
        <v>635.6</v>
      </c>
      <c r="O6" s="10"/>
      <c r="P6" s="10"/>
      <c r="Q6" s="10">
        <f t="shared" si="3"/>
        <v>145596.26999999993</v>
      </c>
      <c r="R6" s="10">
        <f>1.5*'Proračun elemenata'!$E$6*I6^2</f>
        <v>24.388058766666664</v>
      </c>
      <c r="S6" s="10">
        <f t="shared" ref="S6:S11" si="8">J6-R6</f>
        <v>132.61194123333334</v>
      </c>
    </row>
    <row r="7" spans="1:19" x14ac:dyDescent="0.3">
      <c r="A7" s="10">
        <v>209.8</v>
      </c>
      <c r="B7" s="10">
        <v>207.6</v>
      </c>
      <c r="C7" s="10">
        <v>207.4</v>
      </c>
      <c r="D7" s="10">
        <f t="shared" si="5"/>
        <v>208.26666666666665</v>
      </c>
      <c r="E7" s="10">
        <f t="shared" si="6"/>
        <v>360.72844818967815</v>
      </c>
      <c r="F7" s="10">
        <v>0.94299999999999995</v>
      </c>
      <c r="G7" s="10">
        <v>0.92300000000000004</v>
      </c>
      <c r="H7" s="10">
        <v>0.88800000000000001</v>
      </c>
      <c r="I7" s="10">
        <f t="shared" si="7"/>
        <v>0.91800000000000004</v>
      </c>
      <c r="J7" s="10">
        <v>144.19999999999999</v>
      </c>
      <c r="K7" s="10">
        <v>573.29999999999995</v>
      </c>
      <c r="L7" s="10">
        <v>83.6</v>
      </c>
      <c r="M7" s="10">
        <v>0.25</v>
      </c>
      <c r="N7" s="10">
        <v>554.9</v>
      </c>
      <c r="O7" s="10"/>
      <c r="P7" s="10"/>
      <c r="Q7" s="10">
        <f t="shared" si="3"/>
        <v>130125.01333333331</v>
      </c>
      <c r="R7" s="10">
        <f>1.5*'Proračun elemenata'!$E$6*I7^2</f>
        <v>20.983827600000001</v>
      </c>
      <c r="S7" s="10">
        <f t="shared" si="8"/>
        <v>123.21617239999999</v>
      </c>
    </row>
    <row r="8" spans="1:19" x14ac:dyDescent="0.3">
      <c r="A8" s="10">
        <v>197.8</v>
      </c>
      <c r="B8" s="10">
        <v>195.8</v>
      </c>
      <c r="C8" s="10">
        <v>195.9</v>
      </c>
      <c r="D8" s="10">
        <f t="shared" si="5"/>
        <v>196.5</v>
      </c>
      <c r="E8" s="10">
        <f t="shared" si="6"/>
        <v>340.34798368728434</v>
      </c>
      <c r="F8" s="10">
        <v>0.85699999999999998</v>
      </c>
      <c r="G8" s="10">
        <v>0.85099999999999998</v>
      </c>
      <c r="H8" s="10">
        <v>0.81599999999999995</v>
      </c>
      <c r="I8" s="10">
        <f t="shared" si="7"/>
        <v>0.84133333333333338</v>
      </c>
      <c r="J8" s="10">
        <v>129.19999999999999</v>
      </c>
      <c r="K8" s="10">
        <v>495.9</v>
      </c>
      <c r="L8" s="10">
        <v>105.7</v>
      </c>
      <c r="M8" s="10">
        <v>0.26</v>
      </c>
      <c r="N8" s="10">
        <v>478.7</v>
      </c>
      <c r="O8" s="10"/>
      <c r="P8" s="10"/>
      <c r="Q8" s="10">
        <f t="shared" si="3"/>
        <v>115836.74999999997</v>
      </c>
      <c r="R8" s="10">
        <f>1.5*'Proračun elemenata'!$E$6*I8^2</f>
        <v>17.625260266666672</v>
      </c>
      <c r="S8" s="10">
        <f t="shared" si="8"/>
        <v>111.57473973333332</v>
      </c>
    </row>
    <row r="9" spans="1:19" x14ac:dyDescent="0.3">
      <c r="A9" s="10">
        <v>185.6</v>
      </c>
      <c r="B9" s="10">
        <v>183.4</v>
      </c>
      <c r="C9" s="10">
        <v>183.3</v>
      </c>
      <c r="D9" s="10">
        <f t="shared" si="5"/>
        <v>184.1</v>
      </c>
      <c r="E9" s="10">
        <f t="shared" si="6"/>
        <v>318.87055367343027</v>
      </c>
      <c r="F9" s="10">
        <v>0.79200000000000004</v>
      </c>
      <c r="G9" s="10">
        <v>0.77900000000000003</v>
      </c>
      <c r="H9" s="10">
        <v>0.752</v>
      </c>
      <c r="I9" s="10">
        <f t="shared" si="7"/>
        <v>0.77433333333333343</v>
      </c>
      <c r="J9" s="10">
        <v>116</v>
      </c>
      <c r="K9" s="10">
        <v>427.5</v>
      </c>
      <c r="L9" s="10">
        <v>121.9</v>
      </c>
      <c r="M9" s="10">
        <v>0.27</v>
      </c>
      <c r="N9" s="10">
        <v>411.4</v>
      </c>
      <c r="O9" s="10"/>
      <c r="P9" s="10"/>
      <c r="Q9" s="10">
        <f t="shared" si="3"/>
        <v>101678.42999999998</v>
      </c>
      <c r="R9" s="10">
        <f>1.5*'Proračun elemenata'!$E$6*I9^2</f>
        <v>14.929843566666671</v>
      </c>
      <c r="S9" s="10">
        <f t="shared" si="8"/>
        <v>101.07015643333332</v>
      </c>
    </row>
    <row r="10" spans="1:19" x14ac:dyDescent="0.3">
      <c r="A10" s="9">
        <v>173.3</v>
      </c>
      <c r="B10" s="9">
        <v>171.1</v>
      </c>
      <c r="C10" s="9">
        <v>171.2</v>
      </c>
      <c r="D10" s="9">
        <f t="shared" si="5"/>
        <v>171.86666666666665</v>
      </c>
      <c r="E10" s="9">
        <f t="shared" si="6"/>
        <v>297.68179879417102</v>
      </c>
      <c r="F10" s="9">
        <v>0.73099999999999998</v>
      </c>
      <c r="G10" s="9">
        <v>0.71799999999999997</v>
      </c>
      <c r="H10" s="9">
        <v>0.69399999999999995</v>
      </c>
      <c r="I10" s="9">
        <f t="shared" si="7"/>
        <v>0.71433333333333326</v>
      </c>
      <c r="J10" s="9">
        <v>106.1</v>
      </c>
      <c r="K10" s="9">
        <v>368</v>
      </c>
      <c r="L10" s="9">
        <v>156.19999999999999</v>
      </c>
      <c r="M10" s="9">
        <v>0.28999999999999998</v>
      </c>
      <c r="N10" s="9">
        <v>352.4</v>
      </c>
      <c r="O10" s="9"/>
      <c r="P10" s="9"/>
      <c r="Q10" s="9">
        <f t="shared" si="3"/>
        <v>88614.453333333309</v>
      </c>
      <c r="R10" s="9">
        <f>1.5*'Proračun elemenata'!$E$6*I10^2</f>
        <v>12.705775566666667</v>
      </c>
      <c r="S10" s="9">
        <f t="shared" si="8"/>
        <v>93.394224433333335</v>
      </c>
    </row>
    <row r="11" spans="1:19" x14ac:dyDescent="0.3">
      <c r="A11" s="9">
        <v>166.3</v>
      </c>
      <c r="B11" s="9">
        <v>164.2</v>
      </c>
      <c r="C11" s="9">
        <v>164.2</v>
      </c>
      <c r="D11" s="9">
        <f t="shared" si="5"/>
        <v>164.9</v>
      </c>
      <c r="E11" s="9">
        <f t="shared" si="6"/>
        <v>285.61517816810783</v>
      </c>
      <c r="F11" s="9">
        <v>0.69699999999999995</v>
      </c>
      <c r="G11" s="9">
        <v>0.68500000000000005</v>
      </c>
      <c r="H11" s="9">
        <v>0.66200000000000003</v>
      </c>
      <c r="I11" s="9">
        <f t="shared" si="7"/>
        <v>0.68133333333333335</v>
      </c>
      <c r="J11" s="9">
        <v>100.3</v>
      </c>
      <c r="K11" s="9">
        <v>337.2</v>
      </c>
      <c r="L11" s="9">
        <v>169.8</v>
      </c>
      <c r="M11" s="9">
        <v>0.3</v>
      </c>
      <c r="N11" s="9">
        <v>322</v>
      </c>
      <c r="O11" s="9"/>
      <c r="P11" s="9"/>
      <c r="Q11" s="9">
        <f t="shared" si="3"/>
        <v>81576.029999999984</v>
      </c>
      <c r="R11" s="9">
        <f>1.5*'Proračun elemenata'!$E$6*I11^2</f>
        <v>11.558956266666668</v>
      </c>
      <c r="S11" s="9">
        <f t="shared" si="8"/>
        <v>88.741043733333328</v>
      </c>
    </row>
    <row r="12" spans="1:19" x14ac:dyDescent="0.3">
      <c r="A12" s="9">
        <v>158.9</v>
      </c>
      <c r="B12" s="9">
        <v>156.80000000000001</v>
      </c>
      <c r="C12" s="9">
        <v>156.69999999999999</v>
      </c>
      <c r="D12" s="9">
        <f>SUM(A12:C12)/3</f>
        <v>157.46666666666667</v>
      </c>
      <c r="E12" s="9">
        <f>D12*SQRT(3)</f>
        <v>272.7402671651792</v>
      </c>
      <c r="F12" s="9">
        <v>0.66</v>
      </c>
      <c r="G12" s="9">
        <v>0.64500000000000002</v>
      </c>
      <c r="H12" s="9">
        <v>0.627</v>
      </c>
      <c r="I12" s="9">
        <f>SUM(F12:H12)/3</f>
        <v>0.64400000000000002</v>
      </c>
      <c r="J12" s="9">
        <v>94.1</v>
      </c>
      <c r="K12" s="9">
        <v>304.10000000000002</v>
      </c>
      <c r="L12" s="9">
        <v>192.9</v>
      </c>
      <c r="M12" s="9">
        <v>0.31</v>
      </c>
      <c r="N12" s="9">
        <v>289.2</v>
      </c>
      <c r="O12" s="9"/>
      <c r="P12" s="9"/>
      <c r="Q12" s="9">
        <f t="shared" si="3"/>
        <v>74387.253333333327</v>
      </c>
      <c r="R12" s="9">
        <f>1.5*'Proračun elemenata'!$E$6*I12^2</f>
        <v>10.326926400000001</v>
      </c>
      <c r="S12" s="9">
        <f>J12-R12</f>
        <v>83.773073599999989</v>
      </c>
    </row>
    <row r="13" spans="1:19" x14ac:dyDescent="0.3">
      <c r="A13" s="9">
        <v>152.4</v>
      </c>
      <c r="B13" s="9">
        <v>150.30000000000001</v>
      </c>
      <c r="C13" s="9">
        <v>150.1</v>
      </c>
      <c r="D13" s="9">
        <f t="shared" ref="D13:D26" si="9">SUM(A13:C13)/3</f>
        <v>150.93333333333337</v>
      </c>
      <c r="E13" s="9">
        <f t="shared" ref="E13:E26" si="10">D13*SQRT(3)</f>
        <v>261.4242018890626</v>
      </c>
      <c r="F13" s="9">
        <v>0.64100000000000001</v>
      </c>
      <c r="G13" s="9">
        <v>0.625</v>
      </c>
      <c r="H13" s="9">
        <v>0.60599999999999998</v>
      </c>
      <c r="I13" s="9">
        <f t="shared" ref="I13:I26" si="11">SUM(F13:H13)/3</f>
        <v>0.624</v>
      </c>
      <c r="J13" s="9">
        <v>90</v>
      </c>
      <c r="K13" s="9">
        <v>282.5</v>
      </c>
      <c r="L13" s="9">
        <v>214.7</v>
      </c>
      <c r="M13" s="9">
        <v>0.32</v>
      </c>
      <c r="N13" s="9">
        <v>267.8</v>
      </c>
      <c r="O13" s="9"/>
      <c r="P13" s="9"/>
      <c r="Q13" s="9">
        <f t="shared" si="3"/>
        <v>68342.613333333356</v>
      </c>
      <c r="R13" s="9">
        <f>1.5*'Proračun elemenata'!$E$6*I13^2</f>
        <v>9.6954624000000003</v>
      </c>
      <c r="S13" s="9">
        <f t="shared" ref="S13:S26" si="12">J13-R13</f>
        <v>80.304537600000003</v>
      </c>
    </row>
    <row r="14" spans="1:19" x14ac:dyDescent="0.3">
      <c r="A14" s="9">
        <v>144.19999999999999</v>
      </c>
      <c r="B14" s="9">
        <v>142.1</v>
      </c>
      <c r="C14" s="9">
        <v>142.1</v>
      </c>
      <c r="D14" s="9">
        <f t="shared" si="9"/>
        <v>142.79999999999998</v>
      </c>
      <c r="E14" s="9">
        <f t="shared" si="10"/>
        <v>247.33685532083564</v>
      </c>
      <c r="F14" s="9">
        <v>0.60599999999999998</v>
      </c>
      <c r="G14" s="9">
        <v>0.59199999999999997</v>
      </c>
      <c r="H14" s="9">
        <v>0.57299999999999995</v>
      </c>
      <c r="I14" s="9">
        <f t="shared" si="11"/>
        <v>0.59033333333333327</v>
      </c>
      <c r="J14" s="9">
        <v>85.3</v>
      </c>
      <c r="K14" s="9">
        <v>252</v>
      </c>
      <c r="L14" s="9">
        <v>237.1</v>
      </c>
      <c r="M14" s="9">
        <v>0.34</v>
      </c>
      <c r="N14" s="9">
        <v>237.1</v>
      </c>
      <c r="O14" s="9"/>
      <c r="P14" s="9"/>
      <c r="Q14" s="9">
        <f t="shared" si="3"/>
        <v>61175.519999999982</v>
      </c>
      <c r="R14" s="9">
        <f>1.5*'Proračun elemenata'!$E$6*I14^2</f>
        <v>8.6774867666666644</v>
      </c>
      <c r="S14" s="9">
        <f t="shared" si="12"/>
        <v>76.622513233333336</v>
      </c>
    </row>
    <row r="15" spans="1:19" x14ac:dyDescent="0.3">
      <c r="A15" s="9">
        <v>138.19999999999999</v>
      </c>
      <c r="B15" s="9">
        <v>136.19999999999999</v>
      </c>
      <c r="C15" s="9">
        <v>136</v>
      </c>
      <c r="D15" s="9">
        <f t="shared" si="9"/>
        <v>136.79999999999998</v>
      </c>
      <c r="E15" s="9">
        <f t="shared" si="10"/>
        <v>236.94455047542237</v>
      </c>
      <c r="F15" s="9">
        <v>0.57199999999999995</v>
      </c>
      <c r="G15" s="9">
        <v>0.56100000000000005</v>
      </c>
      <c r="H15" s="9">
        <v>0.54300000000000004</v>
      </c>
      <c r="I15" s="9">
        <f t="shared" si="11"/>
        <v>0.55866666666666676</v>
      </c>
      <c r="J15" s="9">
        <v>80.400000000000006</v>
      </c>
      <c r="K15" s="9">
        <v>229.3</v>
      </c>
      <c r="L15" s="9">
        <v>267.8</v>
      </c>
      <c r="M15" s="9">
        <v>0.35</v>
      </c>
      <c r="N15" s="9">
        <v>214.7</v>
      </c>
      <c r="O15" s="9"/>
      <c r="P15" s="9"/>
      <c r="Q15" s="9">
        <f t="shared" si="3"/>
        <v>56142.719999999979</v>
      </c>
      <c r="R15" s="9">
        <f>1.5*'Proračun elemenata'!$E$6*I15^2</f>
        <v>7.7715002666666688</v>
      </c>
      <c r="S15" s="9">
        <f t="shared" si="12"/>
        <v>72.628499733333342</v>
      </c>
    </row>
    <row r="16" spans="1:19" x14ac:dyDescent="0.3">
      <c r="A16" s="9">
        <v>131.9</v>
      </c>
      <c r="B16" s="9">
        <v>130.1</v>
      </c>
      <c r="C16" s="9">
        <v>129.6</v>
      </c>
      <c r="D16" s="9">
        <f t="shared" si="9"/>
        <v>130.53333333333333</v>
      </c>
      <c r="E16" s="9">
        <f t="shared" si="10"/>
        <v>226.09036541465744</v>
      </c>
      <c r="F16" s="9">
        <v>0.54400000000000004</v>
      </c>
      <c r="G16" s="9">
        <v>0.53400000000000003</v>
      </c>
      <c r="H16" s="9">
        <v>0.51200000000000001</v>
      </c>
      <c r="I16" s="9">
        <f t="shared" si="11"/>
        <v>0.53</v>
      </c>
      <c r="J16" s="9">
        <v>76.900000000000006</v>
      </c>
      <c r="K16" s="9">
        <v>207.6</v>
      </c>
      <c r="L16" s="9">
        <v>289.2</v>
      </c>
      <c r="M16" s="9">
        <v>0.37</v>
      </c>
      <c r="N16" s="9">
        <v>192.9</v>
      </c>
      <c r="O16" s="9"/>
      <c r="P16" s="9"/>
      <c r="Q16" s="9">
        <f t="shared" si="3"/>
        <v>51116.853333333333</v>
      </c>
      <c r="R16" s="9">
        <f>1.5*'Proračun elemenata'!$E$6*I16^2</f>
        <v>6.9944100000000011</v>
      </c>
      <c r="S16" s="9">
        <f t="shared" si="12"/>
        <v>69.905590000000004</v>
      </c>
    </row>
    <row r="17" spans="1:19" x14ac:dyDescent="0.3">
      <c r="A17" s="9">
        <v>125.2</v>
      </c>
      <c r="B17" s="9">
        <v>123.6</v>
      </c>
      <c r="C17" s="9">
        <v>119.7</v>
      </c>
      <c r="D17" s="9">
        <f t="shared" si="9"/>
        <v>122.83333333333333</v>
      </c>
      <c r="E17" s="9">
        <f t="shared" si="10"/>
        <v>212.75357419637709</v>
      </c>
      <c r="F17" s="9">
        <v>0.49399999999999999</v>
      </c>
      <c r="G17" s="9">
        <v>0.51300000000000001</v>
      </c>
      <c r="H17" s="9">
        <v>0.49399999999999999</v>
      </c>
      <c r="I17" s="9">
        <f t="shared" si="11"/>
        <v>0.50033333333333341</v>
      </c>
      <c r="J17" s="9">
        <v>72</v>
      </c>
      <c r="K17" s="9">
        <v>184.4</v>
      </c>
      <c r="L17" s="9">
        <v>322</v>
      </c>
      <c r="M17" s="9">
        <v>0.39</v>
      </c>
      <c r="N17" s="9">
        <v>169.8</v>
      </c>
      <c r="O17" s="9"/>
      <c r="P17" s="9"/>
      <c r="Q17" s="9">
        <f t="shared" si="3"/>
        <v>45264.083333333328</v>
      </c>
      <c r="R17" s="9">
        <f>1.5*'Proračun elemenata'!$E$6*I17^2</f>
        <v>6.2333027666666689</v>
      </c>
      <c r="S17" s="9">
        <f t="shared" si="12"/>
        <v>65.766697233333332</v>
      </c>
    </row>
    <row r="18" spans="1:19" x14ac:dyDescent="0.3">
      <c r="A18" s="9">
        <v>120</v>
      </c>
      <c r="B18" s="9">
        <v>118.2</v>
      </c>
      <c r="C18" s="9">
        <v>114.7</v>
      </c>
      <c r="D18" s="9">
        <f t="shared" si="9"/>
        <v>117.63333333333333</v>
      </c>
      <c r="E18" s="9">
        <f t="shared" si="10"/>
        <v>203.74690999701892</v>
      </c>
      <c r="F18" s="9">
        <v>0.47799999999999998</v>
      </c>
      <c r="G18" s="9">
        <v>0.49399999999999999</v>
      </c>
      <c r="H18" s="9">
        <v>0.48199999999999998</v>
      </c>
      <c r="I18" s="9">
        <f t="shared" si="11"/>
        <v>0.48466666666666663</v>
      </c>
      <c r="J18" s="9">
        <v>69.5</v>
      </c>
      <c r="K18" s="9">
        <v>171</v>
      </c>
      <c r="L18" s="9">
        <v>352.4</v>
      </c>
      <c r="M18" s="9">
        <v>0.41</v>
      </c>
      <c r="N18" s="9">
        <v>156.19999999999999</v>
      </c>
      <c r="O18" s="9"/>
      <c r="P18" s="9"/>
      <c r="Q18" s="9">
        <f t="shared" si="3"/>
        <v>41512.80333333333</v>
      </c>
      <c r="R18" s="9">
        <f>1.5*'Proračun elemenata'!$E$6*I18^2</f>
        <v>5.8490542666666663</v>
      </c>
      <c r="S18" s="9">
        <f t="shared" si="12"/>
        <v>63.65094573333333</v>
      </c>
    </row>
    <row r="19" spans="1:19" x14ac:dyDescent="0.3">
      <c r="A19" s="9">
        <v>107.1</v>
      </c>
      <c r="B19" s="9">
        <v>105.5</v>
      </c>
      <c r="C19" s="9">
        <v>101.8</v>
      </c>
      <c r="D19" s="9">
        <f t="shared" si="9"/>
        <v>104.8</v>
      </c>
      <c r="E19" s="9">
        <f t="shared" si="10"/>
        <v>181.51892463321832</v>
      </c>
      <c r="F19" s="9">
        <v>0.432</v>
      </c>
      <c r="G19" s="9">
        <v>0.45300000000000001</v>
      </c>
      <c r="H19" s="9">
        <v>0.433</v>
      </c>
      <c r="I19" s="9">
        <f t="shared" si="11"/>
        <v>0.43933333333333335</v>
      </c>
      <c r="J19" s="9">
        <v>62.6</v>
      </c>
      <c r="K19" s="9">
        <v>137</v>
      </c>
      <c r="L19" s="9">
        <v>411.4</v>
      </c>
      <c r="M19" s="9">
        <v>0.46</v>
      </c>
      <c r="N19" s="9">
        <v>121.9</v>
      </c>
      <c r="O19" s="9"/>
      <c r="P19" s="9"/>
      <c r="Q19" s="9">
        <f t="shared" si="3"/>
        <v>32949.119999999995</v>
      </c>
      <c r="R19" s="9">
        <f>1.5*'Proračun elemenata'!$E$6*I19^2</f>
        <v>4.8060430666666676</v>
      </c>
      <c r="S19" s="9">
        <f t="shared" si="12"/>
        <v>57.793956933333334</v>
      </c>
    </row>
    <row r="20" spans="1:19" x14ac:dyDescent="0.3">
      <c r="A20" s="9">
        <v>99.1</v>
      </c>
      <c r="B20" s="9">
        <v>97.7</v>
      </c>
      <c r="C20" s="9">
        <v>93.7</v>
      </c>
      <c r="D20" s="9">
        <f t="shared" si="9"/>
        <v>96.833333333333329</v>
      </c>
      <c r="E20" s="9">
        <f t="shared" si="10"/>
        <v>167.72025319958627</v>
      </c>
      <c r="F20" s="9">
        <v>0.41</v>
      </c>
      <c r="G20" s="9">
        <v>0.435</v>
      </c>
      <c r="H20" s="9">
        <v>0.41199999999999998</v>
      </c>
      <c r="I20" s="9">
        <f t="shared" si="11"/>
        <v>0.41899999999999998</v>
      </c>
      <c r="J20" s="9">
        <v>59.9</v>
      </c>
      <c r="K20" s="9">
        <v>121.5</v>
      </c>
      <c r="L20" s="9">
        <v>478.7</v>
      </c>
      <c r="M20" s="9">
        <v>0.49</v>
      </c>
      <c r="N20" s="9">
        <v>105.7</v>
      </c>
      <c r="O20" s="9"/>
      <c r="P20" s="9"/>
      <c r="Q20" s="9">
        <f t="shared" si="3"/>
        <v>28130.083333333328</v>
      </c>
      <c r="R20" s="9">
        <f>1.5*'Proračun elemenata'!$E$6*I20^2</f>
        <v>4.3714689</v>
      </c>
      <c r="S20" s="9">
        <f t="shared" si="12"/>
        <v>55.528531099999995</v>
      </c>
    </row>
    <row r="21" spans="1:19" x14ac:dyDescent="0.3">
      <c r="A21" s="9">
        <v>88.9</v>
      </c>
      <c r="B21" s="9">
        <v>87.3</v>
      </c>
      <c r="C21" s="9">
        <v>83.3</v>
      </c>
      <c r="D21" s="9">
        <f t="shared" si="9"/>
        <v>86.5</v>
      </c>
      <c r="E21" s="9">
        <f t="shared" si="10"/>
        <v>149.82239485470788</v>
      </c>
      <c r="F21" s="9">
        <v>0.38100000000000001</v>
      </c>
      <c r="G21" s="9">
        <v>0.40300000000000002</v>
      </c>
      <c r="H21" s="9">
        <v>0.38100000000000001</v>
      </c>
      <c r="I21" s="9">
        <f t="shared" si="11"/>
        <v>0.38833333333333336</v>
      </c>
      <c r="J21" s="9">
        <v>55.9</v>
      </c>
      <c r="K21" s="9">
        <v>100.6</v>
      </c>
      <c r="L21" s="9">
        <v>554.9</v>
      </c>
      <c r="M21" s="9">
        <v>0.56000000000000005</v>
      </c>
      <c r="N21" s="9">
        <v>83.6</v>
      </c>
      <c r="O21" s="9"/>
      <c r="P21" s="9"/>
      <c r="Q21" s="9">
        <f t="shared" si="3"/>
        <v>22446.75</v>
      </c>
      <c r="R21" s="9">
        <f>1.5*'Proračun elemenata'!$E$6*I21^2</f>
        <v>3.7549891666666677</v>
      </c>
      <c r="S21" s="9">
        <f t="shared" si="12"/>
        <v>52.14501083333333</v>
      </c>
    </row>
    <row r="22" spans="1:19" x14ac:dyDescent="0.3">
      <c r="A22" s="9">
        <v>82.1</v>
      </c>
      <c r="B22" s="9">
        <v>80.7</v>
      </c>
      <c r="C22" s="9">
        <v>77.2</v>
      </c>
      <c r="D22" s="9">
        <f t="shared" si="9"/>
        <v>80</v>
      </c>
      <c r="E22" s="9">
        <f t="shared" si="10"/>
        <v>138.56406460551017</v>
      </c>
      <c r="F22" s="9">
        <v>0.36499999999999999</v>
      </c>
      <c r="G22" s="9">
        <v>0.38700000000000001</v>
      </c>
      <c r="H22" s="9">
        <v>0.38</v>
      </c>
      <c r="I22" s="9">
        <f t="shared" si="11"/>
        <v>0.37733333333333335</v>
      </c>
      <c r="J22" s="9">
        <v>53.1</v>
      </c>
      <c r="K22" s="9">
        <v>90</v>
      </c>
      <c r="L22" s="9">
        <v>635.6</v>
      </c>
      <c r="M22" s="9">
        <v>0.59</v>
      </c>
      <c r="N22" s="9">
        <v>72.599999999999994</v>
      </c>
      <c r="O22" s="9"/>
      <c r="P22" s="9"/>
      <c r="Q22" s="9">
        <f t="shared" si="3"/>
        <v>19199.999999999996</v>
      </c>
      <c r="R22" s="9">
        <f>1.5*'Proračun elemenata'!$E$6*I22^2</f>
        <v>3.5452730666666672</v>
      </c>
      <c r="S22" s="9">
        <f t="shared" si="12"/>
        <v>49.554726933333335</v>
      </c>
    </row>
    <row r="23" spans="1:19" x14ac:dyDescent="0.3">
      <c r="A23" s="9">
        <v>76.900000000000006</v>
      </c>
      <c r="B23" s="9">
        <v>75.3</v>
      </c>
      <c r="C23" s="9">
        <v>71.599999999999994</v>
      </c>
      <c r="D23" s="9">
        <f t="shared" si="9"/>
        <v>74.599999999999994</v>
      </c>
      <c r="E23" s="9">
        <f t="shared" si="10"/>
        <v>129.21099024463823</v>
      </c>
      <c r="F23" s="9">
        <v>0.36099999999999999</v>
      </c>
      <c r="G23" s="9">
        <v>0.38</v>
      </c>
      <c r="H23" s="9">
        <v>0.36</v>
      </c>
      <c r="I23" s="9">
        <f t="shared" si="11"/>
        <v>0.36699999999999999</v>
      </c>
      <c r="J23" s="9">
        <v>51.7</v>
      </c>
      <c r="K23" s="9">
        <v>81.8</v>
      </c>
      <c r="L23" s="9">
        <v>682</v>
      </c>
      <c r="M23" s="9">
        <v>0.63</v>
      </c>
      <c r="N23" s="9">
        <v>63.4</v>
      </c>
      <c r="O23" s="9"/>
      <c r="P23" s="9"/>
      <c r="Q23" s="9">
        <f t="shared" si="3"/>
        <v>16695.479999999996</v>
      </c>
      <c r="R23" s="9">
        <f>1.5*'Proračun elemenata'!$E$6*I23^2</f>
        <v>3.3537561000000005</v>
      </c>
      <c r="S23" s="9">
        <f t="shared" si="12"/>
        <v>48.346243900000005</v>
      </c>
    </row>
    <row r="24" spans="1:19" x14ac:dyDescent="0.3">
      <c r="A24" s="10">
        <v>71.7</v>
      </c>
      <c r="B24" s="10">
        <v>69.8</v>
      </c>
      <c r="C24" s="10">
        <v>66.5</v>
      </c>
      <c r="D24" s="10">
        <f t="shared" si="9"/>
        <v>69.333333333333329</v>
      </c>
      <c r="E24" s="10">
        <f t="shared" si="10"/>
        <v>120.08885599144214</v>
      </c>
      <c r="F24" s="10">
        <v>0.36</v>
      </c>
      <c r="G24" s="10">
        <v>0.36799999999999999</v>
      </c>
      <c r="H24" s="10">
        <v>0.36099999999999999</v>
      </c>
      <c r="I24" s="10">
        <f t="shared" si="11"/>
        <v>0.36299999999999999</v>
      </c>
      <c r="J24" s="10">
        <v>49.6</v>
      </c>
      <c r="K24" s="10">
        <v>75.3</v>
      </c>
      <c r="L24" s="10">
        <v>803.4</v>
      </c>
      <c r="M24" s="10">
        <v>0.66</v>
      </c>
      <c r="N24" s="10">
        <v>56.6</v>
      </c>
      <c r="O24" s="10"/>
      <c r="P24" s="10"/>
      <c r="Q24" s="10">
        <f t="shared" si="3"/>
        <v>14421.33333333333</v>
      </c>
      <c r="R24" s="10">
        <f>1.5*'Proračun elemenata'!$E$6*I24^2</f>
        <v>3.2810481</v>
      </c>
      <c r="S24" s="10">
        <f t="shared" si="12"/>
        <v>46.318951900000002</v>
      </c>
    </row>
    <row r="25" spans="1:19" x14ac:dyDescent="0.3">
      <c r="A25" s="10">
        <v>65.400000000000006</v>
      </c>
      <c r="B25" s="10">
        <v>63.5</v>
      </c>
      <c r="C25" s="10">
        <v>60.3</v>
      </c>
      <c r="D25" s="10">
        <f t="shared" si="9"/>
        <v>63.066666666666663</v>
      </c>
      <c r="E25" s="10">
        <f t="shared" si="10"/>
        <v>109.23467093067718</v>
      </c>
      <c r="F25" s="10">
        <v>0.35499999999999998</v>
      </c>
      <c r="G25" s="10">
        <v>0.36899999999999999</v>
      </c>
      <c r="H25" s="10">
        <v>0.36299999999999999</v>
      </c>
      <c r="I25" s="10">
        <f t="shared" si="11"/>
        <v>0.36233333333333334</v>
      </c>
      <c r="J25" s="10">
        <v>47.9</v>
      </c>
      <c r="K25" s="10">
        <v>68.5</v>
      </c>
      <c r="L25" s="10">
        <v>926.8</v>
      </c>
      <c r="M25" s="10">
        <v>0.7</v>
      </c>
      <c r="N25" s="10">
        <v>49</v>
      </c>
      <c r="O25" s="10"/>
      <c r="P25" s="10"/>
      <c r="Q25" s="10">
        <f t="shared" si="3"/>
        <v>11932.213333333331</v>
      </c>
      <c r="R25" s="10">
        <f>1.5*'Proračun elemenata'!$E$6*I25^2</f>
        <v>3.2690075666666671</v>
      </c>
      <c r="S25" s="10">
        <f t="shared" si="12"/>
        <v>44.630992433333333</v>
      </c>
    </row>
    <row r="26" spans="1:19" x14ac:dyDescent="0.3">
      <c r="A26" s="10">
        <v>60.4</v>
      </c>
      <c r="B26" s="10">
        <v>58.8</v>
      </c>
      <c r="C26" s="10">
        <v>55.1</v>
      </c>
      <c r="D26" s="10">
        <f t="shared" si="9"/>
        <v>58.099999999999994</v>
      </c>
      <c r="E26" s="10">
        <f t="shared" si="10"/>
        <v>100.63215191975175</v>
      </c>
      <c r="F26" s="10">
        <v>0.36499999999999999</v>
      </c>
      <c r="G26" s="10">
        <v>0.378</v>
      </c>
      <c r="H26" s="10">
        <v>0.36299999999999999</v>
      </c>
      <c r="I26" s="10">
        <f t="shared" si="11"/>
        <v>0.36866666666666664</v>
      </c>
      <c r="J26" s="10">
        <v>46.9</v>
      </c>
      <c r="K26" s="10">
        <v>64.2</v>
      </c>
      <c r="L26" s="10">
        <v>1002.8</v>
      </c>
      <c r="M26" s="10">
        <v>0.73</v>
      </c>
      <c r="N26" s="10">
        <v>43.8</v>
      </c>
      <c r="O26" s="10"/>
      <c r="P26" s="10"/>
      <c r="Q26" s="10">
        <f t="shared" si="3"/>
        <v>10126.829999999996</v>
      </c>
      <c r="R26" s="10">
        <f>1.5*'Proračun elemenata'!$E$6*I26^2</f>
        <v>3.3842862666666664</v>
      </c>
      <c r="S26" s="10">
        <f t="shared" si="12"/>
        <v>43.515713733333335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0022-4D89-42F2-A6AA-B119010ADBAE}">
  <dimension ref="A1:Q29"/>
  <sheetViews>
    <sheetView zoomScaleNormal="100" workbookViewId="0">
      <selection activeCell="N8" sqref="N8"/>
    </sheetView>
  </sheetViews>
  <sheetFormatPr defaultRowHeight="14.4" x14ac:dyDescent="0.3"/>
  <sheetData>
    <row r="1" spans="1:17" x14ac:dyDescent="0.3">
      <c r="A1" s="7" t="s">
        <v>0</v>
      </c>
      <c r="B1" s="7" t="s">
        <v>1</v>
      </c>
      <c r="C1" s="7" t="s">
        <v>2</v>
      </c>
      <c r="D1" s="8" t="s">
        <v>3</v>
      </c>
      <c r="E1" s="8"/>
      <c r="F1" s="7" t="s">
        <v>4</v>
      </c>
      <c r="G1" s="7" t="s">
        <v>5</v>
      </c>
      <c r="H1" s="7" t="s">
        <v>6</v>
      </c>
      <c r="I1" s="8" t="s">
        <v>7</v>
      </c>
      <c r="J1" s="7" t="s">
        <v>10</v>
      </c>
      <c r="K1" s="7" t="s">
        <v>8</v>
      </c>
      <c r="L1" s="7" t="s">
        <v>9</v>
      </c>
      <c r="M1" s="7" t="s">
        <v>11</v>
      </c>
      <c r="N1" s="7" t="s">
        <v>12</v>
      </c>
      <c r="O1" s="7" t="s">
        <v>20</v>
      </c>
      <c r="P1" s="8" t="s">
        <v>13</v>
      </c>
      <c r="Q1" s="8" t="s">
        <v>17</v>
      </c>
    </row>
    <row r="2" spans="1:17" s="2" customFormat="1" x14ac:dyDescent="0.3">
      <c r="A2" s="10">
        <v>130.4</v>
      </c>
      <c r="B2" s="10">
        <v>127.8</v>
      </c>
      <c r="C2" s="10">
        <v>128.30000000000001</v>
      </c>
      <c r="D2" s="8">
        <f t="shared" ref="D2:D3" si="0">SUM(A2:C2)/3</f>
        <v>128.83333333333334</v>
      </c>
      <c r="E2" s="8">
        <f t="shared" ref="E2:E4" si="1">SQRT(3)*D2</f>
        <v>223.14587904179035</v>
      </c>
      <c r="F2" s="10">
        <v>6.1669999999999998</v>
      </c>
      <c r="G2" s="10">
        <v>6.0640000000000001</v>
      </c>
      <c r="H2" s="10">
        <v>6.1319999999999997</v>
      </c>
      <c r="I2" s="8">
        <f t="shared" ref="I2:I4" si="2">SUM(F2:H2)/3</f>
        <v>6.1209999999999996</v>
      </c>
      <c r="J2" s="10">
        <v>1814.9</v>
      </c>
      <c r="K2" s="10">
        <v>2364.6</v>
      </c>
      <c r="L2" s="10">
        <v>1515.9</v>
      </c>
      <c r="M2" s="10">
        <v>0.77</v>
      </c>
      <c r="N2" s="10"/>
      <c r="O2" s="10">
        <v>4.1959999999999997</v>
      </c>
      <c r="P2" s="8">
        <f>O2*10</f>
        <v>41.959999999999994</v>
      </c>
      <c r="Q2" s="8">
        <f>(J2-1.5*I2^2*('Proračun elemenata'!$E$6)*(235+P2)/(235+20))/(1500*PI()/30)</f>
        <v>5.1033975899304682</v>
      </c>
    </row>
    <row r="3" spans="1:17" s="2" customFormat="1" x14ac:dyDescent="0.3">
      <c r="A3" s="10">
        <v>126.8</v>
      </c>
      <c r="B3" s="10">
        <v>124.7</v>
      </c>
      <c r="C3" s="10">
        <v>124.8</v>
      </c>
      <c r="D3" s="8">
        <f t="shared" si="0"/>
        <v>125.43333333333334</v>
      </c>
      <c r="E3" s="8">
        <f t="shared" si="1"/>
        <v>217.25690629605617</v>
      </c>
      <c r="F3" s="10">
        <v>5.9219999999999997</v>
      </c>
      <c r="G3" s="10">
        <v>5.8410000000000002</v>
      </c>
      <c r="H3" s="10">
        <v>5.8849999999999998</v>
      </c>
      <c r="I3" s="8">
        <f t="shared" si="2"/>
        <v>5.8826666666666663</v>
      </c>
      <c r="J3" s="10">
        <v>1698.2</v>
      </c>
      <c r="K3" s="10">
        <v>2208.9</v>
      </c>
      <c r="L3" s="10">
        <v>1412.6</v>
      </c>
      <c r="M3" s="10">
        <v>0.77</v>
      </c>
      <c r="N3" s="10"/>
      <c r="O3" s="10">
        <v>4.4960000000000004</v>
      </c>
      <c r="P3" s="8">
        <f t="shared" ref="P3:P26" si="3">O3*10</f>
        <v>44.960000000000008</v>
      </c>
      <c r="Q3" s="8">
        <f>(J3-1.5*I3^2*('Proračun elemenata'!$E$6)*(235+P3)/(235+20))/(1500*PI()/30)</f>
        <v>4.7884806434762899</v>
      </c>
    </row>
    <row r="4" spans="1:17" s="2" customFormat="1" x14ac:dyDescent="0.3">
      <c r="A4" s="10">
        <v>120.6</v>
      </c>
      <c r="B4" s="10">
        <v>118.7</v>
      </c>
      <c r="C4" s="10">
        <v>119</v>
      </c>
      <c r="D4" s="8">
        <f t="shared" ref="D4" si="4">SUM(A4:C4)/3</f>
        <v>119.43333333333334</v>
      </c>
      <c r="E4" s="8">
        <f t="shared" si="1"/>
        <v>206.86460145064291</v>
      </c>
      <c r="F4" s="10">
        <v>5.5679999999999996</v>
      </c>
      <c r="G4" s="10">
        <v>5.5019999999999998</v>
      </c>
      <c r="H4" s="10">
        <v>5.5430000000000001</v>
      </c>
      <c r="I4" s="8">
        <f t="shared" si="2"/>
        <v>5.5376666666666665</v>
      </c>
      <c r="J4" s="10">
        <v>1516.7</v>
      </c>
      <c r="K4" s="10">
        <v>1980.3</v>
      </c>
      <c r="L4" s="10">
        <v>1273.2</v>
      </c>
      <c r="M4" s="10">
        <v>0.77</v>
      </c>
      <c r="N4" s="10"/>
      <c r="O4" s="10">
        <v>4.7539999999999996</v>
      </c>
      <c r="P4" s="8">
        <f t="shared" si="3"/>
        <v>47.539999999999992</v>
      </c>
      <c r="Q4" s="8">
        <f>(J4-1.5*I4^2*('Proračun elemenata'!$E$6)*(235+P4)/(235+20))/(1500*PI()/30)</f>
        <v>4.2695314498510601</v>
      </c>
    </row>
    <row r="5" spans="1:17" x14ac:dyDescent="0.3">
      <c r="A5" s="8">
        <v>108.8</v>
      </c>
      <c r="B5" s="8">
        <v>106.1</v>
      </c>
      <c r="C5" s="8">
        <v>107</v>
      </c>
      <c r="D5" s="8">
        <f t="shared" ref="D5:D26" si="5">SUM(A5:C5)/3</f>
        <v>107.3</v>
      </c>
      <c r="E5" s="8">
        <f t="shared" ref="E5:E26" si="6">SQRT(3)*D5</f>
        <v>185.84905165214053</v>
      </c>
      <c r="F5" s="8">
        <v>4.9329999999999998</v>
      </c>
      <c r="G5" s="8">
        <v>5.0789999999999997</v>
      </c>
      <c r="H5" s="8">
        <v>5.0229999999999997</v>
      </c>
      <c r="I5" s="8">
        <f t="shared" ref="I5:I26" si="7">SUM(F5:H5)/3</f>
        <v>5.0116666666666667</v>
      </c>
      <c r="J5" s="8">
        <v>1194.5999999999999</v>
      </c>
      <c r="K5" s="8">
        <v>1611.1</v>
      </c>
      <c r="L5" s="8">
        <v>1081.2</v>
      </c>
      <c r="M5" s="8">
        <v>0.74</v>
      </c>
      <c r="N5" s="10"/>
      <c r="O5" s="10">
        <v>3.827</v>
      </c>
      <c r="P5" s="8">
        <f t="shared" si="3"/>
        <v>38.269999999999996</v>
      </c>
      <c r="Q5" s="8">
        <f>(J5-1.5*I5^2*('Proračun elemenata'!$E$6)*(235+P5)/(235+20))/(1500*PI()/30)</f>
        <v>3.3383254737802193</v>
      </c>
    </row>
    <row r="6" spans="1:17" x14ac:dyDescent="0.3">
      <c r="A6" s="8">
        <v>103</v>
      </c>
      <c r="B6" s="8">
        <v>100.7</v>
      </c>
      <c r="C6" s="8">
        <v>101.3</v>
      </c>
      <c r="D6" s="8">
        <f t="shared" si="5"/>
        <v>101.66666666666667</v>
      </c>
      <c r="E6" s="8">
        <f t="shared" si="6"/>
        <v>176.09183210283587</v>
      </c>
      <c r="F6" s="8">
        <v>4.6020000000000003</v>
      </c>
      <c r="G6" s="8">
        <v>4.7450000000000001</v>
      </c>
      <c r="H6" s="8">
        <v>4.6900000000000004</v>
      </c>
      <c r="I6" s="8">
        <f t="shared" si="7"/>
        <v>4.6790000000000012</v>
      </c>
      <c r="J6" s="8">
        <v>1052.0999999999999</v>
      </c>
      <c r="K6" s="8">
        <v>1425.7</v>
      </c>
      <c r="L6" s="8">
        <v>962.2</v>
      </c>
      <c r="M6" s="8">
        <v>0.74</v>
      </c>
      <c r="N6" s="10"/>
      <c r="O6" s="10">
        <v>4.0839999999999996</v>
      </c>
      <c r="P6" s="8">
        <f t="shared" si="3"/>
        <v>40.839999999999996</v>
      </c>
      <c r="Q6" s="8">
        <f>(J6-1.5*I6^2*('Proračun elemenata'!$E$6)*(235+P6)/(235+20))/(1500*PI()/30)</f>
        <v>2.9438043969970575</v>
      </c>
    </row>
    <row r="7" spans="1:17" x14ac:dyDescent="0.3">
      <c r="A7" s="8">
        <v>98.2</v>
      </c>
      <c r="B7" s="8">
        <v>96</v>
      </c>
      <c r="C7" s="8">
        <v>96.5</v>
      </c>
      <c r="D7" s="8">
        <f t="shared" si="5"/>
        <v>96.899999999999991</v>
      </c>
      <c r="E7" s="8">
        <f t="shared" si="6"/>
        <v>167.83572325342419</v>
      </c>
      <c r="F7" s="8">
        <v>4.3849999999999998</v>
      </c>
      <c r="G7" s="8">
        <v>4.5209999999999999</v>
      </c>
      <c r="H7" s="8">
        <v>4.4480000000000004</v>
      </c>
      <c r="I7" s="8">
        <f t="shared" si="7"/>
        <v>4.4513333333333334</v>
      </c>
      <c r="J7" s="8">
        <v>939.9</v>
      </c>
      <c r="K7" s="8">
        <v>1281.4000000000001</v>
      </c>
      <c r="L7" s="8">
        <v>871.1</v>
      </c>
      <c r="M7" s="8">
        <v>0.73</v>
      </c>
      <c r="N7" s="10"/>
      <c r="O7" s="10">
        <v>4.1559999999999997</v>
      </c>
      <c r="P7" s="8">
        <f t="shared" si="3"/>
        <v>41.559999999999995</v>
      </c>
      <c r="Q7" s="8">
        <f>(J7-1.5*I7^2*('Proračun elemenata'!$E$6)*(235+P7)/(235+20))/(1500*PI()/30)</f>
        <v>2.5770853402030127</v>
      </c>
    </row>
    <row r="8" spans="1:17" x14ac:dyDescent="0.3">
      <c r="A8" s="8">
        <v>96.2</v>
      </c>
      <c r="B8" s="8">
        <v>94.1</v>
      </c>
      <c r="C8" s="8">
        <v>94.6</v>
      </c>
      <c r="D8" s="8">
        <f t="shared" si="5"/>
        <v>94.966666666666654</v>
      </c>
      <c r="E8" s="8">
        <f t="shared" si="6"/>
        <v>164.48709169212435</v>
      </c>
      <c r="F8" s="8">
        <v>4.2290000000000001</v>
      </c>
      <c r="G8" s="8">
        <v>4.3710000000000004</v>
      </c>
      <c r="H8" s="8">
        <v>4.3150000000000004</v>
      </c>
      <c r="I8" s="8">
        <f t="shared" si="7"/>
        <v>4.3050000000000006</v>
      </c>
      <c r="J8" s="8">
        <v>897.1</v>
      </c>
      <c r="K8" s="8">
        <v>1226</v>
      </c>
      <c r="L8" s="8">
        <v>835.7</v>
      </c>
      <c r="M8" s="8">
        <v>0.73</v>
      </c>
      <c r="N8" s="10"/>
      <c r="O8" s="10">
        <v>4.2190000000000003</v>
      </c>
      <c r="P8" s="8">
        <f t="shared" si="3"/>
        <v>42.190000000000005</v>
      </c>
      <c r="Q8" s="8">
        <f>(J8-1.5*I8^2*('Proračun elemenata'!$E$6)*(235+P8)/(235+20))/(1500*PI()/30)</f>
        <v>2.517643632211179</v>
      </c>
    </row>
    <row r="9" spans="1:17" x14ac:dyDescent="0.3">
      <c r="A9" s="8">
        <v>93.4</v>
      </c>
      <c r="B9" s="8">
        <v>91.3</v>
      </c>
      <c r="C9" s="8">
        <v>91.9</v>
      </c>
      <c r="D9" s="8">
        <f t="shared" si="5"/>
        <v>92.2</v>
      </c>
      <c r="E9" s="8">
        <f t="shared" si="6"/>
        <v>159.69508445785047</v>
      </c>
      <c r="F9" s="8">
        <v>4.0810000000000004</v>
      </c>
      <c r="G9" s="8">
        <v>4.2160000000000002</v>
      </c>
      <c r="H9" s="8">
        <v>4.1669999999999998</v>
      </c>
      <c r="I9" s="8">
        <f t="shared" si="7"/>
        <v>4.1546666666666665</v>
      </c>
      <c r="J9" s="8">
        <v>837.1</v>
      </c>
      <c r="K9" s="8">
        <v>1148.7</v>
      </c>
      <c r="L9" s="8">
        <v>786.6</v>
      </c>
      <c r="M9" s="8">
        <v>0.73</v>
      </c>
      <c r="N9" s="10"/>
      <c r="O9" s="10">
        <v>4.2610000000000001</v>
      </c>
      <c r="P9" s="8">
        <f t="shared" si="3"/>
        <v>42.61</v>
      </c>
      <c r="Q9" s="8">
        <f>(J9-1.5*I9^2*('Proračun elemenata'!$E$6)*(235+P9)/(235+20))/(1500*PI()/30)</f>
        <v>2.3503069265021774</v>
      </c>
    </row>
    <row r="10" spans="1:17" x14ac:dyDescent="0.3">
      <c r="A10" s="8">
        <v>90.5</v>
      </c>
      <c r="B10" s="8">
        <v>88.5</v>
      </c>
      <c r="C10" s="8">
        <v>89</v>
      </c>
      <c r="D10" s="8">
        <f t="shared" si="5"/>
        <v>89.333333333333329</v>
      </c>
      <c r="E10" s="8">
        <f t="shared" si="6"/>
        <v>154.72987214281969</v>
      </c>
      <c r="F10" s="8">
        <v>3.927</v>
      </c>
      <c r="G10" s="8">
        <v>4.0590000000000002</v>
      </c>
      <c r="H10" s="8">
        <v>4.0049999999999999</v>
      </c>
      <c r="I10" s="8">
        <f t="shared" si="7"/>
        <v>3.9969999999999999</v>
      </c>
      <c r="J10" s="8">
        <v>776.6</v>
      </c>
      <c r="K10" s="8">
        <v>1070.5</v>
      </c>
      <c r="L10" s="8">
        <v>736.8</v>
      </c>
      <c r="M10" s="8">
        <v>0.73</v>
      </c>
      <c r="N10" s="10"/>
      <c r="O10" s="10">
        <v>4.4050000000000002</v>
      </c>
      <c r="P10" s="8">
        <f t="shared" si="3"/>
        <v>44.050000000000004</v>
      </c>
      <c r="Q10" s="8">
        <f>(J10-1.5*I10^2*('Proračun elemenata'!$E$6)*(235+P10)/(235+20))/(1500*PI()/30)</f>
        <v>2.1726504104304203</v>
      </c>
    </row>
    <row r="11" spans="1:17" x14ac:dyDescent="0.3">
      <c r="A11" s="8">
        <v>84.7</v>
      </c>
      <c r="B11" s="8">
        <v>82.6</v>
      </c>
      <c r="C11" s="8">
        <v>82.8</v>
      </c>
      <c r="D11" s="8">
        <f t="shared" si="5"/>
        <v>83.366666666666674</v>
      </c>
      <c r="E11" s="8">
        <f t="shared" si="6"/>
        <v>144.3953023243254</v>
      </c>
      <c r="F11" s="8">
        <v>3.6269999999999998</v>
      </c>
      <c r="G11" s="8">
        <v>3.746</v>
      </c>
      <c r="H11" s="8">
        <v>3.694</v>
      </c>
      <c r="I11" s="8">
        <f t="shared" si="7"/>
        <v>3.6890000000000001</v>
      </c>
      <c r="J11" s="8">
        <v>659.6</v>
      </c>
      <c r="K11" s="8">
        <v>918.4</v>
      </c>
      <c r="L11" s="8">
        <v>639</v>
      </c>
      <c r="M11" s="8">
        <v>0.72</v>
      </c>
      <c r="N11" s="10"/>
      <c r="O11" s="10">
        <v>4.4660000000000002</v>
      </c>
      <c r="P11" s="8">
        <f t="shared" si="3"/>
        <v>44.660000000000004</v>
      </c>
      <c r="Q11" s="8">
        <f>(J11-1.5*I11^2*('Proračun elemenata'!$E$6)*(235+P11)/(235+20))/(1500*PI()/30)</f>
        <v>1.8332953943481018</v>
      </c>
    </row>
    <row r="12" spans="1:17" x14ac:dyDescent="0.3">
      <c r="A12" s="8">
        <v>81</v>
      </c>
      <c r="B12" s="8">
        <v>79</v>
      </c>
      <c r="C12" s="8">
        <v>79.5</v>
      </c>
      <c r="D12" s="8">
        <f t="shared" si="5"/>
        <v>79.833333333333329</v>
      </c>
      <c r="E12" s="8">
        <f t="shared" si="6"/>
        <v>138.27538947091534</v>
      </c>
      <c r="F12" s="8">
        <v>3.4470000000000001</v>
      </c>
      <c r="G12" s="8">
        <v>3.55</v>
      </c>
      <c r="H12" s="8">
        <v>3.5019999999999998</v>
      </c>
      <c r="I12" s="8">
        <f t="shared" si="7"/>
        <v>3.4996666666666663</v>
      </c>
      <c r="J12" s="8">
        <v>595.6</v>
      </c>
      <c r="K12" s="8">
        <v>835</v>
      </c>
      <c r="L12" s="8">
        <v>585.20000000000005</v>
      </c>
      <c r="M12" s="8">
        <v>0.71</v>
      </c>
      <c r="N12" s="10"/>
      <c r="O12" s="10">
        <v>4.5270000000000001</v>
      </c>
      <c r="P12" s="8">
        <f t="shared" si="3"/>
        <v>45.27</v>
      </c>
      <c r="Q12" s="8">
        <f>(J12-1.5*I12^2*('Proračun elemenata'!$E$6)*(235+P12)/(235+20))/(1500*PI()/30)</f>
        <v>1.6578309402774569</v>
      </c>
    </row>
    <row r="13" spans="1:17" x14ac:dyDescent="0.3">
      <c r="A13" s="8">
        <v>77.099999999999994</v>
      </c>
      <c r="B13" s="8">
        <v>75.2</v>
      </c>
      <c r="C13" s="8">
        <v>75.7</v>
      </c>
      <c r="D13" s="8">
        <f t="shared" si="5"/>
        <v>76</v>
      </c>
      <c r="E13" s="8">
        <f t="shared" si="6"/>
        <v>131.63586137523467</v>
      </c>
      <c r="F13" s="8">
        <v>3.2330000000000001</v>
      </c>
      <c r="G13" s="8">
        <v>3.3439999999999999</v>
      </c>
      <c r="H13" s="8">
        <v>3.2970000000000002</v>
      </c>
      <c r="I13" s="8">
        <f t="shared" si="7"/>
        <v>3.2913333333333337</v>
      </c>
      <c r="J13" s="8">
        <v>528.79999999999995</v>
      </c>
      <c r="K13" s="8">
        <v>747.4</v>
      </c>
      <c r="L13" s="8">
        <v>528.20000000000005</v>
      </c>
      <c r="M13" s="8">
        <v>0.71</v>
      </c>
      <c r="N13" s="10"/>
      <c r="O13" s="10">
        <v>4.5629999999999997</v>
      </c>
      <c r="P13" s="8">
        <f t="shared" si="3"/>
        <v>45.629999999999995</v>
      </c>
      <c r="Q13" s="8">
        <f>(J13-1.5*I13^2*('Proračun elemenata'!$E$6)*(235+P13)/(235+20))/(1500*PI()/30)</f>
        <v>1.4766397970182967</v>
      </c>
    </row>
    <row r="14" spans="1:17" x14ac:dyDescent="0.3">
      <c r="A14" s="8">
        <v>73.2</v>
      </c>
      <c r="B14" s="8">
        <v>71.3</v>
      </c>
      <c r="C14" s="8">
        <v>71.3</v>
      </c>
      <c r="D14" s="8">
        <f t="shared" si="5"/>
        <v>71.933333333333337</v>
      </c>
      <c r="E14" s="8">
        <f t="shared" si="6"/>
        <v>124.59218809112124</v>
      </c>
      <c r="F14" s="8">
        <v>3.024</v>
      </c>
      <c r="G14" s="8">
        <v>3.1320000000000001</v>
      </c>
      <c r="H14" s="8">
        <v>3.0680000000000001</v>
      </c>
      <c r="I14" s="8">
        <f t="shared" si="7"/>
        <v>3.0746666666666669</v>
      </c>
      <c r="J14" s="8">
        <v>464.7</v>
      </c>
      <c r="K14" s="8">
        <v>663</v>
      </c>
      <c r="L14" s="8">
        <v>473</v>
      </c>
      <c r="M14" s="8">
        <v>0.7</v>
      </c>
      <c r="N14" s="10"/>
      <c r="O14" s="10">
        <v>4.5949999999999998</v>
      </c>
      <c r="P14" s="8">
        <f t="shared" si="3"/>
        <v>45.949999999999996</v>
      </c>
      <c r="Q14" s="8">
        <f>(J14-1.5*I14^2*('Proračun elemenata'!$E$6)*(235+P14)/(235+20))/(1500*PI()/30)</f>
        <v>1.3073061923529989</v>
      </c>
    </row>
    <row r="15" spans="1:17" x14ac:dyDescent="0.3">
      <c r="A15" s="8">
        <v>68.599999999999994</v>
      </c>
      <c r="B15" s="8">
        <v>66.7</v>
      </c>
      <c r="C15" s="8">
        <v>67.2</v>
      </c>
      <c r="D15" s="8">
        <f t="shared" si="5"/>
        <v>67.5</v>
      </c>
      <c r="E15" s="8">
        <f t="shared" si="6"/>
        <v>116.91342951089921</v>
      </c>
      <c r="F15" s="8">
        <v>2.7970000000000002</v>
      </c>
      <c r="G15" s="8">
        <v>2.8879999999999999</v>
      </c>
      <c r="H15" s="8">
        <v>2.8530000000000002</v>
      </c>
      <c r="I15" s="8">
        <f t="shared" si="7"/>
        <v>2.8460000000000001</v>
      </c>
      <c r="J15" s="8">
        <v>399.2</v>
      </c>
      <c r="K15" s="8">
        <v>576</v>
      </c>
      <c r="L15" s="8">
        <v>415.2</v>
      </c>
      <c r="M15" s="8">
        <v>0.69</v>
      </c>
      <c r="N15" s="10"/>
      <c r="O15" s="10">
        <v>4.6509999999999998</v>
      </c>
      <c r="P15" s="8">
        <f t="shared" si="3"/>
        <v>46.51</v>
      </c>
      <c r="Q15" s="8">
        <f>(J15-1.5*I15^2*('Proračun elemenata'!$E$6)*(235+P15)/(235+20))/(1500*PI()/30)</f>
        <v>1.1239519291535729</v>
      </c>
    </row>
    <row r="16" spans="1:17" x14ac:dyDescent="0.3">
      <c r="A16" s="8">
        <v>64.5</v>
      </c>
      <c r="B16" s="8">
        <v>62.8</v>
      </c>
      <c r="C16" s="8">
        <v>62.9</v>
      </c>
      <c r="D16" s="8">
        <f t="shared" si="5"/>
        <v>63.4</v>
      </c>
      <c r="E16" s="8">
        <f t="shared" si="6"/>
        <v>109.81202119986681</v>
      </c>
      <c r="F16" s="8">
        <v>2.6360000000000001</v>
      </c>
      <c r="G16" s="8">
        <v>2.7130000000000001</v>
      </c>
      <c r="H16" s="8">
        <v>2.67</v>
      </c>
      <c r="I16" s="8">
        <f t="shared" si="7"/>
        <v>2.673</v>
      </c>
      <c r="J16" s="8">
        <v>343</v>
      </c>
      <c r="K16" s="8">
        <v>500.8</v>
      </c>
      <c r="L16" s="8">
        <v>364.9</v>
      </c>
      <c r="M16" s="8">
        <v>0.69</v>
      </c>
      <c r="N16" s="10"/>
      <c r="O16" s="10">
        <v>4.673</v>
      </c>
      <c r="P16" s="8">
        <f t="shared" si="3"/>
        <v>46.730000000000004</v>
      </c>
      <c r="Q16" s="8">
        <f>(J16-1.5*I16^2*('Proračun elemenata'!$E$6)*(235+P16)/(235+20))/(1500*PI()/30)</f>
        <v>0.93228029751579145</v>
      </c>
    </row>
    <row r="17" spans="1:17" x14ac:dyDescent="0.3">
      <c r="A17" s="8">
        <v>56.1</v>
      </c>
      <c r="B17" s="8">
        <v>54.3</v>
      </c>
      <c r="C17" s="8">
        <v>54.9</v>
      </c>
      <c r="D17" s="8">
        <f t="shared" si="5"/>
        <v>55.1</v>
      </c>
      <c r="E17" s="8">
        <f t="shared" si="6"/>
        <v>95.435999497045131</v>
      </c>
      <c r="F17" s="8">
        <v>2.1789999999999998</v>
      </c>
      <c r="G17" s="8">
        <v>2.2040000000000002</v>
      </c>
      <c r="H17" s="8">
        <v>2.129</v>
      </c>
      <c r="I17" s="8">
        <f t="shared" si="7"/>
        <v>2.170666666666667</v>
      </c>
      <c r="J17" s="8">
        <v>242.2</v>
      </c>
      <c r="K17" s="8">
        <v>364.2</v>
      </c>
      <c r="L17" s="8">
        <v>271.89999999999998</v>
      </c>
      <c r="M17" s="8">
        <v>0.67</v>
      </c>
      <c r="N17" s="10"/>
      <c r="O17" s="10">
        <v>4.7119999999999997</v>
      </c>
      <c r="P17" s="8">
        <f t="shared" si="3"/>
        <v>47.12</v>
      </c>
      <c r="Q17" s="8">
        <f>(J17-1.5*I17^2*('Proračun elemenata'!$E$6)*(235+P17)/(235+20))/(1500*PI()/30)</f>
        <v>0.71555182658996841</v>
      </c>
    </row>
    <row r="18" spans="1:17" x14ac:dyDescent="0.3">
      <c r="A18" s="8">
        <v>52.5</v>
      </c>
      <c r="B18" s="8">
        <v>50.5</v>
      </c>
      <c r="C18" s="8">
        <v>51.5</v>
      </c>
      <c r="D18" s="8">
        <f t="shared" si="5"/>
        <v>51.5</v>
      </c>
      <c r="E18" s="8">
        <f t="shared" si="6"/>
        <v>89.200616589797178</v>
      </c>
      <c r="F18" s="8">
        <v>2.012</v>
      </c>
      <c r="G18" s="8">
        <v>2.069</v>
      </c>
      <c r="H18" s="8">
        <v>2.032</v>
      </c>
      <c r="I18" s="8">
        <f t="shared" si="7"/>
        <v>2.0376666666666665</v>
      </c>
      <c r="J18" s="8">
        <v>203.6</v>
      </c>
      <c r="K18" s="8">
        <v>311</v>
      </c>
      <c r="L18" s="8">
        <v>235.1</v>
      </c>
      <c r="M18" s="8">
        <v>0.66</v>
      </c>
      <c r="N18" s="10"/>
      <c r="O18" s="10">
        <v>4.7539999999999996</v>
      </c>
      <c r="P18" s="8">
        <f t="shared" si="3"/>
        <v>47.539999999999992</v>
      </c>
      <c r="Q18" s="8">
        <f>(J18-1.5*I18^2*('Proračun elemenata'!$E$6)*(235+P18)/(235+20))/(1500*PI()/30)</f>
        <v>0.5668926183309092</v>
      </c>
    </row>
    <row r="19" spans="1:17" x14ac:dyDescent="0.3">
      <c r="A19" s="8">
        <v>48.7</v>
      </c>
      <c r="B19" s="8">
        <v>46.6</v>
      </c>
      <c r="C19" s="8">
        <v>47.3</v>
      </c>
      <c r="D19" s="8">
        <f t="shared" si="5"/>
        <v>47.533333333333339</v>
      </c>
      <c r="E19" s="8">
        <f t="shared" si="6"/>
        <v>82.330148386440641</v>
      </c>
      <c r="F19" s="8">
        <v>1.8169999999999999</v>
      </c>
      <c r="G19" s="8">
        <v>1.86</v>
      </c>
      <c r="H19" s="8">
        <v>1.8340000000000001</v>
      </c>
      <c r="I19" s="8">
        <f t="shared" si="7"/>
        <v>1.837</v>
      </c>
      <c r="J19" s="8">
        <v>166.9</v>
      </c>
      <c r="K19" s="8">
        <v>259.8</v>
      </c>
      <c r="L19" s="8">
        <v>199.1</v>
      </c>
      <c r="M19" s="8">
        <v>0.64</v>
      </c>
      <c r="N19" s="10"/>
      <c r="O19" s="10">
        <v>4.7809999999999997</v>
      </c>
      <c r="P19" s="8">
        <f t="shared" si="3"/>
        <v>47.809999999999995</v>
      </c>
      <c r="Q19" s="8">
        <f>(J19-1.5*I19^2*('Proračun elemenata'!$E$6)*(235+P19)/(235+20))/(1500*PI()/30)</f>
        <v>0.46924843258600102</v>
      </c>
    </row>
    <row r="20" spans="1:17" x14ac:dyDescent="0.3">
      <c r="A20" s="8">
        <v>44.1</v>
      </c>
      <c r="B20" s="8">
        <v>42</v>
      </c>
      <c r="C20" s="8">
        <v>42.5</v>
      </c>
      <c r="D20" s="8">
        <f t="shared" si="5"/>
        <v>42.866666666666667</v>
      </c>
      <c r="E20" s="8">
        <f t="shared" si="6"/>
        <v>74.247244617785867</v>
      </c>
      <c r="F20" s="8">
        <v>1.579</v>
      </c>
      <c r="G20" s="8">
        <v>1.617</v>
      </c>
      <c r="H20" s="8">
        <v>1.591</v>
      </c>
      <c r="I20" s="8">
        <f t="shared" si="7"/>
        <v>1.5956666666666666</v>
      </c>
      <c r="J20" s="8">
        <v>128.1</v>
      </c>
      <c r="K20" s="8">
        <v>204.7</v>
      </c>
      <c r="L20" s="8">
        <v>159.6</v>
      </c>
      <c r="M20" s="8">
        <v>0.63</v>
      </c>
      <c r="N20" s="10"/>
      <c r="O20" s="10">
        <v>4.7089999999999996</v>
      </c>
      <c r="P20" s="8">
        <f t="shared" si="3"/>
        <v>47.089999999999996</v>
      </c>
      <c r="Q20" s="8">
        <f>(J20-1.5*I20^2*('Proračun elemenata'!$E$6)*(235+P20)/(235+20))/(1500*PI()/30)</f>
        <v>0.36902035042088155</v>
      </c>
    </row>
    <row r="21" spans="1:17" x14ac:dyDescent="0.3">
      <c r="A21" s="8">
        <v>41.2</v>
      </c>
      <c r="B21" s="8">
        <v>39</v>
      </c>
      <c r="C21" s="8">
        <v>39.700000000000003</v>
      </c>
      <c r="D21" s="8">
        <f t="shared" si="5"/>
        <v>39.966666666666669</v>
      </c>
      <c r="E21" s="8">
        <f t="shared" si="6"/>
        <v>69.224297275836122</v>
      </c>
      <c r="F21" s="8">
        <v>1.4359999999999999</v>
      </c>
      <c r="G21" s="8">
        <v>1.4650000000000001</v>
      </c>
      <c r="H21" s="8">
        <v>1.4450000000000001</v>
      </c>
      <c r="I21" s="8">
        <f t="shared" si="7"/>
        <v>1.4486666666666668</v>
      </c>
      <c r="J21" s="8">
        <v>106.2</v>
      </c>
      <c r="K21" s="8">
        <v>173.3</v>
      </c>
      <c r="L21" s="8">
        <v>137</v>
      </c>
      <c r="M21" s="8">
        <v>0.61</v>
      </c>
      <c r="N21" s="10"/>
      <c r="O21" s="10">
        <v>4.8369999999999997</v>
      </c>
      <c r="P21" s="8">
        <f t="shared" si="3"/>
        <v>48.37</v>
      </c>
      <c r="Q21" s="8">
        <f>(J21-1.5*I21^2*('Proračun elemenata'!$E$6)*(235+P21)/(235+20))/(1500*PI()/30)</f>
        <v>0.30640667518901377</v>
      </c>
    </row>
    <row r="22" spans="1:17" x14ac:dyDescent="0.3">
      <c r="A22" s="8">
        <v>38.200000000000003</v>
      </c>
      <c r="B22" s="8">
        <v>36</v>
      </c>
      <c r="C22" s="8">
        <v>36.700000000000003</v>
      </c>
      <c r="D22" s="8">
        <f t="shared" si="5"/>
        <v>36.966666666666669</v>
      </c>
      <c r="E22" s="8">
        <f t="shared" si="6"/>
        <v>64.02814485312949</v>
      </c>
      <c r="F22" s="8">
        <v>1.288</v>
      </c>
      <c r="G22" s="8">
        <v>1.3149999999999999</v>
      </c>
      <c r="H22" s="8">
        <v>1.298</v>
      </c>
      <c r="I22" s="8">
        <f t="shared" si="7"/>
        <v>1.3003333333333333</v>
      </c>
      <c r="J22" s="8">
        <v>86.3</v>
      </c>
      <c r="K22" s="8">
        <v>144.1</v>
      </c>
      <c r="L22" s="8">
        <v>115.4</v>
      </c>
      <c r="M22" s="8">
        <v>0.6</v>
      </c>
      <c r="N22" s="10"/>
      <c r="O22" s="10">
        <v>4.8780000000000001</v>
      </c>
      <c r="P22" s="8">
        <f t="shared" si="3"/>
        <v>48.78</v>
      </c>
      <c r="Q22" s="8">
        <f>(J22-1.5*I22^2*('Proračun elemenata'!$E$6)*(235+P22)/(235+20))/(1500*PI()/30)</f>
        <v>0.25111851545423469</v>
      </c>
    </row>
    <row r="23" spans="1:17" x14ac:dyDescent="0.3">
      <c r="A23" s="8">
        <v>32.5</v>
      </c>
      <c r="B23" s="8">
        <v>30.6</v>
      </c>
      <c r="C23" s="8">
        <v>31.3</v>
      </c>
      <c r="D23" s="8">
        <f t="shared" si="5"/>
        <v>31.466666666666669</v>
      </c>
      <c r="E23" s="8">
        <f t="shared" si="6"/>
        <v>54.501865411500674</v>
      </c>
      <c r="F23" s="8">
        <v>1.03</v>
      </c>
      <c r="G23" s="8">
        <v>1.0569999999999999</v>
      </c>
      <c r="H23" s="8">
        <v>1.05</v>
      </c>
      <c r="I23" s="8">
        <f t="shared" si="7"/>
        <v>1.0456666666666665</v>
      </c>
      <c r="J23" s="8">
        <v>54.7</v>
      </c>
      <c r="K23" s="8">
        <v>96.8</v>
      </c>
      <c r="L23" s="8">
        <v>79.8</v>
      </c>
      <c r="M23" s="8">
        <v>0.56999999999999995</v>
      </c>
      <c r="N23" s="10"/>
      <c r="O23" s="10">
        <v>4.8979999999999997</v>
      </c>
      <c r="P23" s="8">
        <f t="shared" si="3"/>
        <v>48.98</v>
      </c>
      <c r="Q23" s="8">
        <f>(J23-1.5*I23^2*('Proračun elemenata'!$E$6)*(235+P23)/(235+20))/(1500*PI()/30)</f>
        <v>0.15520601045695459</v>
      </c>
    </row>
    <row r="24" spans="1:17" x14ac:dyDescent="0.3">
      <c r="A24" s="8">
        <v>28.4</v>
      </c>
      <c r="B24" s="8">
        <v>26.2</v>
      </c>
      <c r="C24" s="8">
        <v>27</v>
      </c>
      <c r="D24" s="8">
        <f t="shared" si="5"/>
        <v>27.2</v>
      </c>
      <c r="E24" s="8">
        <f t="shared" si="6"/>
        <v>47.111781965873462</v>
      </c>
      <c r="F24" s="8">
        <v>0.81299999999999994</v>
      </c>
      <c r="G24" s="8">
        <v>0.83</v>
      </c>
      <c r="H24" s="8">
        <v>0.81799999999999995</v>
      </c>
      <c r="I24" s="8">
        <f t="shared" si="7"/>
        <v>0.82033333333333325</v>
      </c>
      <c r="J24" s="8">
        <v>35.4</v>
      </c>
      <c r="K24" s="8">
        <v>66.400000000000006</v>
      </c>
      <c r="L24" s="8">
        <v>56.2</v>
      </c>
      <c r="M24" s="8">
        <v>0.53</v>
      </c>
      <c r="N24" s="10"/>
      <c r="O24" s="10">
        <v>4.9189999999999996</v>
      </c>
      <c r="P24" s="8">
        <f t="shared" si="3"/>
        <v>49.19</v>
      </c>
      <c r="Q24" s="8">
        <f>(J24-1.5*I24^2*('Proračun elemenata'!$E$6)*(235+P24)/(235+20))/(1500*PI()/30)</f>
        <v>0.10647792378805239</v>
      </c>
    </row>
    <row r="25" spans="1:17" x14ac:dyDescent="0.3">
      <c r="A25" s="8">
        <v>24.3</v>
      </c>
      <c r="B25" s="8">
        <v>22.5</v>
      </c>
      <c r="C25" s="8">
        <v>26</v>
      </c>
      <c r="D25" s="8">
        <f t="shared" si="5"/>
        <v>24.266666666666666</v>
      </c>
      <c r="E25" s="8">
        <f t="shared" si="6"/>
        <v>42.031099597004754</v>
      </c>
      <c r="F25" s="8">
        <v>0.628</v>
      </c>
      <c r="G25" s="8">
        <v>0.65100000000000002</v>
      </c>
      <c r="H25" s="8">
        <v>0.63300000000000001</v>
      </c>
      <c r="I25" s="8">
        <f t="shared" si="7"/>
        <v>0.63733333333333331</v>
      </c>
      <c r="J25" s="8">
        <v>21.9</v>
      </c>
      <c r="K25" s="8">
        <v>44.3</v>
      </c>
      <c r="L25" s="8">
        <v>38.4</v>
      </c>
      <c r="M25" s="8">
        <v>0.5</v>
      </c>
      <c r="N25" s="10"/>
      <c r="O25" s="10">
        <v>4.899</v>
      </c>
      <c r="P25" s="8">
        <f t="shared" si="3"/>
        <v>48.99</v>
      </c>
      <c r="Q25" s="8">
        <f>(J25-1.5*I25^2*('Proračun elemenata'!$E$6)*(235+P25)/(235+20))/(1500*PI()/30)</f>
        <v>6.7710410220096523E-2</v>
      </c>
    </row>
    <row r="26" spans="1:17" x14ac:dyDescent="0.3">
      <c r="A26" s="8">
        <v>20.9</v>
      </c>
      <c r="B26" s="8">
        <v>19.100000000000001</v>
      </c>
      <c r="C26" s="8">
        <v>19.600000000000001</v>
      </c>
      <c r="D26" s="8">
        <f t="shared" si="5"/>
        <v>19.866666666666667</v>
      </c>
      <c r="E26" s="8">
        <f t="shared" si="6"/>
        <v>34.410076043701693</v>
      </c>
      <c r="F26" s="8">
        <v>0.49</v>
      </c>
      <c r="G26" s="8">
        <v>0.5</v>
      </c>
      <c r="H26" s="8">
        <v>0.49</v>
      </c>
      <c r="I26" s="8">
        <f t="shared" si="7"/>
        <v>0.49333333333333335</v>
      </c>
      <c r="J26" s="8">
        <v>12.5</v>
      </c>
      <c r="K26" s="8">
        <v>27.6</v>
      </c>
      <c r="L26" s="8">
        <v>24.6</v>
      </c>
      <c r="M26" s="8">
        <v>0.45</v>
      </c>
      <c r="N26" s="10"/>
      <c r="O26" s="10">
        <v>4.9390000000000001</v>
      </c>
      <c r="P26" s="8">
        <f t="shared" si="3"/>
        <v>49.39</v>
      </c>
      <c r="Q26" s="8">
        <f>(J26-1.5*I26^2*('Proračun elemenata'!$E$6)*(235+P26)/(235+20))/(1500*PI()/30)</f>
        <v>3.6551118917560632E-2</v>
      </c>
    </row>
    <row r="29" spans="1:17" x14ac:dyDescent="0.3">
      <c r="A29" t="s">
        <v>21</v>
      </c>
      <c r="B29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6469-5AA6-42A9-8E3F-EC0A578C66D2}">
  <dimension ref="A1:M48"/>
  <sheetViews>
    <sheetView tabSelected="1" topLeftCell="A4" workbookViewId="0">
      <selection activeCell="M11" sqref="M11"/>
    </sheetView>
  </sheetViews>
  <sheetFormatPr defaultRowHeight="14.4" x14ac:dyDescent="0.3"/>
  <cols>
    <col min="1" max="1" width="26.88671875" customWidth="1"/>
    <col min="4" max="4" width="13.109375" customWidth="1"/>
  </cols>
  <sheetData>
    <row r="1" spans="1:10" ht="16.8" x14ac:dyDescent="0.35">
      <c r="A1" t="s">
        <v>23</v>
      </c>
      <c r="I1" t="s">
        <v>77</v>
      </c>
    </row>
    <row r="2" spans="1:10" x14ac:dyDescent="0.3">
      <c r="A2" t="s">
        <v>24</v>
      </c>
      <c r="B2" s="1">
        <v>37.69</v>
      </c>
      <c r="C2" t="s">
        <v>25</v>
      </c>
      <c r="I2" t="s">
        <v>68</v>
      </c>
      <c r="J2">
        <v>400</v>
      </c>
    </row>
    <row r="3" spans="1:10" ht="16.2" x14ac:dyDescent="0.3">
      <c r="A3" t="s">
        <v>26</v>
      </c>
      <c r="B3" s="1">
        <v>5.9999999999999995E-4</v>
      </c>
      <c r="I3" t="s">
        <v>72</v>
      </c>
      <c r="J3">
        <v>50</v>
      </c>
    </row>
    <row r="4" spans="1:10" x14ac:dyDescent="0.3">
      <c r="I4" t="s">
        <v>69</v>
      </c>
      <c r="J4">
        <v>1.75</v>
      </c>
    </row>
    <row r="5" spans="1:10" x14ac:dyDescent="0.3">
      <c r="A5" t="s">
        <v>84</v>
      </c>
      <c r="I5" t="s">
        <v>70</v>
      </c>
      <c r="J5">
        <v>0.75</v>
      </c>
    </row>
    <row r="6" spans="1:10" ht="15.6" x14ac:dyDescent="0.35">
      <c r="A6" t="s">
        <v>27</v>
      </c>
      <c r="B6" s="1">
        <v>396.6</v>
      </c>
      <c r="D6" t="s">
        <v>83</v>
      </c>
      <c r="E6" s="1">
        <v>16.600000000000001</v>
      </c>
      <c r="F6" s="3"/>
      <c r="I6" t="s">
        <v>71</v>
      </c>
      <c r="J6">
        <v>0.75</v>
      </c>
    </row>
    <row r="7" spans="1:10" ht="15.6" x14ac:dyDescent="0.35">
      <c r="A7" t="s">
        <v>28</v>
      </c>
      <c r="B7" s="1">
        <v>1.081</v>
      </c>
      <c r="I7" t="s">
        <v>73</v>
      </c>
      <c r="J7">
        <v>1450</v>
      </c>
    </row>
    <row r="8" spans="1:10" ht="15.6" x14ac:dyDescent="0.35">
      <c r="A8" t="s">
        <v>29</v>
      </c>
      <c r="B8" s="1">
        <v>190.9</v>
      </c>
      <c r="I8" t="s">
        <v>74</v>
      </c>
      <c r="J8">
        <v>82.5</v>
      </c>
    </row>
    <row r="9" spans="1:10" ht="15.6" x14ac:dyDescent="0.35">
      <c r="A9" t="s">
        <v>30</v>
      </c>
      <c r="B9" s="1">
        <v>0.26</v>
      </c>
      <c r="I9" t="s">
        <v>76</v>
      </c>
    </row>
    <row r="10" spans="1:10" ht="15.6" x14ac:dyDescent="0.35">
      <c r="A10" t="s">
        <v>31</v>
      </c>
      <c r="B10">
        <f>B2</f>
        <v>37.69</v>
      </c>
      <c r="I10" t="s">
        <v>67</v>
      </c>
      <c r="J10">
        <v>7.1</v>
      </c>
    </row>
    <row r="11" spans="1:10" ht="15.6" x14ac:dyDescent="0.35">
      <c r="A11" t="s">
        <v>32</v>
      </c>
      <c r="B11">
        <f>B8-1.5*E6*B7^2-B10</f>
        <v>124.11283109999999</v>
      </c>
      <c r="I11" t="s">
        <v>75</v>
      </c>
      <c r="J11">
        <v>2.7</v>
      </c>
    </row>
    <row r="12" spans="1:10" x14ac:dyDescent="0.3">
      <c r="I12" t="s">
        <v>78</v>
      </c>
      <c r="J12">
        <v>4.9000000000000004</v>
      </c>
    </row>
    <row r="13" spans="1:10" x14ac:dyDescent="0.3">
      <c r="A13" t="s">
        <v>33</v>
      </c>
      <c r="I13" t="s">
        <v>82</v>
      </c>
      <c r="J13">
        <v>2.8999999999999998E-3</v>
      </c>
    </row>
    <row r="14" spans="1:10" ht="15.6" x14ac:dyDescent="0.35">
      <c r="A14" t="s">
        <v>34</v>
      </c>
      <c r="B14" s="1">
        <v>223.1</v>
      </c>
    </row>
    <row r="15" spans="1:10" ht="15.6" x14ac:dyDescent="0.35">
      <c r="A15" t="s">
        <v>35</v>
      </c>
      <c r="B15" s="1">
        <v>6.12</v>
      </c>
      <c r="D15" t="s">
        <v>85</v>
      </c>
    </row>
    <row r="16" spans="1:10" ht="15.6" x14ac:dyDescent="0.35">
      <c r="A16" t="s">
        <v>36</v>
      </c>
      <c r="B16" s="1">
        <v>1814.9</v>
      </c>
    </row>
    <row r="17" spans="1:13" ht="15.6" x14ac:dyDescent="0.35">
      <c r="A17" t="s">
        <v>37</v>
      </c>
      <c r="B17" s="1">
        <v>0.77</v>
      </c>
      <c r="D17" s="11" t="s">
        <v>86</v>
      </c>
      <c r="E17" s="6" t="s">
        <v>87</v>
      </c>
    </row>
    <row r="18" spans="1:13" ht="15.6" x14ac:dyDescent="0.35">
      <c r="A18" t="s">
        <v>38</v>
      </c>
      <c r="B18" s="1">
        <v>0</v>
      </c>
      <c r="D18" t="s">
        <v>39</v>
      </c>
      <c r="E18" s="4">
        <v>4.9000000000000004</v>
      </c>
    </row>
    <row r="20" spans="1:13" x14ac:dyDescent="0.3">
      <c r="A20" t="s">
        <v>40</v>
      </c>
    </row>
    <row r="21" spans="1:13" ht="15.6" x14ac:dyDescent="0.35">
      <c r="A21" t="s">
        <v>41</v>
      </c>
      <c r="B21" s="1">
        <v>400</v>
      </c>
      <c r="D21" t="s">
        <v>42</v>
      </c>
      <c r="E21" s="1">
        <v>48</v>
      </c>
      <c r="F21" t="s">
        <v>66</v>
      </c>
    </row>
    <row r="22" spans="1:13" ht="15.6" x14ac:dyDescent="0.35">
      <c r="A22" t="s">
        <v>43</v>
      </c>
      <c r="B22">
        <f>B15*(B21-E21)/(B14-E21)</f>
        <v>12.302912621359225</v>
      </c>
      <c r="J22" t="s">
        <v>79</v>
      </c>
      <c r="K22">
        <f>B22/J4</f>
        <v>7.0302357836338425</v>
      </c>
    </row>
    <row r="23" spans="1:13" ht="15.6" x14ac:dyDescent="0.35">
      <c r="A23" t="s">
        <v>44</v>
      </c>
      <c r="B23">
        <f>B25*1500*PI()/30+1.5*E6*B22^2</f>
        <v>6243.1166829997819</v>
      </c>
      <c r="J23" t="s">
        <v>80</v>
      </c>
      <c r="K23" s="6">
        <f>B25/J12</f>
        <v>3.2145548615019086</v>
      </c>
      <c r="M23">
        <f>M25*1500*PI()/30+1.5*E6*B22^2</f>
        <v>3768.9053083231229</v>
      </c>
    </row>
    <row r="24" spans="1:13" ht="15.6" x14ac:dyDescent="0.35">
      <c r="A24" t="s">
        <v>45</v>
      </c>
      <c r="B24">
        <f>(B25*1500*PI()/30+1.5*E6*B22^2)/(SQRT(3)*B21*B22)</f>
        <v>0.73244141620058634</v>
      </c>
      <c r="M24">
        <f>(M25*1500*PI()/30+1.5*E6*B22^2)/(SQRT(3)*B21*B22)</f>
        <v>0.44216734713144751</v>
      </c>
    </row>
    <row r="25" spans="1:13" ht="15.6" x14ac:dyDescent="0.35">
      <c r="A25" t="s">
        <v>46</v>
      </c>
      <c r="B25" s="6">
        <f>E18*(B21/B14)^2</f>
        <v>15.751318821359353</v>
      </c>
      <c r="D25" s="5" t="s">
        <v>81</v>
      </c>
      <c r="E25" s="5"/>
      <c r="F25" s="5"/>
      <c r="M25">
        <f>B18*(B21/B14)^2</f>
        <v>0</v>
      </c>
    </row>
    <row r="27" spans="1:13" x14ac:dyDescent="0.3">
      <c r="A27" t="s">
        <v>47</v>
      </c>
    </row>
    <row r="28" spans="1:13" ht="15.6" x14ac:dyDescent="0.35">
      <c r="A28" t="s">
        <v>48</v>
      </c>
      <c r="B28">
        <f>B21/SQRT(3)/B22</f>
        <v>18.771173524788967</v>
      </c>
    </row>
    <row r="29" spans="1:13" ht="15.6" x14ac:dyDescent="0.35">
      <c r="A29" t="s">
        <v>49</v>
      </c>
      <c r="B29">
        <f>B28*B24</f>
        <v>13.748784920243383</v>
      </c>
    </row>
    <row r="30" spans="1:13" ht="15.6" x14ac:dyDescent="0.35">
      <c r="A30" t="s">
        <v>50</v>
      </c>
      <c r="B30">
        <f>E6/2</f>
        <v>8.3000000000000007</v>
      </c>
    </row>
    <row r="31" spans="1:13" ht="15.6" x14ac:dyDescent="0.35">
      <c r="A31" t="s">
        <v>51</v>
      </c>
      <c r="B31">
        <f>B29-B30</f>
        <v>5.4487849202433818</v>
      </c>
    </row>
    <row r="32" spans="1:13" ht="15.6" x14ac:dyDescent="0.35">
      <c r="A32" t="s">
        <v>52</v>
      </c>
      <c r="B32">
        <f>B28*SIN(ACOS(B24))</f>
        <v>12.779979214170357</v>
      </c>
    </row>
    <row r="33" spans="1:5" ht="15.6" x14ac:dyDescent="0.35">
      <c r="A33" t="s">
        <v>53</v>
      </c>
      <c r="B33">
        <f>B32/2</f>
        <v>6.3899896070851785</v>
      </c>
    </row>
    <row r="34" spans="1:5" ht="15.6" x14ac:dyDescent="0.35">
      <c r="A34" t="s">
        <v>54</v>
      </c>
      <c r="B34">
        <f>B32/2</f>
        <v>6.3899896070851785</v>
      </c>
    </row>
    <row r="36" spans="1:5" x14ac:dyDescent="0.3">
      <c r="A36" t="s">
        <v>55</v>
      </c>
    </row>
    <row r="37" spans="1:5" ht="15.6" x14ac:dyDescent="0.35">
      <c r="A37" t="s">
        <v>29</v>
      </c>
      <c r="B37">
        <f>B8</f>
        <v>190.9</v>
      </c>
    </row>
    <row r="38" spans="1:5" ht="15.6" x14ac:dyDescent="0.35">
      <c r="A38" t="s">
        <v>56</v>
      </c>
      <c r="B38">
        <f>B8-1.5*E6*B7^2</f>
        <v>161.80283109999999</v>
      </c>
      <c r="D38" t="s">
        <v>30</v>
      </c>
      <c r="E38">
        <f>B37/(SQRT(3)*B40*B42)</f>
        <v>0.25707917480895559</v>
      </c>
    </row>
    <row r="39" spans="1:5" ht="15.6" x14ac:dyDescent="0.35">
      <c r="A39" t="s">
        <v>32</v>
      </c>
      <c r="B39">
        <f>B11</f>
        <v>124.11283109999999</v>
      </c>
      <c r="D39" t="s">
        <v>57</v>
      </c>
      <c r="E39">
        <f>SQRT(1-E38^2)</f>
        <v>0.96639034446725847</v>
      </c>
    </row>
    <row r="40" spans="1:5" ht="15.6" x14ac:dyDescent="0.35">
      <c r="A40" t="s">
        <v>58</v>
      </c>
      <c r="B40">
        <f>B6</f>
        <v>396.6</v>
      </c>
    </row>
    <row r="41" spans="1:5" ht="15.6" x14ac:dyDescent="0.35">
      <c r="A41" t="s">
        <v>59</v>
      </c>
      <c r="B41">
        <f>SQRT((B6/SQRT(3)*B9-B30*B42)^2+(B6/SQRT(3)*SIN(ACOS(B9))-B33*B42)^2)</f>
        <v>220.08148333283873</v>
      </c>
      <c r="E41">
        <f>SQRT((B6/SQRT(3)*E38-B30*B42)^2+(B6/SQRT(3)*E39-B33*B42)^2)</f>
        <v>220.10312993969126</v>
      </c>
    </row>
    <row r="42" spans="1:5" ht="15.6" x14ac:dyDescent="0.35">
      <c r="A42" t="s">
        <v>28</v>
      </c>
      <c r="B42">
        <f>B7</f>
        <v>1.081</v>
      </c>
    </row>
    <row r="43" spans="1:5" ht="15.6" x14ac:dyDescent="0.35">
      <c r="A43" t="s">
        <v>60</v>
      </c>
      <c r="B43">
        <f>B42*B9</f>
        <v>0.28105999999999998</v>
      </c>
    </row>
    <row r="44" spans="1:5" ht="15.6" x14ac:dyDescent="0.35">
      <c r="A44" t="s">
        <v>61</v>
      </c>
      <c r="B44">
        <f>B42*SIN(ACOS(B9))</f>
        <v>1.0438229142914999</v>
      </c>
      <c r="E44">
        <f>B42*SIN(E48)</f>
        <v>1.0528608357986842</v>
      </c>
    </row>
    <row r="45" spans="1:5" ht="15.6" x14ac:dyDescent="0.35">
      <c r="A45" t="s">
        <v>62</v>
      </c>
      <c r="B45">
        <f>3*(B41)^2/B39</f>
        <v>1170.7699891308637</v>
      </c>
    </row>
    <row r="46" spans="1:5" ht="15.6" x14ac:dyDescent="0.35">
      <c r="A46" t="s">
        <v>63</v>
      </c>
      <c r="B46">
        <f>B41/B44</f>
        <v>210.84178199155568</v>
      </c>
    </row>
    <row r="48" spans="1:5" ht="15.6" x14ac:dyDescent="0.35">
      <c r="A48" t="s">
        <v>64</v>
      </c>
      <c r="B48">
        <f>B6/SQRT(3)/B7</f>
        <v>211.81971948252138</v>
      </c>
      <c r="D48" t="s">
        <v>65</v>
      </c>
      <c r="E48">
        <f>ATAN((B40/SQRT(3)*E39-B33*B42)/(B40/SQRT(3)*E38-B30*B42))</f>
        <v>1.3421288719989666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PH</vt:lpstr>
      <vt:lpstr>PKS</vt:lpstr>
      <vt:lpstr>Proračun elemenata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dorka</cp:lastModifiedBy>
  <dcterms:created xsi:type="dcterms:W3CDTF">2020-07-21T06:29:12Z</dcterms:created>
  <dcterms:modified xsi:type="dcterms:W3CDTF">2021-01-10T19:06:57Z</dcterms:modified>
</cp:coreProperties>
</file>